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jobs\research 2023\arbeit\"/>
    </mc:Choice>
  </mc:AlternateContent>
  <xr:revisionPtr revIDLastSave="0" documentId="13_ncr:1_{0450B6BE-F57A-4C03-9F7C-62E47D3D0859}" xr6:coauthVersionLast="47" xr6:coauthVersionMax="47" xr10:uidLastSave="{00000000-0000-0000-0000-000000000000}"/>
  <bookViews>
    <workbookView xWindow="-108" yWindow="-108" windowWidth="23256" windowHeight="12456" xr2:uid="{6A35DD09-33DD-4DA8-9750-4B748D67B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D62" i="1" s="1"/>
  <c r="S20" i="1"/>
  <c r="S23" i="1"/>
  <c r="S17" i="1"/>
  <c r="P12" i="1"/>
  <c r="W10" i="1" s="1"/>
  <c r="Y10" i="1" s="1"/>
  <c r="Y9" i="1"/>
  <c r="D56" i="1"/>
  <c r="D55" i="1"/>
  <c r="D54" i="1"/>
  <c r="D53" i="1"/>
  <c r="D52" i="1"/>
  <c r="D51" i="1"/>
  <c r="D50" i="1"/>
  <c r="D49" i="1"/>
  <c r="D48" i="1"/>
  <c r="I43" i="1"/>
  <c r="G43" i="1"/>
  <c r="E43" i="1"/>
  <c r="I41" i="1"/>
  <c r="I40" i="1"/>
  <c r="I39" i="1"/>
  <c r="I38" i="1"/>
  <c r="I37" i="1"/>
  <c r="I36" i="1"/>
  <c r="I35" i="1"/>
  <c r="I34" i="1"/>
  <c r="I33" i="1"/>
  <c r="G41" i="1"/>
  <c r="G40" i="1"/>
  <c r="G39" i="1"/>
  <c r="G38" i="1"/>
  <c r="G37" i="1"/>
  <c r="G36" i="1"/>
  <c r="G35" i="1"/>
  <c r="G34" i="1"/>
  <c r="G33" i="1"/>
  <c r="E34" i="1"/>
  <c r="E35" i="1"/>
  <c r="E36" i="1"/>
  <c r="E37" i="1"/>
  <c r="E38" i="1"/>
  <c r="E39" i="1"/>
  <c r="E40" i="1"/>
  <c r="E41" i="1"/>
  <c r="E33" i="1"/>
  <c r="I31" i="1"/>
  <c r="G31" i="1"/>
  <c r="E31" i="1"/>
  <c r="B30" i="1"/>
  <c r="R23" i="1"/>
  <c r="R20" i="1"/>
  <c r="R17" i="1"/>
  <c r="P25" i="1"/>
  <c r="P23" i="1"/>
  <c r="P18" i="1"/>
  <c r="N24" i="1"/>
  <c r="N22" i="1"/>
  <c r="N20" i="1"/>
  <c r="L21" i="1"/>
  <c r="L19" i="1"/>
  <c r="L17" i="1"/>
  <c r="W12" i="1"/>
  <c r="Y12" i="1" s="1"/>
  <c r="W9" i="1"/>
  <c r="W3" i="1"/>
  <c r="W4" i="1"/>
  <c r="W5" i="1"/>
  <c r="W2" i="1"/>
  <c r="P13" i="1"/>
  <c r="P7" i="1"/>
  <c r="P8" i="1"/>
  <c r="P9" i="1"/>
  <c r="P10" i="1"/>
  <c r="P6" i="1"/>
  <c r="N7" i="1"/>
  <c r="N8" i="1"/>
  <c r="N9" i="1"/>
  <c r="N10" i="1"/>
  <c r="N6" i="1"/>
  <c r="I13" i="1"/>
  <c r="K33" i="1" l="1"/>
  <c r="K34" i="1"/>
  <c r="K35" i="1"/>
  <c r="K37" i="1"/>
  <c r="K36" i="1"/>
  <c r="D58" i="1" s="1"/>
  <c r="K38" i="1"/>
  <c r="K39" i="1"/>
  <c r="D59" i="1" s="1"/>
  <c r="K40" i="1"/>
  <c r="K41" i="1"/>
  <c r="L33" i="1"/>
  <c r="D60" i="1" s="1"/>
  <c r="L36" i="1"/>
  <c r="D61" i="1" s="1"/>
  <c r="W11" i="1"/>
  <c r="Y11" i="1" s="1"/>
  <c r="D63" i="1" s="1" a="1"/>
  <c r="D63" i="1" s="1"/>
  <c r="I12" i="1"/>
  <c r="I7" i="1"/>
  <c r="I8" i="1"/>
  <c r="I9" i="1"/>
  <c r="I10" i="1"/>
  <c r="I6" i="1"/>
  <c r="G7" i="1"/>
  <c r="G8" i="1"/>
  <c r="G9" i="1"/>
  <c r="G10" i="1"/>
  <c r="G6" i="1"/>
  <c r="D57" i="1" l="1"/>
  <c r="K43" i="1"/>
  <c r="W16" i="1"/>
  <c r="W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<sst xmlns="http://schemas.openxmlformats.org/spreadsheetml/2006/main" count="66" uniqueCount="40">
  <si>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(I labelled the plastic vials 1 to 9 in the lab.)</t>
  </si>
  <si>
    <t>Mass of container + 1ml PEO</t>
  </si>
  <si>
    <t>Net mass 1ml PEO</t>
  </si>
  <si>
    <t>Density</t>
  </si>
  <si>
    <t>(mg)</t>
  </si>
  <si>
    <t>Vial masses (mg)</t>
  </si>
  <si>
    <t>(g/l)</t>
  </si>
  <si>
    <t>Avg. density</t>
  </si>
  <si>
    <t>g/l</t>
  </si>
  <si>
    <t>stdev</t>
  </si>
  <si>
    <t>All PEO solutions are 30% w/w with Mr = 35000.</t>
  </si>
  <si>
    <t>Mass of container + 1ml PSF</t>
  </si>
  <si>
    <t>Net mass PSF</t>
  </si>
  <si>
    <t>Mass of the container +1000 ul pipetted PSF (mg)</t>
  </si>
  <si>
    <t>Volume transferred</t>
  </si>
  <si>
    <t>Net PSF mass (mg)</t>
  </si>
  <si>
    <t>(ml)</t>
  </si>
  <si>
    <t>Average volume</t>
  </si>
  <si>
    <t>transferred (ml)</t>
  </si>
  <si>
    <t>Volume loss</t>
  </si>
  <si>
    <t>%</t>
  </si>
  <si>
    <t>6% PSF + vial</t>
  </si>
  <si>
    <t>8% PSF + vial</t>
  </si>
  <si>
    <t>10% PSF + vial</t>
  </si>
  <si>
    <t>Measuring cyl. mass</t>
  </si>
  <si>
    <t>4% PSF + vial</t>
  </si>
  <si>
    <t>Measuring cyl. vol</t>
  </si>
  <si>
    <t>g</t>
  </si>
  <si>
    <t>ml</t>
  </si>
  <si>
    <t>g/ml</t>
  </si>
  <si>
    <t>Net masses (g)</t>
  </si>
  <si>
    <t>Measuring cylinder</t>
  </si>
  <si>
    <t>Mean</t>
  </si>
  <si>
    <t>--&gt; densities questionable</t>
  </si>
  <si>
    <t>more readings needed</t>
  </si>
  <si>
    <t>If negative = pipetted excess</t>
  </si>
  <si>
    <t>Avg volume loss</t>
  </si>
  <si>
    <t>For lines 1-14, PSF solutions are 12%.</t>
  </si>
  <si>
    <t>Loss</t>
  </si>
  <si>
    <t>Regression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</si>
</sst>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Sheet1!$C$48:$C$66</c:f>
              <c:numCache>
                <c:formatCode>General</c:formatCode>
                <c:ptCount val="1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</c:numCache>
            </c:numRef>
          </c:xVal>
          <c:yVal>
            <c:numRef>
              <c:f>Sheet1!$D$48:$D$66</c:f>
              <c:numCache>
                <c:formatCode>General</c:formatCode>
                <c:ptCount val="19"/>
                <c:pt idx="0">
                  <c:v>-6.5178185476515438E-2</c:v>
                </c:pt>
                <c:pt idx="1">
                  <c:v>-6.3861155179180118E-2</c:v>
                </c:pt>
                <c:pt idx="2">
                  <c:v>-6.6116070688253981E-2</c:v>
                </c:pt>
                <c:pt idx="3">
                  <c:v>-5.318467068786914E-2</c:v>
                </c:pt>
                <c:pt idx="4">
                  <c:v>-5.2560774995430437E-2</c:v>
                </c:pt>
                <c:pt idx="5">
                  <c:v>-4.7413635532809195E-2</c:v>
                </c:pt>
                <c:pt idx="6">
                  <c:v>-1.8940213359367242E-2</c:v>
                </c:pt>
                <c:pt idx="7">
                  <c:v>-2.5865683805810225E-3</c:v>
                </c:pt>
                <c:pt idx="8">
                  <c:v>7.1165305126256184E-3</c:v>
                </c:pt>
                <c:pt idx="9">
                  <c:v>-7.5866705080189778E-3</c:v>
                </c:pt>
                <c:pt idx="10">
                  <c:v>8.8159031979256897E-3</c:v>
                </c:pt>
                <c:pt idx="11">
                  <c:v>1.9792566983577786E-2</c:v>
                </c:pt>
                <c:pt idx="12">
                  <c:v>1.1504849707096532E-2</c:v>
                </c:pt>
                <c:pt idx="13">
                  <c:v>1.1178334773840448E-2</c:v>
                </c:pt>
                <c:pt idx="14">
                  <c:v>1.4126572553538885E-2</c:v>
                </c:pt>
                <c:pt idx="15">
                  <c:v>8.6421528647578016E-2</c:v>
                </c:pt>
                <c:pt idx="16">
                  <c:v>9.0699732020622759E-2</c:v>
                </c:pt>
                <c:pt idx="17">
                  <c:v>8.8797296903672995E-2</c:v>
                </c:pt>
                <c:pt idx="18">
                  <c:v>8.4409862806210101E-2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9-490B-AF3D-6CC10C7CF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36239"/>
        <c:axId val="64967871"/>
      </c:scatterChart>
      <c:valAx>
        <c:axId val="16053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7871"/>
        <c:crosses val="autoZero"/>
        <c:crossBetween val="midCat"/>
      </c:valAx>
      <c:valAx>
        <c:axId val="649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46</xdr:row>
      <xdr:rowOff>41910</xdr:rowOff>
    </xdr:from>
    <xdr:to>
      <xdr:col>11</xdr:col>
      <xdr:colOff>571500</xdr:colOff>
      <xdr:row>61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ACD83-8D8D-4CE5-5A85-4F385B7E5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5F83-4AEE-4E60-9C83-0D006A78EAC0}">
  <dimension ref="A1:Y66"/>
  <sheetViews>
    <sheetView tabSelected="1" workbookViewId="0">
      <selection activeCell="J15" sqref="J15"/>
    </sheetView>
  </sheetViews>
  <sheetFormatPr defaultRowHeight="14.4" x14ac:dyDescent="0.3"/>
  <sheetData>
    <row r="1" spans="1:25" x14ac:dyDescent="0.3">
      <c r="A1" t="s">
        <v>5</v>
      </c>
      <c r="D1" t="s">
        <v>1</v>
      </c>
      <c r="G1" t="s">
        <v>2</v>
      </c>
      <c r="I1" t="s">
        <v>3</v>
      </c>
      <c r="K1" t="s">
        <v>11</v>
      </c>
      <c r="N1" t="s">
        <v>12</v>
      </c>
      <c r="P1" t="s">
        <v>3</v>
      </c>
      <c r="R1" t="s">
        <v>13</v>
      </c>
      <c r="W1" t="s">
        <v>15</v>
      </c>
    </row>
    <row r="2" spans="1:25" x14ac:dyDescent="0.3">
      <c r="A2">
        <v>1</v>
      </c>
      <c r="B2">
        <v>1214.44</v>
      </c>
      <c r="D2" t="s">
        <v>4</v>
      </c>
      <c r="G2" t="s">
        <v>4</v>
      </c>
      <c r="I2" t="s">
        <v>6</v>
      </c>
      <c r="K2" t="s">
        <v>4</v>
      </c>
      <c r="N2" t="s">
        <v>4</v>
      </c>
      <c r="P2" t="s">
        <v>6</v>
      </c>
      <c r="R2">
        <v>2218.09</v>
      </c>
      <c r="W2">
        <f>R2-B2</f>
        <v>1003.6500000000001</v>
      </c>
    </row>
    <row r="3" spans="1:25" x14ac:dyDescent="0.3">
      <c r="A3">
        <v>2</v>
      </c>
      <c r="B3">
        <v>1214.6600000000001</v>
      </c>
      <c r="R3">
        <v>2213.61</v>
      </c>
      <c r="W3">
        <f t="shared" ref="W3:W5" si="0">R3-B3</f>
        <v>998.95</v>
      </c>
    </row>
    <row r="4" spans="1:25" x14ac:dyDescent="0.3">
      <c r="A4">
        <v>3</v>
      </c>
      <c r="B4">
        <v>1218.03</v>
      </c>
      <c r="R4">
        <v>2219.0700000000002</v>
      </c>
      <c r="W4">
        <f t="shared" si="0"/>
        <v>1001.0400000000002</v>
      </c>
    </row>
    <row r="5" spans="1:25" x14ac:dyDescent="0.3">
      <c r="A5">
        <v>4</v>
      </c>
      <c r="B5">
        <v>1214.96</v>
      </c>
      <c r="R5">
        <v>2220.8200000000002</v>
      </c>
      <c r="W5">
        <f t="shared" si="0"/>
        <v>1005.8600000000001</v>
      </c>
    </row>
    <row r="6" spans="1:25" x14ac:dyDescent="0.3">
      <c r="A6">
        <v>5</v>
      </c>
      <c r="B6">
        <v>1215.32</v>
      </c>
      <c r="D6">
        <v>2264.7800000000002</v>
      </c>
      <c r="G6">
        <f>D6-B6</f>
        <v>1049.4600000000003</v>
      </c>
      <c r="I6">
        <f>G6</f>
        <v>1049.4600000000003</v>
      </c>
      <c r="K6">
        <v>2322.77</v>
      </c>
      <c r="N6">
        <f>K6-B6</f>
        <v>1107.45</v>
      </c>
      <c r="P6">
        <f>N6</f>
        <v>1107.45</v>
      </c>
    </row>
    <row r="7" spans="1:25" x14ac:dyDescent="0.3">
      <c r="A7">
        <v>6</v>
      </c>
      <c r="B7">
        <v>1218.49</v>
      </c>
      <c r="D7">
        <v>2302.17</v>
      </c>
      <c r="G7">
        <f t="shared" ref="G7:G10" si="1">D7-B7</f>
        <v>1083.68</v>
      </c>
      <c r="I7">
        <f t="shared" ref="I7:I10" si="2">G7</f>
        <v>1083.68</v>
      </c>
      <c r="K7">
        <v>2339.9699999999998</v>
      </c>
      <c r="N7">
        <f t="shared" ref="N7:N10" si="3">K7-B7</f>
        <v>1121.4799999999998</v>
      </c>
      <c r="P7">
        <f t="shared" ref="P7:P10" si="4">N7</f>
        <v>1121.4799999999998</v>
      </c>
      <c r="W7" t="s">
        <v>14</v>
      </c>
      <c r="Y7" t="s">
        <v>38</v>
      </c>
    </row>
    <row r="8" spans="1:25" x14ac:dyDescent="0.3">
      <c r="A8">
        <v>7</v>
      </c>
      <c r="B8">
        <v>1220.8599999999999</v>
      </c>
      <c r="D8">
        <v>2348.83</v>
      </c>
      <c r="G8">
        <f t="shared" si="1"/>
        <v>1127.97</v>
      </c>
      <c r="I8">
        <f t="shared" si="2"/>
        <v>1127.97</v>
      </c>
      <c r="K8">
        <v>2301.44</v>
      </c>
      <c r="N8">
        <f t="shared" si="3"/>
        <v>1080.5800000000002</v>
      </c>
      <c r="P8">
        <f t="shared" si="4"/>
        <v>1080.5800000000002</v>
      </c>
      <c r="W8" t="s">
        <v>16</v>
      </c>
    </row>
    <row r="9" spans="1:25" x14ac:dyDescent="0.3">
      <c r="A9">
        <v>8</v>
      </c>
      <c r="B9">
        <v>1234.04</v>
      </c>
      <c r="D9">
        <v>2301.4899999999998</v>
      </c>
      <c r="G9">
        <f t="shared" si="1"/>
        <v>1067.4499999999998</v>
      </c>
      <c r="I9">
        <f t="shared" si="2"/>
        <v>1067.4499999999998</v>
      </c>
      <c r="K9">
        <v>2320.5500000000002</v>
      </c>
      <c r="N9">
        <f t="shared" si="3"/>
        <v>1086.5100000000002</v>
      </c>
      <c r="P9">
        <f t="shared" si="4"/>
        <v>1086.5100000000002</v>
      </c>
      <c r="W9">
        <f>W2/$P$12</f>
        <v>0.91357847135242198</v>
      </c>
      <c r="Y9">
        <f>1-W9</f>
        <v>8.6421528647578016E-2</v>
      </c>
    </row>
    <row r="10" spans="1:25" x14ac:dyDescent="0.3">
      <c r="A10">
        <v>9</v>
      </c>
      <c r="B10">
        <v>1211.8499999999999</v>
      </c>
      <c r="D10">
        <v>2304.14</v>
      </c>
      <c r="G10">
        <f t="shared" si="1"/>
        <v>1092.29</v>
      </c>
      <c r="I10">
        <f t="shared" si="2"/>
        <v>1092.29</v>
      </c>
      <c r="K10">
        <v>2308.79</v>
      </c>
      <c r="N10">
        <f t="shared" si="3"/>
        <v>1096.94</v>
      </c>
      <c r="P10">
        <f t="shared" si="4"/>
        <v>1096.94</v>
      </c>
      <c r="W10">
        <f t="shared" ref="W10:W12" si="5">W3/$P$12</f>
        <v>0.90930026797937724</v>
      </c>
      <c r="Y10">
        <f t="shared" ref="Y10:Y12" si="6">1-W10</f>
        <v>9.0699732020622759E-2</v>
      </c>
    </row>
    <row r="11" spans="1:25" x14ac:dyDescent="0.3">
      <c r="A11" t="s">
        <v>0</v>
      </c>
      <c r="W11">
        <f t="shared" si="5"/>
        <v>0.911202703096327</v>
      </c>
      <c r="Y11">
        <f t="shared" si="6"/>
        <v>8.8797296903672995E-2</v>
      </c>
    </row>
    <row r="12" spans="1:25" x14ac:dyDescent="0.3">
      <c r="G12" t="s">
        <v>7</v>
      </c>
      <c r="I12">
        <f>SUM(I6:I10)/5</f>
        <v>1084.17</v>
      </c>
      <c r="J12" t="s">
        <v>8</v>
      </c>
      <c r="N12" t="s">
        <v>7</v>
      </c>
      <c r="P12">
        <f>SUM(P6:P10)/5</f>
        <v>1098.5920000000001</v>
      </c>
      <c r="W12">
        <f t="shared" si="5"/>
        <v>0.9155901371937899</v>
      </c>
      <c r="Y12">
        <f t="shared" si="6"/>
        <v>8.4409862806210101E-2</v>
      </c>
    </row>
    <row r="13" spans="1:25" x14ac:dyDescent="0.3">
      <c r="A13" t="s">
        <v>10</v>
      </c>
      <c r="G13" t="s">
        <v>9</v>
      </c>
      <c r="I13">
        <f>_xlfn.STDEV.S(I6:I10)</f>
        <v>29.448926126431118</v>
      </c>
      <c r="P13">
        <f>_xlfn.STDEV.S(P6:P10)</f>
        <v>16.397108586576937</v>
      </c>
    </row>
    <row r="14" spans="1:25" x14ac:dyDescent="0.3">
      <c r="A14" t="s">
        <v>37</v>
      </c>
      <c r="W14" t="s">
        <v>17</v>
      </c>
    </row>
    <row r="15" spans="1:25" x14ac:dyDescent="0.3">
      <c r="W15" t="s">
        <v>18</v>
      </c>
    </row>
    <row r="16" spans="1:25" x14ac:dyDescent="0.3">
      <c r="A16" t="s">
        <v>5</v>
      </c>
      <c r="D16" t="s">
        <v>25</v>
      </c>
      <c r="F16" t="s">
        <v>21</v>
      </c>
      <c r="H16" t="s">
        <v>22</v>
      </c>
      <c r="J16" t="s">
        <v>23</v>
      </c>
      <c r="L16" t="s">
        <v>30</v>
      </c>
      <c r="W16">
        <f>SUM(W9:W12)/4</f>
        <v>0.91241789490547898</v>
      </c>
    </row>
    <row r="17" spans="1:24" x14ac:dyDescent="0.3">
      <c r="A17">
        <v>1</v>
      </c>
      <c r="B17">
        <v>1214.44</v>
      </c>
      <c r="D17">
        <v>2.2820200000000002</v>
      </c>
      <c r="J17">
        <v>2.2636400000000001</v>
      </c>
      <c r="K17">
        <v>2243.7600000000002</v>
      </c>
      <c r="L17">
        <f>D17-$B17/1000</f>
        <v>1.0675800000000002</v>
      </c>
      <c r="R17">
        <f>J17-$B17/1000</f>
        <v>1.0492000000000001</v>
      </c>
      <c r="S17">
        <f>(K17-B17)/1000</f>
        <v>1.0293200000000002</v>
      </c>
    </row>
    <row r="18" spans="1:24" x14ac:dyDescent="0.3">
      <c r="A18">
        <v>2</v>
      </c>
      <c r="B18">
        <v>1214.6600000000001</v>
      </c>
      <c r="H18">
        <v>2.27948</v>
      </c>
      <c r="P18">
        <f>H18-$B18/1000</f>
        <v>1.0648199999999999</v>
      </c>
      <c r="W18" t="s">
        <v>19</v>
      </c>
    </row>
    <row r="19" spans="1:24" x14ac:dyDescent="0.3">
      <c r="A19">
        <v>3</v>
      </c>
      <c r="B19">
        <v>1218.03</v>
      </c>
      <c r="D19">
        <v>2.2842899999999999</v>
      </c>
      <c r="L19">
        <f>D19-$B19/1000</f>
        <v>1.06626</v>
      </c>
      <c r="W19">
        <f>(1-W16)*100</f>
        <v>8.7582105094521019</v>
      </c>
      <c r="X19" t="s">
        <v>20</v>
      </c>
    </row>
    <row r="20" spans="1:24" x14ac:dyDescent="0.3">
      <c r="A20">
        <v>4</v>
      </c>
      <c r="B20">
        <v>1214.96</v>
      </c>
      <c r="F20">
        <v>2.2953299999999999</v>
      </c>
      <c r="J20">
        <v>2.24708</v>
      </c>
      <c r="K20">
        <v>2244.62</v>
      </c>
      <c r="N20">
        <f>F20-$B20/1000</f>
        <v>1.0803699999999998</v>
      </c>
      <c r="R20">
        <f>J20-$B20/1000</f>
        <v>1.0321199999999999</v>
      </c>
      <c r="S20">
        <f t="shared" ref="S20:S23" si="7">(K20-B20)/1000</f>
        <v>1.0296599999999998</v>
      </c>
    </row>
    <row r="21" spans="1:24" x14ac:dyDescent="0.3">
      <c r="A21">
        <v>5</v>
      </c>
      <c r="B21">
        <v>1215.32</v>
      </c>
      <c r="D21">
        <v>2.2838400000000001</v>
      </c>
      <c r="L21">
        <f>D21-$B21/1000</f>
        <v>1.0685200000000001</v>
      </c>
    </row>
    <row r="22" spans="1:24" x14ac:dyDescent="0.3">
      <c r="A22">
        <v>6</v>
      </c>
      <c r="B22">
        <v>1218.49</v>
      </c>
      <c r="F22">
        <v>2.2982200000000002</v>
      </c>
      <c r="N22">
        <f>F22-$B22/1000</f>
        <v>1.0797300000000001</v>
      </c>
    </row>
    <row r="23" spans="1:24" x14ac:dyDescent="0.3">
      <c r="A23">
        <v>7</v>
      </c>
      <c r="B23">
        <v>1220.8599999999999</v>
      </c>
      <c r="H23">
        <v>2.2685900000000001</v>
      </c>
      <c r="J23">
        <v>2.2415500000000002</v>
      </c>
      <c r="K23">
        <v>2247.4499999999998</v>
      </c>
      <c r="P23">
        <f>H23-$B23/1000</f>
        <v>1.0477300000000003</v>
      </c>
      <c r="R23">
        <f>J23-$B23/1000</f>
        <v>1.0206900000000003</v>
      </c>
      <c r="S23">
        <f t="shared" si="7"/>
        <v>1.0265899999999999</v>
      </c>
    </row>
    <row r="24" spans="1:24" x14ac:dyDescent="0.3">
      <c r="A24">
        <v>8</v>
      </c>
      <c r="B24">
        <v>1234.04</v>
      </c>
      <c r="F24">
        <v>2.3084899999999999</v>
      </c>
      <c r="N24">
        <f>F24-$B24/1000</f>
        <v>1.0744499999999999</v>
      </c>
    </row>
    <row r="25" spans="1:24" x14ac:dyDescent="0.3">
      <c r="A25">
        <v>9</v>
      </c>
      <c r="B25">
        <v>1211.8499999999999</v>
      </c>
      <c r="E25" t="s">
        <v>27</v>
      </c>
      <c r="G25" t="s">
        <v>27</v>
      </c>
      <c r="H25">
        <v>2.2494399999999999</v>
      </c>
      <c r="I25" t="s">
        <v>27</v>
      </c>
      <c r="K25" t="s">
        <v>27</v>
      </c>
      <c r="P25">
        <f>H25-$B25/1000</f>
        <v>1.03759</v>
      </c>
    </row>
    <row r="26" spans="1:24" x14ac:dyDescent="0.3">
      <c r="A26" t="s">
        <v>31</v>
      </c>
      <c r="D26" t="s">
        <v>24</v>
      </c>
      <c r="F26" t="s">
        <v>24</v>
      </c>
      <c r="H26" t="s">
        <v>24</v>
      </c>
      <c r="J26" t="s">
        <v>24</v>
      </c>
    </row>
    <row r="27" spans="1:24" x14ac:dyDescent="0.3">
      <c r="A27">
        <v>19.244330000000001</v>
      </c>
      <c r="E27">
        <v>22.863800000000001</v>
      </c>
      <c r="G27">
        <v>25.482600000000001</v>
      </c>
      <c r="I27">
        <v>23.89603</v>
      </c>
      <c r="K27">
        <v>23.92877</v>
      </c>
      <c r="L27" t="s">
        <v>27</v>
      </c>
    </row>
    <row r="28" spans="1:24" x14ac:dyDescent="0.3">
      <c r="A28">
        <v>19.24699</v>
      </c>
      <c r="D28" t="s">
        <v>26</v>
      </c>
      <c r="F28" t="s">
        <v>26</v>
      </c>
      <c r="H28" t="s">
        <v>26</v>
      </c>
      <c r="J28" t="s">
        <v>26</v>
      </c>
    </row>
    <row r="29" spans="1:24" x14ac:dyDescent="0.3">
      <c r="E29">
        <v>3.61</v>
      </c>
      <c r="G29">
        <v>6.08</v>
      </c>
      <c r="I29">
        <v>4.45</v>
      </c>
      <c r="K29">
        <v>4.5199999999999996</v>
      </c>
      <c r="L29" t="s">
        <v>28</v>
      </c>
    </row>
    <row r="30" spans="1:24" x14ac:dyDescent="0.3">
      <c r="A30" t="s">
        <v>32</v>
      </c>
      <c r="B30">
        <f>(A28+A27)/2</f>
        <v>19.245660000000001</v>
      </c>
      <c r="D30" t="s">
        <v>3</v>
      </c>
      <c r="F30" t="s">
        <v>3</v>
      </c>
      <c r="H30" t="s">
        <v>3</v>
      </c>
      <c r="J30" t="s">
        <v>3</v>
      </c>
      <c r="L30">
        <v>1.0360862829999999</v>
      </c>
    </row>
    <row r="31" spans="1:24" x14ac:dyDescent="0.3">
      <c r="E31">
        <f>(E27-$B$30)/E29</f>
        <v>1.0022548476454296</v>
      </c>
      <c r="G31">
        <f>(G27-$B$30)/G29</f>
        <v>1.0258125</v>
      </c>
      <c r="I31">
        <f>(I27-$B$30)/I29</f>
        <v>1.0450269662921345</v>
      </c>
      <c r="K31">
        <v>1.0412999999999999</v>
      </c>
      <c r="L31" t="s">
        <v>29</v>
      </c>
      <c r="M31" s="1" t="s">
        <v>33</v>
      </c>
      <c r="P31" t="s">
        <v>34</v>
      </c>
    </row>
    <row r="32" spans="1:24" x14ac:dyDescent="0.3">
      <c r="A32" t="s">
        <v>35</v>
      </c>
      <c r="D32" t="s">
        <v>19</v>
      </c>
      <c r="F32" t="s">
        <v>19</v>
      </c>
      <c r="H32" t="s">
        <v>19</v>
      </c>
      <c r="J32" t="s">
        <v>19</v>
      </c>
      <c r="L32" t="s">
        <v>28</v>
      </c>
    </row>
    <row r="33" spans="3:12" x14ac:dyDescent="0.3">
      <c r="E33">
        <f>IF(1-L17/E$31&lt;1,1-L17/E$31,"")</f>
        <v>-6.5178185476515438E-2</v>
      </c>
      <c r="G33" t="str">
        <f>IF(1-N17/G$31&lt;1,1-N17/G$31,"")</f>
        <v/>
      </c>
      <c r="I33" t="str">
        <f>IF(1-P17/I$31&lt;1,1-P17/I$31,"")</f>
        <v/>
      </c>
      <c r="K33">
        <f>IF(1-R17/K$31&lt;1,1-R17/K$31,"")</f>
        <v>-7.5866705080189778E-3</v>
      </c>
      <c r="L33">
        <f>1-S17/$K$31</f>
        <v>1.1504849707096532E-2</v>
      </c>
    </row>
    <row r="34" spans="3:12" x14ac:dyDescent="0.3">
      <c r="E34" t="str">
        <f t="shared" ref="E34:K41" si="8">IF(1-L18/E$31&lt;1,1-L18/E$31,"")</f>
        <v/>
      </c>
      <c r="G34" t="str">
        <f t="shared" si="8"/>
        <v/>
      </c>
      <c r="I34">
        <f t="shared" si="8"/>
        <v>-1.8940213359367242E-2</v>
      </c>
      <c r="K34" t="str">
        <f t="shared" si="8"/>
        <v/>
      </c>
    </row>
    <row r="35" spans="3:12" x14ac:dyDescent="0.3">
      <c r="E35">
        <f t="shared" si="8"/>
        <v>-6.3861155179180118E-2</v>
      </c>
      <c r="G35" t="str">
        <f t="shared" si="8"/>
        <v/>
      </c>
      <c r="I35" t="str">
        <f t="shared" si="8"/>
        <v/>
      </c>
      <c r="K35" t="str">
        <f t="shared" si="8"/>
        <v/>
      </c>
    </row>
    <row r="36" spans="3:12" x14ac:dyDescent="0.3">
      <c r="E36" t="str">
        <f t="shared" si="8"/>
        <v/>
      </c>
      <c r="G36">
        <f t="shared" si="8"/>
        <v>-5.318467068786914E-2</v>
      </c>
      <c r="I36" t="str">
        <f t="shared" si="8"/>
        <v/>
      </c>
      <c r="K36">
        <f t="shared" si="8"/>
        <v>8.8159031979256897E-3</v>
      </c>
      <c r="L36">
        <f>1-S20/$K$31</f>
        <v>1.1178334773840448E-2</v>
      </c>
    </row>
    <row r="37" spans="3:12" x14ac:dyDescent="0.3">
      <c r="E37">
        <f t="shared" si="8"/>
        <v>-6.6116070688253981E-2</v>
      </c>
      <c r="G37" t="str">
        <f t="shared" si="8"/>
        <v/>
      </c>
      <c r="I37" t="str">
        <f t="shared" si="8"/>
        <v/>
      </c>
      <c r="K37" t="str">
        <f t="shared" si="8"/>
        <v/>
      </c>
    </row>
    <row r="38" spans="3:12" x14ac:dyDescent="0.3">
      <c r="E38" t="str">
        <f t="shared" si="8"/>
        <v/>
      </c>
      <c r="G38">
        <f t="shared" si="8"/>
        <v>-5.2560774995430437E-2</v>
      </c>
      <c r="I38" t="str">
        <f t="shared" si="8"/>
        <v/>
      </c>
      <c r="K38" t="str">
        <f t="shared" si="8"/>
        <v/>
      </c>
    </row>
    <row r="39" spans="3:12" x14ac:dyDescent="0.3">
      <c r="E39" t="str">
        <f t="shared" si="8"/>
        <v/>
      </c>
      <c r="G39" t="str">
        <f t="shared" si="8"/>
        <v/>
      </c>
      <c r="I39">
        <f t="shared" si="8"/>
        <v>-2.5865683805810225E-3</v>
      </c>
      <c r="K39">
        <f t="shared" si="8"/>
        <v>1.9792566983577786E-2</v>
      </c>
      <c r="L39">
        <f>1-S23/$K$31</f>
        <v>1.4126572553538885E-2</v>
      </c>
    </row>
    <row r="40" spans="3:12" x14ac:dyDescent="0.3">
      <c r="E40" t="str">
        <f t="shared" si="8"/>
        <v/>
      </c>
      <c r="G40">
        <f t="shared" si="8"/>
        <v>-4.7413635532809195E-2</v>
      </c>
      <c r="I40" t="str">
        <f t="shared" si="8"/>
        <v/>
      </c>
      <c r="K40" t="str">
        <f t="shared" si="8"/>
        <v/>
      </c>
    </row>
    <row r="41" spans="3:12" x14ac:dyDescent="0.3">
      <c r="E41" t="str">
        <f t="shared" si="8"/>
        <v/>
      </c>
      <c r="G41" t="str">
        <f t="shared" si="8"/>
        <v/>
      </c>
      <c r="I41">
        <f t="shared" si="8"/>
        <v>7.1165305126256184E-3</v>
      </c>
      <c r="K41" t="str">
        <f t="shared" si="8"/>
        <v/>
      </c>
    </row>
    <row r="42" spans="3:12" x14ac:dyDescent="0.3">
      <c r="D42" t="s">
        <v>36</v>
      </c>
    </row>
    <row r="43" spans="3:12" x14ac:dyDescent="0.3">
      <c r="E43">
        <f>SUM(E33:E41)/COUNT(E33:E41)</f>
        <v>-6.5051803781316517E-2</v>
      </c>
      <c r="G43">
        <f>SUM(G33:G41)/COUNT(G33:G41)</f>
        <v>-5.105302707203626E-2</v>
      </c>
      <c r="I43">
        <f>SUM(I33:I41)/COUNT(I33:I41)</f>
        <v>-4.803417075774215E-3</v>
      </c>
      <c r="K43">
        <f>SUM(K33:K41)/COUNT(K33:K41)</f>
        <v>7.0072665578281663E-3</v>
      </c>
    </row>
    <row r="47" spans="3:12" x14ac:dyDescent="0.3">
      <c r="C47" t="s">
        <v>39</v>
      </c>
    </row>
    <row r="48" spans="3:12" x14ac:dyDescent="0.3">
      <c r="C48">
        <v>4</v>
      </c>
      <c r="D48">
        <f>E33</f>
        <v>-6.5178185476515438E-2</v>
      </c>
    </row>
    <row r="49" spans="3:4" x14ac:dyDescent="0.3">
      <c r="C49">
        <v>4</v>
      </c>
      <c r="D49">
        <f>E35</f>
        <v>-6.3861155179180118E-2</v>
      </c>
    </row>
    <row r="50" spans="3:4" x14ac:dyDescent="0.3">
      <c r="C50">
        <v>4</v>
      </c>
      <c r="D50">
        <f>E37</f>
        <v>-6.6116070688253981E-2</v>
      </c>
    </row>
    <row r="51" spans="3:4" x14ac:dyDescent="0.3">
      <c r="C51">
        <v>6</v>
      </c>
      <c r="D51">
        <f>G36</f>
        <v>-5.318467068786914E-2</v>
      </c>
    </row>
    <row r="52" spans="3:4" x14ac:dyDescent="0.3">
      <c r="C52">
        <v>6</v>
      </c>
      <c r="D52">
        <f>G38</f>
        <v>-5.2560774995430437E-2</v>
      </c>
    </row>
    <row r="53" spans="3:4" x14ac:dyDescent="0.3">
      <c r="C53">
        <v>6</v>
      </c>
      <c r="D53">
        <f>G40</f>
        <v>-4.7413635532809195E-2</v>
      </c>
    </row>
    <row r="54" spans="3:4" x14ac:dyDescent="0.3">
      <c r="C54">
        <v>8</v>
      </c>
      <c r="D54">
        <f>I34</f>
        <v>-1.8940213359367242E-2</v>
      </c>
    </row>
    <row r="55" spans="3:4" x14ac:dyDescent="0.3">
      <c r="C55">
        <v>8</v>
      </c>
      <c r="D55">
        <f>I39</f>
        <v>-2.5865683805810225E-3</v>
      </c>
    </row>
    <row r="56" spans="3:4" x14ac:dyDescent="0.3">
      <c r="C56">
        <v>8</v>
      </c>
      <c r="D56">
        <f>I41</f>
        <v>7.1165305126256184E-3</v>
      </c>
    </row>
    <row r="57" spans="3:4" x14ac:dyDescent="0.3">
      <c r="C57">
        <v>10</v>
      </c>
      <c r="D57">
        <f>K33</f>
        <v>-7.5866705080189778E-3</v>
      </c>
    </row>
    <row r="58" spans="3:4" x14ac:dyDescent="0.3">
      <c r="C58">
        <v>10</v>
      </c>
      <c r="D58">
        <f>K36</f>
        <v>8.8159031979256897E-3</v>
      </c>
    </row>
    <row r="59" spans="3:4" x14ac:dyDescent="0.3">
      <c r="C59">
        <v>10</v>
      </c>
      <c r="D59">
        <f>K39</f>
        <v>1.9792566983577786E-2</v>
      </c>
    </row>
    <row r="60" spans="3:4" x14ac:dyDescent="0.3">
      <c r="C60">
        <v>10</v>
      </c>
      <c r="D60">
        <f>L33</f>
        <v>1.1504849707096532E-2</v>
      </c>
    </row>
    <row r="61" spans="3:4" x14ac:dyDescent="0.3">
      <c r="C61">
        <v>10</v>
      </c>
      <c r="D61">
        <f>L36</f>
        <v>1.1178334773840448E-2</v>
      </c>
    </row>
    <row r="62" spans="3:4" x14ac:dyDescent="0.3">
      <c r="C62">
        <v>10</v>
      </c>
      <c r="D62">
        <f>L39</f>
        <v>1.4126572553538885E-2</v>
      </c>
    </row>
    <row r="63" spans="3:4" x14ac:dyDescent="0.3">
      <c r="C63">
        <v>12</v>
      </c>
      <c r="D63" cm="1">
        <f t="array" ref="D63:D66">Y9:Y12</f>
        <v>8.6421528647578016E-2</v>
      </c>
    </row>
    <row r="64" spans="3:4" x14ac:dyDescent="0.3">
      <c r="C64">
        <v>12</v>
      </c>
      <c r="D64">
        <v>9.0699732020622759E-2</v>
      </c>
    </row>
    <row r="65" spans="3:4" x14ac:dyDescent="0.3">
      <c r="C65">
        <v>12</v>
      </c>
      <c r="D65">
        <v>8.8797296903672995E-2</v>
      </c>
    </row>
    <row r="66" spans="3:4" x14ac:dyDescent="0.3">
      <c r="C66">
        <v>12</v>
      </c>
      <c r="D66">
        <v>8.4409862806210101E-2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2023-05-18T17:13:28Z</dcterms:created>
  <dcterms:modified xsi:type="dcterms:W3CDTF">2023-05-26T22:54:04Z</dcterms:modified>
</cp:coreProperties>
</file>