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mc:AlternateContent xmlns:mc="http://schemas.openxmlformats.org/markup-compatibility/2006">
    <mc:Choice Requires="x15">
      <x15ac:absPath xmlns:x15ac="http://schemas.microsoft.com/office/spreadsheetml/2010/11/ac" url="/Users/pop/Sites/npb2/origin/"/>
    </mc:Choice>
  </mc:AlternateContent>
  <xr:revisionPtr revIDLastSave="0" documentId="13_ncr:1_{D5F32663-C5BA-9342-A094-5BC68132B15F}" xr6:coauthVersionLast="45" xr6:coauthVersionMax="45" xr10:uidLastSave="{00000000-0000-0000-0000-000000000000}"/>
  <bookViews>
    <workbookView xWindow="0" yWindow="0" windowWidth="28800" windowHeight="18000" tabRatio="921" activeTab="5" xr2:uid="{00000000-000D-0000-FFFF-FFFF00000000}"/>
  </bookViews>
  <sheets>
    <sheet name=" YLD 2014 " sheetId="17" r:id="rId1"/>
    <sheet name="From MR worksheet2014" sheetId="9" r:id="rId2"/>
    <sheet name="Dismod 2014" sheetId="3" r:id="rId3"/>
    <sheet name="BW 2014" sheetId="11" r:id="rId4"/>
    <sheet name="Pop 2557 (2014)" sheetId="13" r:id="rId5"/>
    <sheet name="Model summary 2014" sheetId="10" r:id="rId6"/>
    <sheet name="Disability &amp; literature  2014" sheetId="14" r:id="rId7"/>
    <sheet name="Sequelae literature (2014)" sheetId="15" r:id="rId8"/>
    <sheet name="References 2014" sheetId="16" r:id="rId9"/>
    <sheet name="expert meeting summary" sheetId="19" r:id="rId10"/>
  </sheets>
  <externalReferences>
    <externalReference r:id="rId11"/>
    <externalReference r:id="rId12"/>
  </externalReferences>
  <definedNames>
    <definedName name="aa" localSheetId="0">#REF!</definedName>
    <definedName name="aa">#REF!</definedName>
    <definedName name="age_onset_females" localSheetId="0">#REF!</definedName>
    <definedName name="age_onset_females">#REF!</definedName>
    <definedName name="age_onset_males" localSheetId="0">#REF!</definedName>
    <definedName name="age_onset_males">#REF!</definedName>
    <definedName name="Agewt" localSheetId="0">#REF!</definedName>
    <definedName name="Agewt">#REF!</definedName>
    <definedName name="Analyst" localSheetId="0">#REF!</definedName>
    <definedName name="Analyst">#REF!</definedName>
    <definedName name="Beta" localSheetId="0">#REF!</definedName>
    <definedName name="Beta">#REF!</definedName>
    <definedName name="BplusR" localSheetId="0">#REF!</definedName>
    <definedName name="BplusR">#REF!</definedName>
    <definedName name="Const" localSheetId="0">#REF!</definedName>
    <definedName name="Const">#REF!</definedName>
    <definedName name="CP_inc_Females" localSheetId="0">' YLD 2014 '!#REF!</definedName>
    <definedName name="CP_inc_Females" localSheetId="5">'[1]D2 YLDs'!#REF!</definedName>
    <definedName name="CP_inc_Females">#REF!</definedName>
    <definedName name="CP_inc_Males" localSheetId="0">' YLD 2014 '!#REF!</definedName>
    <definedName name="CP_inc_Males" localSheetId="5">'[1]D2 YLDs'!#REF!</definedName>
    <definedName name="CP_inc_Males">#REF!</definedName>
    <definedName name="cure" localSheetId="0">#REF!</definedName>
    <definedName name="cure" localSheetId="4">#REF!</definedName>
    <definedName name="cure">#REF!</definedName>
    <definedName name="cure_period" localSheetId="0">#REF!</definedName>
    <definedName name="cure_period" localSheetId="4">#REF!</definedName>
    <definedName name="cure_period">#REF!</definedName>
    <definedName name="cure_rate_females" localSheetId="0">#REF!</definedName>
    <definedName name="cure_rate_females" localSheetId="4">#REF!</definedName>
    <definedName name="cure_rate_females">#REF!</definedName>
    <definedName name="cure_rate_males" localSheetId="0">#REF!</definedName>
    <definedName name="cure_rate_males">#REF!</definedName>
    <definedName name="cure_wt" localSheetId="0">#REF!</definedName>
    <definedName name="cure_wt">#REF!</definedName>
    <definedName name="D1_dur_Females" localSheetId="0">#REF!</definedName>
    <definedName name="D1_dur_Females" localSheetId="5">#REF!</definedName>
    <definedName name="D1_dur_Females">#REF!</definedName>
    <definedName name="D1_dur_Males" localSheetId="0">#REF!</definedName>
    <definedName name="D1_dur_Males" localSheetId="5">#REF!</definedName>
    <definedName name="D1_dur_Males">#REF!</definedName>
    <definedName name="D1_inc_Females" localSheetId="0">#REF!</definedName>
    <definedName name="D1_inc_Females" localSheetId="5">#REF!</definedName>
    <definedName name="D1_inc_Females">#REF!</definedName>
    <definedName name="D1_inc_Males" localSheetId="0">#REF!</definedName>
    <definedName name="D1_inc_Males">#REF!</definedName>
    <definedName name="D1_YLDs_Females" localSheetId="0">#REF!</definedName>
    <definedName name="D1_YLDs_Females">#REF!</definedName>
    <definedName name="D1_YLDs_Males" localSheetId="0">#REF!</definedName>
    <definedName name="D1_YLDs_Males">#REF!</definedName>
    <definedName name="D2_dur_Females" localSheetId="0">#REF!</definedName>
    <definedName name="D2_dur_Females" localSheetId="2">#REF!</definedName>
    <definedName name="D2_dur_Females">#REF!</definedName>
    <definedName name="D2_dur_Males" localSheetId="0">#REF!</definedName>
    <definedName name="D2_dur_Males" localSheetId="2">#REF!</definedName>
    <definedName name="D2_dur_Males">#REF!</definedName>
    <definedName name="D2_inc_Females" localSheetId="0">#REF!</definedName>
    <definedName name="D2_inc_Females" localSheetId="2">#REF!</definedName>
    <definedName name="D2_inc_Females">#REF!</definedName>
    <definedName name="D2_inc_Males" localSheetId="0">#REF!</definedName>
    <definedName name="D2_inc_Males" localSheetId="2">#REF!</definedName>
    <definedName name="D2_inc_Males">#REF!</definedName>
    <definedName name="D2_YLDs_Females" localSheetId="0">#REF!</definedName>
    <definedName name="D2_YLDs_Females" localSheetId="2">#REF!</definedName>
    <definedName name="D2_YLDs_Females">#REF!</definedName>
    <definedName name="D2_YLDs_Males" localSheetId="0">#REF!</definedName>
    <definedName name="D2_YLDs_Males" localSheetId="2">#REF!</definedName>
    <definedName name="D2_YLDs_Males">#REF!</definedName>
    <definedName name="Date" localSheetId="0">#REF!</definedName>
    <definedName name="Date">#REF!</definedName>
    <definedName name="Disability_weights" localSheetId="0">' YLD 2014 '!$B$33:$F$41</definedName>
    <definedName name="Disability_weights">#REF!</definedName>
    <definedName name="Inc" localSheetId="0">#REF!</definedName>
    <definedName name="Inc" localSheetId="4">#REF!</definedName>
    <definedName name="Inc">#REF!</definedName>
    <definedName name="Inc_Females" localSheetId="0">#REF!</definedName>
    <definedName name="Inc_Females" localSheetId="5">#REF!</definedName>
    <definedName name="Inc_Females">#REF!</definedName>
    <definedName name="Inc_Males" localSheetId="0">#REF!</definedName>
    <definedName name="Inc_Males" localSheetId="5">#REF!</definedName>
    <definedName name="Inc_Males">#REF!</definedName>
    <definedName name="incidence_females" localSheetId="0">#REF!</definedName>
    <definedName name="incidence_females">#REF!</definedName>
    <definedName name="incidence_males" localSheetId="0">#REF!</definedName>
    <definedName name="incidence_males">#REF!</definedName>
    <definedName name="initial" localSheetId="0">#REF!</definedName>
    <definedName name="initial">#REF!</definedName>
    <definedName name="initial_wt" localSheetId="0">#REF!</definedName>
    <definedName name="initial_wt">#REF!</definedName>
    <definedName name="m_65over" localSheetId="0">#REF!</definedName>
    <definedName name="m_65over">#REF!</definedName>
    <definedName name="m13_44" localSheetId="0">#REF!</definedName>
    <definedName name="m13_44">#REF!</definedName>
    <definedName name="m13_45" localSheetId="0">#REF!</definedName>
    <definedName name="m13_45">#REF!</definedName>
    <definedName name="m45_64" localSheetId="0">#REF!</definedName>
    <definedName name="m45_64">#REF!</definedName>
    <definedName name="mortality_1996" localSheetId="0">#REF!</definedName>
    <definedName name="mortality_1996">#REF!</definedName>
    <definedName name="new_cases" localSheetId="0">#REF!</definedName>
    <definedName name="new_cases">#REF!</definedName>
    <definedName name="oook" localSheetId="0">#REF!</definedName>
    <definedName name="oook">#REF!</definedName>
    <definedName name="pop_factor" localSheetId="0">#REF!</definedName>
    <definedName name="pop_factor">#REF!</definedName>
    <definedName name="preterminal" localSheetId="0">#REF!</definedName>
    <definedName name="preterminal">#REF!</definedName>
    <definedName name="preterminal_wt" localSheetId="0">#REF!</definedName>
    <definedName name="preterminal_wt">#REF!</definedName>
    <definedName name="Rate" localSheetId="0">#REF!</definedName>
    <definedName name="Rate">#REF!</definedName>
    <definedName name="remission_females" localSheetId="0">#REF!</definedName>
    <definedName name="remission_females">#REF!</definedName>
    <definedName name="remission_males" localSheetId="0">#REF!</definedName>
    <definedName name="remission_males">#REF!</definedName>
    <definedName name="remission_wt" localSheetId="0">#REF!</definedName>
    <definedName name="remission_wt">#REF!</definedName>
    <definedName name="Seifa_analyst" localSheetId="0">#REF!</definedName>
    <definedName name="Seifa_analyst" localSheetId="3">#REF!</definedName>
    <definedName name="Seifa_analyst" localSheetId="5">#REF!</definedName>
    <definedName name="Seifa_analyst">#REF!</definedName>
    <definedName name="Seifa_date" localSheetId="0">#REF!</definedName>
    <definedName name="Seifa_date" localSheetId="3">#REF!</definedName>
    <definedName name="Seifa_date">#REF!</definedName>
    <definedName name="Seifa_status" localSheetId="0">#REF!</definedName>
    <definedName name="Seifa_status" localSheetId="3">#REF!</definedName>
    <definedName name="Seifa_status">#REF!</definedName>
    <definedName name="State_date" localSheetId="0">#REF!</definedName>
    <definedName name="State_date" localSheetId="3">#REF!</definedName>
    <definedName name="State_date">#REF!</definedName>
    <definedName name="States_analyst" localSheetId="0">#REF!</definedName>
    <definedName name="States_analyst" localSheetId="3">#REF!</definedName>
    <definedName name="States_analyst">#REF!</definedName>
    <definedName name="States_date" localSheetId="0">#REF!</definedName>
    <definedName name="States_date" localSheetId="3">#REF!</definedName>
    <definedName name="States_date">#REF!</definedName>
    <definedName name="States_status" localSheetId="0">#REF!</definedName>
    <definedName name="States_status" localSheetId="3">#REF!</definedName>
    <definedName name="States_status">#REF!</definedName>
    <definedName name="Status" localSheetId="0">' YLD 2014 '!$J$3</definedName>
    <definedName name="Status" localSheetId="3">#REF!</definedName>
    <definedName name="Status" localSheetId="4">#REF!</definedName>
    <definedName name="Status">#REF!</definedName>
    <definedName name="terminal" localSheetId="0">#REF!</definedName>
    <definedName name="terminal" localSheetId="4">#REF!</definedName>
    <definedName name="terminal">#REF!</definedName>
    <definedName name="terminal_phase" localSheetId="0">#REF!</definedName>
    <definedName name="terminal_phase" localSheetId="4">#REF!</definedName>
    <definedName name="terminal_phase">#REF!</definedName>
    <definedName name="terminal_wt" localSheetId="0">#REF!</definedName>
    <definedName name="terminal_wt" localSheetId="4">#REF!</definedName>
    <definedName name="terminal_wt">#REF!</definedName>
    <definedName name="trt_prop" localSheetId="0">#REF!</definedName>
    <definedName name="trt_p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2" i="17" l="1"/>
  <c r="C52" i="17"/>
  <c r="D52" i="17"/>
  <c r="E52" i="17"/>
  <c r="F52" i="17"/>
  <c r="G52" i="17"/>
  <c r="H52" i="17"/>
  <c r="I52" i="17"/>
  <c r="B51" i="17"/>
  <c r="C51" i="17"/>
  <c r="D51" i="17"/>
  <c r="E51" i="17"/>
  <c r="F51" i="17"/>
  <c r="G51" i="17"/>
  <c r="H51" i="17"/>
  <c r="I51" i="17"/>
  <c r="J51" i="17" l="1"/>
  <c r="J52" i="17"/>
  <c r="I15" i="10" a="1"/>
  <c r="I15" i="10" s="1"/>
  <c r="I16" i="10" a="1"/>
  <c r="I16" i="10" s="1"/>
  <c r="I17" i="10" a="1"/>
  <c r="I17" i="10" s="1"/>
  <c r="K52" i="17" l="1"/>
  <c r="K51" i="17"/>
  <c r="J7" i="13" l="1"/>
  <c r="K7" i="13"/>
  <c r="J8" i="13"/>
  <c r="K8" i="13"/>
  <c r="J9" i="13"/>
  <c r="K9" i="13"/>
  <c r="J10" i="13"/>
  <c r="K10" i="13"/>
  <c r="J11" i="13"/>
  <c r="K11" i="13"/>
  <c r="J12" i="13"/>
  <c r="K12" i="13"/>
  <c r="J13" i="13"/>
  <c r="K13" i="13"/>
  <c r="J14" i="13"/>
  <c r="K14" i="13"/>
  <c r="J15" i="13" l="1"/>
  <c r="L15" i="13" s="1"/>
  <c r="K15" i="13"/>
  <c r="N84" i="17"/>
  <c r="N85" i="17" s="1"/>
  <c r="P87" i="17" l="1"/>
  <c r="I84" i="17" s="1"/>
  <c r="P88" i="17"/>
  <c r="J84" i="17" s="1"/>
  <c r="E119" i="17"/>
  <c r="B119" i="17"/>
  <c r="E118" i="17"/>
  <c r="B118" i="17"/>
  <c r="E117" i="17"/>
  <c r="B117" i="17"/>
  <c r="E116" i="17"/>
  <c r="B116" i="17"/>
  <c r="E115" i="17"/>
  <c r="B115" i="17"/>
  <c r="E114" i="17"/>
  <c r="B114" i="17"/>
  <c r="E113" i="17"/>
  <c r="B113" i="17"/>
  <c r="E112" i="17"/>
  <c r="B112" i="17"/>
  <c r="E111" i="17"/>
  <c r="B111" i="17"/>
  <c r="K104" i="17"/>
  <c r="G115" i="17" s="1"/>
  <c r="J104" i="17"/>
  <c r="F115" i="17" s="1"/>
  <c r="K103" i="17"/>
  <c r="G119" i="17" s="1"/>
  <c r="J103" i="17"/>
  <c r="F119" i="17" s="1"/>
  <c r="B103" i="17"/>
  <c r="K102" i="17"/>
  <c r="G118" i="17" s="1"/>
  <c r="J102" i="17"/>
  <c r="F118" i="17" s="1"/>
  <c r="B102" i="17"/>
  <c r="K101" i="17"/>
  <c r="G117" i="17" s="1"/>
  <c r="J101" i="17"/>
  <c r="F117" i="17" s="1"/>
  <c r="B101" i="17"/>
  <c r="K100" i="17"/>
  <c r="G116" i="17" s="1"/>
  <c r="J100" i="17"/>
  <c r="F116" i="17" s="1"/>
  <c r="B100" i="17"/>
  <c r="E78" i="17"/>
  <c r="E74" i="17"/>
  <c r="G111" i="17" l="1"/>
  <c r="G112" i="17"/>
  <c r="G113" i="17"/>
  <c r="G114" i="17"/>
  <c r="F111" i="17"/>
  <c r="F112" i="17"/>
  <c r="F113" i="17"/>
  <c r="F114" i="17"/>
  <c r="K84" i="17" l="1"/>
  <c r="L83" i="17"/>
  <c r="M84" i="17"/>
  <c r="B153" i="17" s="1" a="1"/>
  <c r="I115" i="17"/>
  <c r="M83" i="17"/>
  <c r="H115" i="17"/>
  <c r="L84" i="17"/>
  <c r="B142" i="17" s="1" a="1"/>
  <c r="G142" i="17" l="1"/>
  <c r="G165" i="17" s="1"/>
  <c r="D142" i="17"/>
  <c r="D165" i="17" s="1"/>
  <c r="C142" i="17"/>
  <c r="C165" i="17" s="1"/>
  <c r="H142" i="17"/>
  <c r="H165" i="17" s="1"/>
  <c r="E142" i="17"/>
  <c r="E165" i="17" s="1"/>
  <c r="B142" i="17"/>
  <c r="B165" i="17" s="1"/>
  <c r="I142" i="17"/>
  <c r="I165" i="17" s="1"/>
  <c r="F142" i="17"/>
  <c r="F165" i="17" s="1"/>
  <c r="N115" i="17"/>
  <c r="P115" i="17"/>
  <c r="K115" i="17"/>
  <c r="M115" i="17"/>
  <c r="O115" i="17"/>
  <c r="J115" i="17"/>
  <c r="I153" i="17"/>
  <c r="I176" i="17" s="1"/>
  <c r="G153" i="17"/>
  <c r="G176" i="17" s="1"/>
  <c r="E153" i="17"/>
  <c r="E176" i="17" s="1"/>
  <c r="C153" i="17"/>
  <c r="C176" i="17" s="1"/>
  <c r="F153" i="17"/>
  <c r="F176" i="17" s="1"/>
  <c r="H153" i="17"/>
  <c r="H176" i="17" s="1"/>
  <c r="B153" i="17"/>
  <c r="B176" i="17" s="1"/>
  <c r="D153" i="17"/>
  <c r="D176" i="17" s="1"/>
  <c r="J8" i="11" l="1"/>
  <c r="G44" i="15" l="1"/>
  <c r="G45" i="15" s="1"/>
  <c r="O10" i="11" l="1"/>
  <c r="N10" i="11"/>
  <c r="O9" i="11"/>
  <c r="N9" i="11"/>
  <c r="E72" i="17" s="1"/>
  <c r="P10" i="11" l="1"/>
  <c r="E73" i="17"/>
  <c r="N7" i="11"/>
  <c r="N6" i="11" s="1"/>
  <c r="O11" i="11"/>
  <c r="E76" i="17"/>
  <c r="J73" i="17"/>
  <c r="G72" i="17"/>
  <c r="L72" i="17"/>
  <c r="O12" i="11"/>
  <c r="E77" i="17"/>
  <c r="O7" i="11"/>
  <c r="O6" i="11" s="1"/>
  <c r="N11" i="11"/>
  <c r="N12" i="11"/>
  <c r="N13" i="11" l="1"/>
  <c r="O13" i="11"/>
  <c r="J77" i="17"/>
  <c r="K77" i="17" s="1"/>
  <c r="G76" i="17"/>
  <c r="L76" i="17" s="1"/>
  <c r="J78" i="17"/>
  <c r="J79" i="17" s="1"/>
  <c r="K73" i="17"/>
  <c r="I72" i="17"/>
  <c r="G74" i="17"/>
  <c r="G77" i="17"/>
  <c r="I77" i="17" s="1"/>
  <c r="G73" i="17"/>
  <c r="I73" i="17" s="1"/>
  <c r="F31" i="9"/>
  <c r="H119" i="17" s="1"/>
  <c r="I74" i="17" l="1"/>
  <c r="J119" i="17"/>
  <c r="M119" i="17"/>
  <c r="O119" i="17"/>
  <c r="I87" i="17"/>
  <c r="I86" i="17"/>
  <c r="K74" i="17"/>
  <c r="Q87" i="17"/>
  <c r="I85" i="17"/>
  <c r="L73" i="17"/>
  <c r="L74" i="17" s="1"/>
  <c r="Q82" i="17"/>
  <c r="Q84" i="17" s="1"/>
  <c r="I76" i="17"/>
  <c r="I78" i="17" s="1"/>
  <c r="I79" i="17" s="1"/>
  <c r="G78" i="17"/>
  <c r="K79" i="17" s="1"/>
  <c r="L77" i="17"/>
  <c r="L78" i="17" s="1"/>
  <c r="D31" i="9"/>
  <c r="H117" i="17" s="1"/>
  <c r="E31" i="9"/>
  <c r="H118" i="17" s="1"/>
  <c r="C31" i="9"/>
  <c r="H31" i="9"/>
  <c r="I117" i="17" s="1"/>
  <c r="I31" i="9"/>
  <c r="I118" i="17" s="1"/>
  <c r="J31" i="9"/>
  <c r="I119" i="17" s="1"/>
  <c r="G31" i="9"/>
  <c r="I88" i="17" l="1"/>
  <c r="Q83" i="17"/>
  <c r="G83" i="17"/>
  <c r="P89" i="17"/>
  <c r="G84" i="17"/>
  <c r="I14" i="10" s="1" a="1"/>
  <c r="I14" i="10" s="1"/>
  <c r="L88" i="17"/>
  <c r="B138" i="17" s="1" a="1"/>
  <c r="H111" i="17"/>
  <c r="N117" i="17"/>
  <c r="P117" i="17"/>
  <c r="K117" i="17"/>
  <c r="K118" i="17"/>
  <c r="N118" i="17"/>
  <c r="P118" i="17"/>
  <c r="J118" i="17"/>
  <c r="M118" i="17"/>
  <c r="O118" i="17"/>
  <c r="L79" i="17"/>
  <c r="M79" i="17" s="1"/>
  <c r="Q88" i="17"/>
  <c r="K78" i="17"/>
  <c r="J85" i="17"/>
  <c r="J87" i="17"/>
  <c r="J86" i="17"/>
  <c r="J88" i="17" s="1"/>
  <c r="O117" i="17"/>
  <c r="J117" i="17"/>
  <c r="M117" i="17"/>
  <c r="K119" i="17"/>
  <c r="P119" i="17"/>
  <c r="N119" i="17"/>
  <c r="L86" i="17"/>
  <c r="B139" i="17" s="1" a="1"/>
  <c r="K86" i="17"/>
  <c r="H112" i="17"/>
  <c r="H113" i="17"/>
  <c r="L87" i="17"/>
  <c r="B140" i="17" s="1" a="1"/>
  <c r="H116" i="17"/>
  <c r="B143" i="17" a="1"/>
  <c r="I89" i="17"/>
  <c r="L85" i="17"/>
  <c r="K85" i="17"/>
  <c r="H114" i="17"/>
  <c r="I116" i="17"/>
  <c r="B154" i="17" a="1"/>
  <c r="Z8" i="13"/>
  <c r="I55" i="17" s="1"/>
  <c r="Y8" i="13"/>
  <c r="H55" i="17" s="1"/>
  <c r="X8" i="13"/>
  <c r="G55" i="17" s="1"/>
  <c r="T8" i="13"/>
  <c r="C55" i="17" s="1"/>
  <c r="V8" i="13"/>
  <c r="E55" i="17" s="1"/>
  <c r="U8" i="13"/>
  <c r="D55" i="17" s="1"/>
  <c r="AA8" i="13"/>
  <c r="J55" i="17" s="1"/>
  <c r="W8" i="13"/>
  <c r="F55" i="17" s="1"/>
  <c r="Z7" i="13"/>
  <c r="I54" i="17" s="1"/>
  <c r="V7" i="13"/>
  <c r="E54" i="17" s="1"/>
  <c r="Y7" i="13"/>
  <c r="H54" i="17" s="1"/>
  <c r="U7" i="13"/>
  <c r="D54" i="17" s="1"/>
  <c r="X7" i="13"/>
  <c r="G54" i="17" s="1"/>
  <c r="T7" i="13"/>
  <c r="C54" i="17" s="1"/>
  <c r="AA7" i="13"/>
  <c r="J54" i="17" s="1"/>
  <c r="W7" i="13"/>
  <c r="F54" i="17" s="1"/>
  <c r="AA9" i="13"/>
  <c r="K116" i="17" l="1"/>
  <c r="N116" i="17"/>
  <c r="P116" i="17"/>
  <c r="I111" i="17"/>
  <c r="M88" i="17"/>
  <c r="B149" i="17" s="1" a="1"/>
  <c r="I13" i="10" a="1"/>
  <c r="I13" i="10" s="1"/>
  <c r="G88" i="17"/>
  <c r="J114" i="17"/>
  <c r="M114" i="17"/>
  <c r="O114" i="17"/>
  <c r="O113" i="17"/>
  <c r="J113" i="17"/>
  <c r="M113" i="17"/>
  <c r="H140" i="17"/>
  <c r="H163" i="17" s="1"/>
  <c r="B140" i="17"/>
  <c r="B163" i="17" s="1"/>
  <c r="C140" i="17"/>
  <c r="C163" i="17" s="1"/>
  <c r="I140" i="17"/>
  <c r="I163" i="17" s="1"/>
  <c r="G140" i="17"/>
  <c r="G163" i="17" s="1"/>
  <c r="F140" i="17"/>
  <c r="F163" i="17" s="1"/>
  <c r="E140" i="17"/>
  <c r="E163" i="17" s="1"/>
  <c r="D140" i="17"/>
  <c r="D163" i="17" s="1"/>
  <c r="B141" i="17" a="1"/>
  <c r="L89" i="17"/>
  <c r="M86" i="17"/>
  <c r="B150" i="17" s="1" a="1"/>
  <c r="I112" i="17"/>
  <c r="J111" i="17"/>
  <c r="M111" i="17"/>
  <c r="H120" i="17"/>
  <c r="O111" i="17"/>
  <c r="J112" i="17"/>
  <c r="M112" i="17"/>
  <c r="O112" i="17"/>
  <c r="K89" i="17"/>
  <c r="F139" i="17"/>
  <c r="F162" i="17" s="1"/>
  <c r="D139" i="17"/>
  <c r="D162" i="17" s="1"/>
  <c r="B139" i="17"/>
  <c r="B162" i="17" s="1"/>
  <c r="H139" i="17"/>
  <c r="H162" i="17" s="1"/>
  <c r="G139" i="17"/>
  <c r="G162" i="17" s="1"/>
  <c r="C139" i="17"/>
  <c r="C162" i="17" s="1"/>
  <c r="E139" i="17"/>
  <c r="E162" i="17" s="1"/>
  <c r="I139" i="17"/>
  <c r="I162" i="17" s="1"/>
  <c r="I113" i="17"/>
  <c r="M87" i="17"/>
  <c r="B151" i="17" s="1" a="1"/>
  <c r="K88" i="17"/>
  <c r="O116" i="17"/>
  <c r="J116" i="17"/>
  <c r="M116" i="17"/>
  <c r="G146" i="17"/>
  <c r="G169" i="17" s="1"/>
  <c r="H143" i="17"/>
  <c r="H166" i="17" s="1"/>
  <c r="B145" i="17"/>
  <c r="B168" i="17" s="1"/>
  <c r="F146" i="17"/>
  <c r="F169" i="17" s="1"/>
  <c r="D146" i="17"/>
  <c r="D169" i="17" s="1"/>
  <c r="C145" i="17"/>
  <c r="C168" i="17" s="1"/>
  <c r="D144" i="17"/>
  <c r="D167" i="17" s="1"/>
  <c r="B143" i="17"/>
  <c r="B166" i="17" s="1"/>
  <c r="H145" i="17"/>
  <c r="H168" i="17" s="1"/>
  <c r="G143" i="17"/>
  <c r="G166" i="17" s="1"/>
  <c r="I144" i="17"/>
  <c r="I167" i="17" s="1"/>
  <c r="F143" i="17"/>
  <c r="F166" i="17" s="1"/>
  <c r="I145" i="17"/>
  <c r="I168" i="17" s="1"/>
  <c r="E143" i="17"/>
  <c r="E166" i="17" s="1"/>
  <c r="E144" i="17"/>
  <c r="E167" i="17" s="1"/>
  <c r="D145" i="17"/>
  <c r="D168" i="17" s="1"/>
  <c r="I146" i="17"/>
  <c r="I169" i="17" s="1"/>
  <c r="F144" i="17"/>
  <c r="F167" i="17" s="1"/>
  <c r="B144" i="17"/>
  <c r="B167" i="17" s="1"/>
  <c r="H144" i="17"/>
  <c r="H167" i="17" s="1"/>
  <c r="E146" i="17"/>
  <c r="E169" i="17" s="1"/>
  <c r="C146" i="17"/>
  <c r="C169" i="17" s="1"/>
  <c r="G144" i="17"/>
  <c r="G167" i="17" s="1"/>
  <c r="I143" i="17"/>
  <c r="I166" i="17" s="1"/>
  <c r="C143" i="17"/>
  <c r="C166" i="17" s="1"/>
  <c r="B146" i="17"/>
  <c r="B169" i="17" s="1"/>
  <c r="G145" i="17"/>
  <c r="G168" i="17" s="1"/>
  <c r="F145" i="17"/>
  <c r="F168" i="17" s="1"/>
  <c r="H146" i="17"/>
  <c r="H169" i="17" s="1"/>
  <c r="C144" i="17"/>
  <c r="C167" i="17" s="1"/>
  <c r="E145" i="17"/>
  <c r="E168" i="17" s="1"/>
  <c r="D143" i="17"/>
  <c r="D166" i="17" s="1"/>
  <c r="I114" i="17"/>
  <c r="M85" i="17"/>
  <c r="J89" i="17"/>
  <c r="G138" i="17"/>
  <c r="H138" i="17"/>
  <c r="E138" i="17"/>
  <c r="B138" i="17"/>
  <c r="C138" i="17"/>
  <c r="I138" i="17"/>
  <c r="F138" i="17"/>
  <c r="D138" i="17"/>
  <c r="F157" i="17"/>
  <c r="F180" i="17" s="1"/>
  <c r="F155" i="17"/>
  <c r="F178" i="17" s="1"/>
  <c r="G157" i="17"/>
  <c r="G180" i="17" s="1"/>
  <c r="G155" i="17"/>
  <c r="G178" i="17" s="1"/>
  <c r="D154" i="17"/>
  <c r="D177" i="17" s="1"/>
  <c r="E156" i="17"/>
  <c r="E179" i="17" s="1"/>
  <c r="D156" i="17"/>
  <c r="D179" i="17" s="1"/>
  <c r="E154" i="17"/>
  <c r="E177" i="17" s="1"/>
  <c r="D155" i="17"/>
  <c r="D178" i="17" s="1"/>
  <c r="E157" i="17"/>
  <c r="E180" i="17" s="1"/>
  <c r="B154" i="17"/>
  <c r="B177" i="17" s="1"/>
  <c r="D157" i="17"/>
  <c r="D180" i="17" s="1"/>
  <c r="F154" i="17"/>
  <c r="F177" i="17" s="1"/>
  <c r="B156" i="17"/>
  <c r="B179" i="17" s="1"/>
  <c r="C155" i="17"/>
  <c r="C178" i="17" s="1"/>
  <c r="B157" i="17"/>
  <c r="B180" i="17" s="1"/>
  <c r="E155" i="17"/>
  <c r="E178" i="17" s="1"/>
  <c r="C157" i="17"/>
  <c r="C180" i="17" s="1"/>
  <c r="C154" i="17"/>
  <c r="C177" i="17" s="1"/>
  <c r="H154" i="17"/>
  <c r="H177" i="17" s="1"/>
  <c r="I156" i="17"/>
  <c r="I179" i="17" s="1"/>
  <c r="B155" i="17"/>
  <c r="B178" i="17" s="1"/>
  <c r="H156" i="17"/>
  <c r="H179" i="17" s="1"/>
  <c r="C156" i="17"/>
  <c r="C179" i="17" s="1"/>
  <c r="G154" i="17"/>
  <c r="G177" i="17" s="1"/>
  <c r="F156" i="17"/>
  <c r="F179" i="17" s="1"/>
  <c r="I154" i="17"/>
  <c r="I177" i="17" s="1"/>
  <c r="G156" i="17"/>
  <c r="G179" i="17" s="1"/>
  <c r="I157" i="17"/>
  <c r="I180" i="17" s="1"/>
  <c r="I155" i="17"/>
  <c r="I178" i="17" s="1"/>
  <c r="H157" i="17"/>
  <c r="H180" i="17" s="1"/>
  <c r="H155" i="17"/>
  <c r="H178" i="17" s="1"/>
  <c r="K87" i="17"/>
  <c r="S7" i="13"/>
  <c r="B54" i="17" s="1"/>
  <c r="S8" i="13"/>
  <c r="B55" i="17" s="1"/>
  <c r="I161" i="17" l="1"/>
  <c r="K114" i="17"/>
  <c r="N114" i="17"/>
  <c r="P114" i="17"/>
  <c r="I150" i="17"/>
  <c r="I173" i="17" s="1"/>
  <c r="F150" i="17"/>
  <c r="F173" i="17" s="1"/>
  <c r="E150" i="17"/>
  <c r="E173" i="17" s="1"/>
  <c r="C150" i="17"/>
  <c r="C173" i="17" s="1"/>
  <c r="H150" i="17"/>
  <c r="H173" i="17" s="1"/>
  <c r="B150" i="17"/>
  <c r="B173" i="17" s="1"/>
  <c r="G150" i="17"/>
  <c r="G173" i="17" s="1"/>
  <c r="D150" i="17"/>
  <c r="D173" i="17" s="1"/>
  <c r="C161" i="17"/>
  <c r="G89" i="17"/>
  <c r="I19" i="10" s="1" a="1"/>
  <c r="I19" i="10" s="1"/>
  <c r="I18" i="10" a="1"/>
  <c r="I18" i="10" s="1"/>
  <c r="B161" i="17"/>
  <c r="C141" i="17"/>
  <c r="C164" i="17" s="1"/>
  <c r="E141" i="17"/>
  <c r="E164" i="17" s="1"/>
  <c r="H141" i="17"/>
  <c r="H164" i="17" s="1"/>
  <c r="G141" i="17"/>
  <c r="G164" i="17" s="1"/>
  <c r="F141" i="17"/>
  <c r="F164" i="17" s="1"/>
  <c r="D141" i="17"/>
  <c r="D164" i="17" s="1"/>
  <c r="B141" i="17"/>
  <c r="B164" i="17" s="1"/>
  <c r="I141" i="17"/>
  <c r="I164" i="17" s="1"/>
  <c r="E161" i="17"/>
  <c r="E147" i="17"/>
  <c r="O120" i="17"/>
  <c r="E149" i="17"/>
  <c r="H149" i="17"/>
  <c r="F149" i="17"/>
  <c r="C149" i="17"/>
  <c r="G149" i="17"/>
  <c r="B149" i="17"/>
  <c r="D149" i="17"/>
  <c r="I149" i="17"/>
  <c r="H161" i="17"/>
  <c r="K111" i="17"/>
  <c r="I120" i="17"/>
  <c r="P111" i="17"/>
  <c r="N111" i="17"/>
  <c r="G161" i="17"/>
  <c r="G151" i="17"/>
  <c r="G174" i="17" s="1"/>
  <c r="I151" i="17"/>
  <c r="I174" i="17" s="1"/>
  <c r="C151" i="17"/>
  <c r="C174" i="17" s="1"/>
  <c r="B151" i="17"/>
  <c r="B174" i="17" s="1"/>
  <c r="F151" i="17"/>
  <c r="F174" i="17" s="1"/>
  <c r="H151" i="17"/>
  <c r="H174" i="17" s="1"/>
  <c r="E151" i="17"/>
  <c r="E174" i="17" s="1"/>
  <c r="D151" i="17"/>
  <c r="D174" i="17" s="1"/>
  <c r="M120" i="17"/>
  <c r="D161" i="17"/>
  <c r="N113" i="17"/>
  <c r="P113" i="17"/>
  <c r="K113" i="17"/>
  <c r="J120" i="17"/>
  <c r="F161" i="17"/>
  <c r="B152" i="17" a="1"/>
  <c r="M89" i="17"/>
  <c r="N112" i="17"/>
  <c r="P112" i="17"/>
  <c r="K112" i="17"/>
  <c r="D170" i="17" l="1"/>
  <c r="H170" i="17"/>
  <c r="D147" i="17"/>
  <c r="H147" i="17"/>
  <c r="E170" i="17"/>
  <c r="C170" i="17"/>
  <c r="D152" i="17"/>
  <c r="D175" i="17" s="1"/>
  <c r="G152" i="17"/>
  <c r="G175" i="17" s="1"/>
  <c r="I152" i="17"/>
  <c r="I175" i="17" s="1"/>
  <c r="C152" i="17"/>
  <c r="C175" i="17" s="1"/>
  <c r="E152" i="17"/>
  <c r="E175" i="17" s="1"/>
  <c r="H152" i="17"/>
  <c r="H175" i="17" s="1"/>
  <c r="B152" i="17"/>
  <c r="B175" i="17" s="1"/>
  <c r="F152" i="17"/>
  <c r="F175" i="17" s="1"/>
  <c r="C172" i="17"/>
  <c r="C181" i="17" s="1"/>
  <c r="C158" i="17"/>
  <c r="C147" i="17"/>
  <c r="F147" i="17"/>
  <c r="K120" i="17"/>
  <c r="F172" i="17"/>
  <c r="F181" i="17" s="1"/>
  <c r="F158" i="17"/>
  <c r="F170" i="17"/>
  <c r="H172" i="17"/>
  <c r="H158" i="17"/>
  <c r="B147" i="17"/>
  <c r="G147" i="17"/>
  <c r="E172" i="17"/>
  <c r="E181" i="17" s="1"/>
  <c r="E158" i="17"/>
  <c r="B170" i="17"/>
  <c r="G170" i="17"/>
  <c r="I172" i="17"/>
  <c r="I181" i="17" s="1"/>
  <c r="D172" i="17"/>
  <c r="N120" i="17"/>
  <c r="B172" i="17"/>
  <c r="I170" i="17"/>
  <c r="P120" i="17"/>
  <c r="G172" i="17"/>
  <c r="I147" i="17"/>
  <c r="H181" i="17" l="1"/>
  <c r="G158" i="17"/>
  <c r="G181" i="17"/>
  <c r="J170" i="17"/>
  <c r="J147" i="17"/>
  <c r="B181" i="17"/>
  <c r="D158" i="17"/>
  <c r="D181" i="17"/>
  <c r="I158" i="17"/>
  <c r="B158" i="17"/>
  <c r="J181" i="17" l="1"/>
  <c r="J15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BOD_Dell</author>
    <author>Kanitta_nb</author>
  </authors>
  <commentList>
    <comment ref="F72" authorId="0" shapeId="0" xr:uid="{00000000-0006-0000-0000-000001000000}">
      <text>
        <r>
          <rPr>
            <b/>
            <sz val="8"/>
            <color indexed="81"/>
            <rFont val="Tahoma"/>
            <family val="2"/>
          </rPr>
          <t>BOD_Dell:</t>
        </r>
        <r>
          <rPr>
            <sz val="8"/>
            <color indexed="81"/>
            <rFont val="Tahoma"/>
            <family val="2"/>
          </rPr>
          <t xml:space="preserve">
Survival rate was averaged from 3 Thailand studies.  </t>
        </r>
      </text>
    </comment>
    <comment ref="F73" authorId="0" shapeId="0" xr:uid="{00000000-0006-0000-0000-000002000000}">
      <text>
        <r>
          <rPr>
            <b/>
            <sz val="8"/>
            <color indexed="81"/>
            <rFont val="Tahoma"/>
            <family val="2"/>
          </rPr>
          <t>BOD_Dell:</t>
        </r>
        <r>
          <rPr>
            <sz val="8"/>
            <color indexed="81"/>
            <rFont val="Tahoma"/>
            <family val="2"/>
          </rPr>
          <t xml:space="preserve">
Thompson, J.R., Carter, R.L., Edwards, A.R., Roth, J., Ariet, M., Ross, N.L. and Resnick, M.B., 2003. A population-based study of the effects of birth weight on early developmental delay or disability in children. American journal of perinatology, 20(06), pp.321-332.</t>
        </r>
      </text>
    </comment>
    <comment ref="G83" authorId="0" shapeId="0" xr:uid="{00000000-0006-0000-0000-000003000000}">
      <text>
        <r>
          <rPr>
            <b/>
            <sz val="8"/>
            <color indexed="81"/>
            <rFont val="Tahoma"/>
            <family val="2"/>
          </rPr>
          <t>BOD_Dell:</t>
        </r>
        <r>
          <rPr>
            <sz val="8"/>
            <color indexed="81"/>
            <rFont val="Tahoma"/>
            <family val="2"/>
          </rPr>
          <t xml:space="preserve">
MR is refered from the MR worksheet. </t>
        </r>
      </text>
    </comment>
    <comment ref="G84" authorId="0" shapeId="0" xr:uid="{00000000-0006-0000-0000-000004000000}">
      <text>
        <r>
          <rPr>
            <b/>
            <sz val="8"/>
            <color indexed="81"/>
            <rFont val="Tahoma"/>
            <family val="2"/>
          </rPr>
          <t>BOD_Dell:</t>
        </r>
        <r>
          <rPr>
            <sz val="8"/>
            <color indexed="81"/>
            <rFont val="Tahoma"/>
            <family val="2"/>
          </rPr>
          <t xml:space="preserve">
adjusted with total CP cases (2.25 per 1000 live births). 60% of total CP cases. </t>
        </r>
      </text>
    </comment>
    <comment ref="G88" authorId="0" shapeId="0" xr:uid="{00000000-0006-0000-0000-000005000000}">
      <text>
        <r>
          <rPr>
            <b/>
            <sz val="8"/>
            <color indexed="81"/>
            <rFont val="Tahoma"/>
            <family val="2"/>
          </rPr>
          <t>BOD_Dell:</t>
        </r>
        <r>
          <rPr>
            <sz val="8"/>
            <color indexed="81"/>
            <rFont val="Tahoma"/>
            <family val="2"/>
          </rPr>
          <t xml:space="preserve">
The rest of % rather than above sequelae are considered as other mild permanent disability.</t>
        </r>
      </text>
    </comment>
    <comment ref="I143" authorId="1" shapeId="0" xr:uid="{00000000-0006-0000-0000-000006000000}">
      <text>
        <r>
          <rPr>
            <b/>
            <sz val="9"/>
            <color indexed="81"/>
            <rFont val="Tahoma"/>
            <family val="2"/>
          </rPr>
          <t>Kanitta_nb:</t>
        </r>
        <r>
          <rPr>
            <sz val="9"/>
            <color indexed="81"/>
            <rFont val="Tahoma"/>
            <family val="2"/>
          </rPr>
          <t xml:space="preserve">
pending;
formular need to be changed
</t>
        </r>
        <r>
          <rPr>
            <b/>
            <sz val="9"/>
            <color indexed="81"/>
            <rFont val="Tahoma"/>
            <family val="2"/>
          </rPr>
          <t xml:space="preserve">Ei Ei:
</t>
        </r>
        <r>
          <rPr>
            <sz val="9"/>
            <color indexed="81"/>
            <rFont val="Tahoma"/>
            <family val="2"/>
          </rPr>
          <t xml:space="preserve">Formula updated (but % proportion is the same: refered from MR worksheet)
=incidence rate per 1000*prevalence by age group in dismod*proportion of  intellectual disability due to LBW
</t>
        </r>
      </text>
    </comment>
  </commentList>
</comments>
</file>

<file path=xl/sharedStrings.xml><?xml version="1.0" encoding="utf-8"?>
<sst xmlns="http://schemas.openxmlformats.org/spreadsheetml/2006/main" count="971" uniqueCount="371">
  <si>
    <t>Low birth weight</t>
  </si>
  <si>
    <t>1. Case definition and sequelae</t>
  </si>
  <si>
    <t>Disease category</t>
  </si>
  <si>
    <t>Severity or Sequelae</t>
  </si>
  <si>
    <t xml:space="preserve"> </t>
  </si>
  <si>
    <t>Definition</t>
  </si>
  <si>
    <t>Mild permanent disability</t>
  </si>
  <si>
    <t>Severe hearing loss</t>
  </si>
  <si>
    <t>Vision loss</t>
  </si>
  <si>
    <t>Epilepsy</t>
  </si>
  <si>
    <t>Cerebral palsy without ID</t>
  </si>
  <si>
    <t>Mild intellectual disability</t>
  </si>
  <si>
    <t>IQ = 50-69</t>
  </si>
  <si>
    <t>Moderate intellectual disability</t>
  </si>
  <si>
    <t>IQ = 35-49</t>
  </si>
  <si>
    <t>Severe intellectual disability</t>
  </si>
  <si>
    <t>IQ = 20-34</t>
  </si>
  <si>
    <t>Profound intellectual disability</t>
  </si>
  <si>
    <t>IQ &lt; 20</t>
  </si>
  <si>
    <t>2. Disease weights</t>
  </si>
  <si>
    <t>Sequelae</t>
  </si>
  <si>
    <t>Weight</t>
  </si>
  <si>
    <t>Comment</t>
  </si>
  <si>
    <t>Dutch weight for mild to moderate early acquired hearing loss</t>
  </si>
  <si>
    <t>Severe hearing loss (congenital or early acquired)</t>
  </si>
  <si>
    <t>Dutch weight</t>
  </si>
  <si>
    <t>Moderate vision loss</t>
  </si>
  <si>
    <t>Dutch  weight</t>
  </si>
  <si>
    <t>VLBW &lt;1500 g</t>
  </si>
  <si>
    <t>LBW  1500-2499 g</t>
  </si>
  <si>
    <t>% of total</t>
  </si>
  <si>
    <t>% disabled</t>
  </si>
  <si>
    <t>Estimated</t>
  </si>
  <si>
    <t>Survivors</t>
  </si>
  <si>
    <t>Shibuya and Murray (1998)</t>
  </si>
  <si>
    <t>N disabled</t>
  </si>
  <si>
    <t>Males</t>
  </si>
  <si>
    <t>Total infants all weights</t>
  </si>
  <si>
    <t>Females</t>
  </si>
  <si>
    <t>Prevalence (%)</t>
  </si>
  <si>
    <t>Estimated disabled (N)</t>
  </si>
  <si>
    <t>Total</t>
  </si>
  <si>
    <t>Mental retardation (IQ&lt;70)</t>
  </si>
  <si>
    <t>Cerebral palsy and minor or no cerebral dysfunction</t>
  </si>
  <si>
    <t>Hearing loss</t>
  </si>
  <si>
    <t xml:space="preserve">Other disability </t>
  </si>
  <si>
    <t>Duration for &lt;5yr olds by</t>
  </si>
  <si>
    <t>Duration (years)</t>
  </si>
  <si>
    <t>All other conditions</t>
  </si>
  <si>
    <t>YLDs for &lt;5yr olds by</t>
  </si>
  <si>
    <t>Disability</t>
  </si>
  <si>
    <t>Incidence (N)</t>
  </si>
  <si>
    <t>YLDs (3,0)</t>
  </si>
  <si>
    <t>YLDs (3,1)</t>
  </si>
  <si>
    <t>YLDs (0,0)</t>
  </si>
  <si>
    <t>LBW sequelae</t>
  </si>
  <si>
    <t>Prevalence</t>
  </si>
  <si>
    <t>Boys</t>
  </si>
  <si>
    <t>0-4</t>
  </si>
  <si>
    <t>5-14</t>
  </si>
  <si>
    <t>15-24</t>
  </si>
  <si>
    <t>25-34</t>
  </si>
  <si>
    <t>35-44</t>
  </si>
  <si>
    <t>45-54</t>
  </si>
  <si>
    <t>55-64</t>
  </si>
  <si>
    <t>65-74</t>
  </si>
  <si>
    <t>Prevalent YLDs</t>
  </si>
  <si>
    <t>Input</t>
  </si>
  <si>
    <t>Output</t>
  </si>
  <si>
    <t>Age</t>
  </si>
  <si>
    <t>Incidence</t>
  </si>
  <si>
    <t>Remission</t>
  </si>
  <si>
    <t>RR Mortality</t>
  </si>
  <si>
    <t>Case fatality</t>
  </si>
  <si>
    <t>Duration</t>
  </si>
  <si>
    <t>Mortality</t>
  </si>
  <si>
    <t>RR mortality</t>
  </si>
  <si>
    <t>Age of onset</t>
  </si>
  <si>
    <t xml:space="preserve"> (years)</t>
  </si>
  <si>
    <t xml:space="preserve"> (number)</t>
  </si>
  <si>
    <t>15-29</t>
  </si>
  <si>
    <t>30-44</t>
  </si>
  <si>
    <t>45-59</t>
  </si>
  <si>
    <t>60-69</t>
  </si>
  <si>
    <t>70-79</t>
  </si>
  <si>
    <t>80+</t>
  </si>
  <si>
    <t>0+</t>
  </si>
  <si>
    <t>NA</t>
  </si>
  <si>
    <t xml:space="preserve"> (numbers)</t>
  </si>
  <si>
    <t>Rate per 1,000 live births</t>
  </si>
  <si>
    <t>รวม</t>
  </si>
  <si>
    <t>ไม่ทราบ</t>
  </si>
  <si>
    <t>Male</t>
  </si>
  <si>
    <t>Number of deaths</t>
  </si>
  <si>
    <t xml:space="preserve">   Males</t>
  </si>
  <si>
    <t xml:space="preserve">   Females</t>
  </si>
  <si>
    <t>Deaths per 100,000</t>
  </si>
  <si>
    <t>3.  Mortality data for Low birth weight</t>
  </si>
  <si>
    <t>Duration in years</t>
  </si>
  <si>
    <t>weighted</t>
  </si>
  <si>
    <t>Underlying cause of ID</t>
  </si>
  <si>
    <t>Mild ID</t>
  </si>
  <si>
    <t>Moderate ID</t>
  </si>
  <si>
    <t>Severe ID</t>
  </si>
  <si>
    <t>Profound ID</t>
  </si>
  <si>
    <t>average</t>
  </si>
  <si>
    <t>Down syndrome</t>
  </si>
  <si>
    <t>Number of male births</t>
  </si>
  <si>
    <t>Number of females</t>
  </si>
  <si>
    <t xml:space="preserve">DS </t>
  </si>
  <si>
    <t>Other genetic</t>
  </si>
  <si>
    <t>CNS defects</t>
  </si>
  <si>
    <t>Birth trauma</t>
  </si>
  <si>
    <t>Perinatal infections</t>
  </si>
  <si>
    <t>Other perinatal</t>
  </si>
  <si>
    <t>Injury</t>
  </si>
  <si>
    <t>Infection</t>
  </si>
  <si>
    <t>Severe seizure disorder</t>
  </si>
  <si>
    <t>Autism</t>
  </si>
  <si>
    <t>CP</t>
  </si>
  <si>
    <t>No defined aetiology</t>
  </si>
  <si>
    <t>low birth weight (%)</t>
  </si>
  <si>
    <t>rate (per 1)</t>
  </si>
  <si>
    <t>YLD Approch</t>
  </si>
  <si>
    <t>Disability weight</t>
  </si>
  <si>
    <t>Duration from worksheet mental retardation</t>
  </si>
  <si>
    <t>YLD</t>
  </si>
  <si>
    <t>ตารางที่ 1.2 จำนวนการเกิดมีชีพทั้งประเทศ จำแนกตามน้ำหนักเด็กแรกเกิด กลุ่มอายุมารดาและเพศ ปี พ.ศ. 2557</t>
  </si>
  <si>
    <t>Table 1.2 The number of births in the country . BY weight newborns 2557 .</t>
  </si>
  <si>
    <t>น้ำหนักเด็กแรกเกิด (กรัม)</t>
  </si>
  <si>
    <t>ชาย male</t>
  </si>
  <si>
    <t>หญิง female</t>
  </si>
  <si>
    <t>Total live birth</t>
  </si>
  <si>
    <t>รวม Total</t>
  </si>
  <si>
    <t>female</t>
  </si>
  <si>
    <t>ต่ำกว่า &lt; 500</t>
  </si>
  <si>
    <r>
      <t xml:space="preserve">VLBW </t>
    </r>
    <r>
      <rPr>
        <sz val="10"/>
        <rFont val="Calibri"/>
        <family val="2"/>
      </rPr>
      <t>≤</t>
    </r>
    <r>
      <rPr>
        <sz val="10"/>
        <rFont val="Arial"/>
        <family val="2"/>
      </rPr>
      <t xml:space="preserve"> 1500g </t>
    </r>
  </si>
  <si>
    <t>501 - 1000</t>
  </si>
  <si>
    <t>LBW 1501-2500g</t>
  </si>
  <si>
    <t>1001 - 1500</t>
  </si>
  <si>
    <t>1501 - 2000</t>
  </si>
  <si>
    <t>2001 - 2500</t>
  </si>
  <si>
    <t xml:space="preserve">Total </t>
  </si>
  <si>
    <t>2501 - 3000</t>
  </si>
  <si>
    <t>3001 - 3500</t>
  </si>
  <si>
    <t>3501 - 4000</t>
  </si>
  <si>
    <t>4001 - 4500</t>
  </si>
  <si>
    <t>4501 - 5000</t>
  </si>
  <si>
    <t>มากกว่า 5000</t>
  </si>
  <si>
    <t xml:space="preserve">ที่มา : สถิติสาธารณสุข สำนักนโยบายและยุทธศาสตร์ กระทรวงสาธารณสุข
</t>
  </si>
  <si>
    <t xml:space="preserve">หมายเหตุ : จำนวนการเกิดมีชีพ หมายถึง จำนวนทารกที่คลอดออกมาโดยวิธีใดก็ตามและไม่คำนึงถึงระยะเวลาของการตั้งครรภ์โดยที่ทารกที่คลอดออกมานั้นจะต้องมีการหายใจหรือแสดงอาการที่บ่งว่ามีชีวิต เช่น การเต้นของหัวใจ การเต้นของเส้นโลหิต การเต้นของสายสะดือหรือมีการเคลื่อนไหวของร่างกาย
</t>
  </si>
  <si>
    <t>[สุขภาพ - 1.สถานะสุขภาพ]</t>
  </si>
  <si>
    <t>Ref link:</t>
  </si>
  <si>
    <t>http://social.nesdb.go.th/SocialStat/StatReport_Final.aspx?reportid=214&amp;template=1R3C&amp;yeartype=O&amp;subcatid=15</t>
  </si>
  <si>
    <t>4. Incidence</t>
  </si>
  <si>
    <t>5. Duration</t>
  </si>
  <si>
    <t>6. YLD calculations</t>
  </si>
  <si>
    <t>ประชากรรวมทั้งประเทศ  2557</t>
  </si>
  <si>
    <t>age group</t>
  </si>
  <si>
    <t>male</t>
  </si>
  <si>
    <t>total</t>
  </si>
  <si>
    <t>&lt;1</t>
  </si>
  <si>
    <t>1-4</t>
  </si>
  <si>
    <t xml:space="preserve">Male </t>
  </si>
  <si>
    <t>Female</t>
  </si>
  <si>
    <t>5-9</t>
  </si>
  <si>
    <t>10-14</t>
  </si>
  <si>
    <t>15-19</t>
  </si>
  <si>
    <t>20-24</t>
  </si>
  <si>
    <t>25-29</t>
  </si>
  <si>
    <t>30-34</t>
  </si>
  <si>
    <t>35-39</t>
  </si>
  <si>
    <t>40-44</t>
  </si>
  <si>
    <t>45-49</t>
  </si>
  <si>
    <t>50-54</t>
  </si>
  <si>
    <t>55-59</t>
  </si>
  <si>
    <t>60-64</t>
  </si>
  <si>
    <t>65-69</t>
  </si>
  <si>
    <t>70-74</t>
  </si>
  <si>
    <t>75-79</t>
  </si>
  <si>
    <t>80-84</t>
  </si>
  <si>
    <t>85-89</t>
  </si>
  <si>
    <t>90-94</t>
  </si>
  <si>
    <t>95-99</t>
  </si>
  <si>
    <t>100+</t>
  </si>
  <si>
    <t>TOTAL</t>
  </si>
  <si>
    <t>จาก http://bps.moph.go.th/new_bps/%E0%B8%82%E0%B9%89%E0%B8%AD%E0%B8%A1%E0%B8%B9%E0%B8%A5%E0%B8%9B%E0%B8%A3%E0%B8%B0%E0%B8%8A%E0%B8%B2%E0%B8%81%E0%B8%A3%E0%B8%81%E0%B8%A5%E0%B8%B2%E0%B8%87%E0%B8%9B%E0%B8%B5</t>
  </si>
  <si>
    <r>
      <t>Outcome of</t>
    </r>
    <r>
      <rPr>
        <b/>
        <sz val="11"/>
        <color theme="1"/>
        <rFont val="Calibri"/>
        <family val="2"/>
        <scheme val="minor"/>
      </rPr>
      <t xml:space="preserve"> LBW infants</t>
    </r>
    <r>
      <rPr>
        <sz val="11"/>
        <color theme="1"/>
        <rFont val="Calibri"/>
        <family val="2"/>
        <scheme val="minor"/>
      </rPr>
      <t>, EME region (Established Market Economies)</t>
    </r>
  </si>
  <si>
    <t>Birth weigh</t>
  </si>
  <si>
    <t>% survival</t>
  </si>
  <si>
    <t>&lt;1500g (VLBW)</t>
  </si>
  <si>
    <t>65-85%</t>
  </si>
  <si>
    <t>10-35%</t>
  </si>
  <si>
    <t>1500-2500g (LBW)</t>
  </si>
  <si>
    <t>&gt;90%</t>
  </si>
  <si>
    <t>&lt;10%</t>
  </si>
  <si>
    <t>Estimate Probabilities of developing a disability among LBW survivors, by region</t>
  </si>
  <si>
    <t xml:space="preserve">Region </t>
  </si>
  <si>
    <t>EME, FSE</t>
  </si>
  <si>
    <t>LAC, OAI, MEC</t>
  </si>
  <si>
    <t>IND, SSA</t>
  </si>
  <si>
    <t>CHN</t>
  </si>
  <si>
    <t>1500-2499g (LBW)</t>
  </si>
  <si>
    <t xml:space="preserve"> Disease outcomes</t>
  </si>
  <si>
    <t>VLBW</t>
  </si>
  <si>
    <t>ELBW</t>
  </si>
  <si>
    <t>7-10%</t>
  </si>
  <si>
    <t>7-17%</t>
  </si>
  <si>
    <t>cognitive development &amp; MR</t>
  </si>
  <si>
    <t>&gt;40%</t>
  </si>
  <si>
    <t>Hearig impairment</t>
  </si>
  <si>
    <t>9-14% (some 1-2%)</t>
  </si>
  <si>
    <t>Visual impairment</t>
  </si>
  <si>
    <t>1-4%</t>
  </si>
  <si>
    <t>Intellectual disability</t>
  </si>
  <si>
    <t>Ref:</t>
  </si>
  <si>
    <t>1. Criteria for Determining Disability in Infants and
Children: Low Birth Weight (Evidence Report/Technology Assessment
Number 70, Agency for healthcare research and quality.</t>
  </si>
  <si>
    <t>2. Long-term implications of being born Low Birth Weight (LBW) Cate Joyce, Marc Goodman-Bryan, Angelica Hardin, 01-10-2012</t>
  </si>
  <si>
    <t xml:space="preserve">Prevalence of Neurodevelopmental disability among LBW survivors </t>
  </si>
  <si>
    <t>Cerebral palsy and minimal cerebral dysfunction</t>
  </si>
  <si>
    <t>(8.1% &amp; 18.2%)</t>
  </si>
  <si>
    <t xml:space="preserve"> (not include in shibuya and murry study)</t>
  </si>
  <si>
    <t xml:space="preserve">Ref: Shibuya and Murray (1998) </t>
  </si>
  <si>
    <t xml:space="preserve">ELBW </t>
  </si>
  <si>
    <t>Survival rate for ELBW 85%</t>
  </si>
  <si>
    <t xml:space="preserve">Surviving ELBW infants with moderate or severe disability start at 20-30%. </t>
  </si>
  <si>
    <t>Major Sequalae (20-30% of ELBW)</t>
  </si>
  <si>
    <t>CP - 10-20%</t>
  </si>
  <si>
    <t>MR - 20-40% (note: low congnitive score report)</t>
  </si>
  <si>
    <t>(Average 18.6% impaired mental development.</t>
  </si>
  <si>
    <t>Hearing - 1.5-9%</t>
  </si>
  <si>
    <t>Visual impaired (Blindness) - 1-7%</t>
  </si>
  <si>
    <t>Chronic Seizure - 20% of LBW , 5% of ELBW.</t>
  </si>
  <si>
    <t>Ref: ELBW- NICU-Graduate</t>
  </si>
  <si>
    <t>incidence per 1</t>
  </si>
  <si>
    <t>Total of vl+l</t>
  </si>
  <si>
    <t>Disease: Low Birth Weight, ICD codes: P05-P07</t>
  </si>
  <si>
    <t xml:space="preserve"> (rates)</t>
  </si>
  <si>
    <t xml:space="preserve">Updated with the dismod result 2014 calculation. </t>
  </si>
  <si>
    <t>The incidence :    1. LBW  in neonatal survivors for Thailand 2014 (2557) is taken from Bureau of health strategies and plans  2.Sequelae are refered from "Shibuya and Murray (1998)".</t>
  </si>
  <si>
    <t>a birth weight of less than 2500 g, consisting of both infants who are small for their gestational age and preterm (premature) birth infants</t>
  </si>
  <si>
    <t>Bith weight &lt;2500g by gender and number of livebirths are updated by 2014.</t>
  </si>
  <si>
    <r>
      <t xml:space="preserve">Disease: </t>
    </r>
    <r>
      <rPr>
        <b/>
        <sz val="11"/>
        <color theme="1"/>
        <rFont val="Calibri"/>
        <family val="2"/>
        <scheme val="minor"/>
      </rPr>
      <t>Low Birth Weight</t>
    </r>
  </si>
  <si>
    <r>
      <t xml:space="preserve">Region:  </t>
    </r>
    <r>
      <rPr>
        <b/>
        <sz val="11"/>
        <color theme="1"/>
        <rFont val="Calibri"/>
        <family val="2"/>
        <scheme val="minor"/>
      </rPr>
      <t>Thailand 2014</t>
    </r>
  </si>
  <si>
    <r>
      <t xml:space="preserve">ICD-10 code: </t>
    </r>
    <r>
      <rPr>
        <b/>
        <sz val="11"/>
        <color theme="1"/>
        <rFont val="Calibri"/>
        <family val="2"/>
        <scheme val="minor"/>
      </rPr>
      <t>P05-P07</t>
    </r>
  </si>
  <si>
    <r>
      <t>Who update :</t>
    </r>
    <r>
      <rPr>
        <b/>
        <sz val="11"/>
        <color theme="1"/>
        <rFont val="Calibri"/>
        <family val="2"/>
        <scheme val="minor"/>
      </rPr>
      <t xml:space="preserve"> Ei Ei Aung</t>
    </r>
  </si>
  <si>
    <r>
      <t xml:space="preserve">Proportion of LBW </t>
    </r>
    <r>
      <rPr>
        <sz val="11"/>
        <color theme="1"/>
        <rFont val="Calibri"/>
        <family val="2"/>
      </rPr>
      <t>≥</t>
    </r>
    <r>
      <rPr>
        <sz val="10.45"/>
        <color theme="1"/>
        <rFont val="Calibri"/>
        <family val="2"/>
      </rPr>
      <t>1500g (%)</t>
    </r>
  </si>
  <si>
    <r>
      <t xml:space="preserve">Probability of disability among LBW </t>
    </r>
    <r>
      <rPr>
        <sz val="11"/>
        <color theme="1"/>
        <rFont val="Calibri"/>
        <family val="2"/>
      </rPr>
      <t>≥</t>
    </r>
    <r>
      <rPr>
        <sz val="10.45"/>
        <color theme="1"/>
        <rFont val="Calibri"/>
        <family val="2"/>
      </rPr>
      <t>1500g (%)</t>
    </r>
  </si>
  <si>
    <t>Proportion of VLBW survivors (%)</t>
  </si>
  <si>
    <t>Probability of disability in VLBW survivors (%)</t>
  </si>
  <si>
    <t>DisMod II output, date: 8/5/2016, time: 3:07:08 PM</t>
  </si>
  <si>
    <t>Pop2009</t>
  </si>
  <si>
    <t>.5-14</t>
  </si>
  <si>
    <t>Ref: no</t>
  </si>
  <si>
    <t>Study design and year</t>
  </si>
  <si>
    <t>Sample</t>
  </si>
  <si>
    <t>Results</t>
  </si>
  <si>
    <t>Remarks</t>
  </si>
  <si>
    <t xml:space="preserve">References </t>
  </si>
  <si>
    <t>medical records of preterm birth and neonatal body weight at Siriraj Hospital during 2002-2008</t>
  </si>
  <si>
    <t>The rate of preterm birth was increased steadily from 2004 to 2008 (9.44%-12.98%).</t>
  </si>
  <si>
    <t>Among preterm birth, low birth weight infant was mostly found (more than 60% of preterm were LBW) except in the year 2003. Trend of neonatal
death from prematurity has continuously declined and has no early neonatal death in year 2008. (mostly survived)</t>
  </si>
  <si>
    <t>Saifon Chawanpaiboon, M.D. and Sutantawibul, A., Preterm Birth at Siriraj Hospital: A Seven-Year Review (2002.</t>
  </si>
  <si>
    <t>Review article</t>
  </si>
  <si>
    <t xml:space="preserve">identified primarily through MEDLINE® searches conducted between October 2000 and February 2001. We performed an updated search in September 2001 and again in January 2002.
</t>
  </si>
  <si>
    <t>CP - 7-10% in VLBW, 7-17% in ELBW/ Neurological disability - 12-50% among VLBW &amp; ELBW/ MR,70- 40% of ELBW survivors and especially high risk (approximately 50% in VLBW)/ hearing loss- 9-14% in ELBW/ blindness - 1-4% in ELBW.</t>
  </si>
  <si>
    <t>Cole, C., Binney, G., Casey, P., Fiascone, J., Hagadorn, J., Kim, C., Lau, J., Wang, C., DeVine, D. and Miller, K., 2002. Criteria for Determining Disability in Infants and Children: Low Birth Weight: Summary.</t>
  </si>
  <si>
    <t>Case control study at Bhumibol Adulyadej Hospital during January 1 to July 31, 2011</t>
  </si>
  <si>
    <t>2312 pregnant women who delivered . 168 pregnant women who delivered newborn  weight less than 2500 grams and control group was 168 pregnant women who delivered newborn which birth weight 2500 to 4000 grams.</t>
  </si>
  <si>
    <t xml:space="preserve"> The incidence of LBW in Bhumibol Adulyadej Hospital was 11.37 % in 2011. (9.04% of Live births in current study). More than half 55.95% were preterm &lt;37 weeks. </t>
  </si>
  <si>
    <t>Kanjanasingh, T., 2014. The Association between Antenatal Care and Low Birth Weight newborn at. Royal Thai Airforce Medical Gazette-แพทย์ สาร ทหาร อากาศ, 59(2), pp.9-13.</t>
  </si>
  <si>
    <t>Retrospective study. These data sets were Florida’s Birth Vital Statistics (BVS) for 1998,CMSEIP data for 1998–2001, and Florida Medicaid eligibility data for 1997–1998.</t>
  </si>
  <si>
    <t>Thompson, J.R., Carter, R.L., Edwards, A.R., Roth, J., Ariet, M., Ross, N.L. and Resnick, M.B., 2003. A population-based study of the effects of birth weight on early developmental delay or disability in children. American journal of perinatology, 20(06), pp.321-332.</t>
  </si>
  <si>
    <t>retrospective analysis of children born in 39 hospitals of different types in 14 different provinces, municipalities, and autonomous regions in seven districts within China throughout 2011.</t>
  </si>
  <si>
    <t>Data covering a total of 112,441 cases were collected</t>
  </si>
  <si>
    <t>6.1% of delivery was LBW. Among LBW, 69.6% Preterm and 30.4% full term. 3.49% death among full term.</t>
  </si>
  <si>
    <t>Chen, Y., Li, G., Ruan, Y., Zou, L., Wang, X. and Zhang, W., 2013. An epidemiological survey on low birth weight infants in China and analysis of outcomes of full-term low birth weight infants. BMC pregnancy and childbirth, 13(1), p.1.</t>
  </si>
  <si>
    <t>preterm infants followed up study by a multidisciplinary team in a tertiary hospital in Bangladesh</t>
  </si>
  <si>
    <t>Of the 159 enrolled children</t>
  </si>
  <si>
    <t>65% survived, 16% died, and 19% were lost to follow-up.  developmental status of the 85 children followed-up for ≥12 months was normal in 32%; 45% had mild and 23% had serious neurodevelopmental impairments. Preterm birth - 18% in male and 16.8% in female. Survival among late preterm - 95.18% in male and 94.1% in female. Survival among very preterm - 77.78% in male and 86.49% in female. Sequelae - 5% in late preterm and 68% in very preterm.</t>
  </si>
  <si>
    <t>Motor deficit -18.18%
Visual defects -7.95%
Hearing loss -3.41%
Speech delay-19.32%
Seizures-7.95%
Behavioural problems-7.95%
Mild intellectual deficit-17.09%
Moderate intellectual deficit-8.21%
Severe intellectual deficit-7.42%
Profound intellectual deficit-2.52%</t>
  </si>
  <si>
    <t>Khan, N.Z., Muslima, H., Parveen, M., Bhattacharya, M., Begum, N., Chowdhury, S., Jahan, M. and Darmstadt, G.L., 2006. Neurodevelopmental outcomes of preterm infants in Bangladesh. Pediatrics, 118(1), pp.280-289.                                                                                                                                                       Shillcutt, S.D., Lefevre, A.E., Lee, A.C., Baqui, A.H., Black, R.E. and Darmstadt, G.L., 2013. Forecasting burden of long-term disability from neonatal conditions: results from the Projahnmo I trial, Sylhet, Bangladesh. Health policy and planning, 28(4), pp.435-452.</t>
  </si>
  <si>
    <t>87 VLBW infant were reviewed. Male 43and female44</t>
  </si>
  <si>
    <t>the mortality rate of VLBW was 16.10% or survival rate about 83.9%.</t>
  </si>
  <si>
    <t>Suparajitaporn, V., 2013. Mortality rate and Risk factor of Infant with very low birth weight in Yasothon Hospital. Yasothon Medical Journal-ยโสธร เวช สาร, 15(1), pp.6-15.</t>
  </si>
  <si>
    <t>Review of late adolescent and young adult studies of VLBW children Studies of various aspects of late adolescent and young adult (published in 2006)</t>
  </si>
  <si>
    <t>outcomes of VLBW children born during the years 1971 and 1986 have been reported from the United States, Canada, England, Australia, Denmark, Norway and Sweden.</t>
  </si>
  <si>
    <t>Neurosensory impairments VLBW subjects, Rates of cerebral palsy range from 5 to 8%. reported an overall rate of neurosensory impairment (cerebral
palsy, blindness or deafness) of 10%. Among singleton VLBW males, Ericson and Ka¨lle´n reported that 7% had severely reduced vision, 12% refraction errors, and 8% severe
hearing loss.</t>
  </si>
  <si>
    <t>ELBW subjects ,Both Lefevre et al. and Hack et al. (who examined the subset of ELBW subjects in their VLBW cohort) reported overall rates of neurosensory impairment of 12%. Saigal et al. reported a rate of neurosensory impairment of 28%, with 37% of the subjects having problems with visual function and 4% late retinal detachment</t>
  </si>
  <si>
    <t>Hack, M., 2006, April. Young adult outcomes of very-low-birth-weight children. In Seminars in Fetal and Neonatal Medicine (Vol. 11, No. 2, pp. 127-137). WB Saunders.</t>
  </si>
  <si>
    <t xml:space="preserve">Critical Elements of Care for the Low Birth Weight Neonatal Intensive Care Unit (NICU) Graduate (CEC - LBW) </t>
  </si>
  <si>
    <t>developed by literature review and consultation with experts working with this population.</t>
  </si>
  <si>
    <t>Among ELBW, CP - 10-20% / MR- 20-42% (in average 18.6% are MR)/ Hearing loss - 1.5-9%/ Blindness - 1-7% / Seizure- 5%</t>
  </si>
  <si>
    <t>ELBW - &lt;1000g (generally 28 weeks)/ survival for ELBW - 85%. Among survival of ELBW, 20-30% with moderate or severe disability.</t>
  </si>
  <si>
    <r>
      <rPr>
        <b/>
        <sz val="11"/>
        <color theme="1"/>
        <rFont val="Calibri"/>
        <family val="2"/>
        <scheme val="minor"/>
      </rPr>
      <t xml:space="preserve">Extremely Low Birth Weight, </t>
    </r>
    <r>
      <rPr>
        <sz val="10"/>
        <rFont val="Arial"/>
        <family val="2"/>
      </rPr>
      <t>NICU Graduate Supplement to the Critical Elements of Care for the Low Birth Weight Neonatal Intensive Care Graduate (CEC-LBW)
Available at: http://www.medicalhome.org March 2004</t>
    </r>
  </si>
  <si>
    <t>Retrospective study of very low birth weight (VLBW) infants admitted to the neonatal
intensive care unit , Songklanagarind Hospital between January, 2003 and December 2006.</t>
  </si>
  <si>
    <t>Total 178 VLBW infants</t>
  </si>
  <si>
    <t>survivors to discharge 70.8% without major morbidity.</t>
  </si>
  <si>
    <t>Chanvitan, P., Ruangnapa, K., Janjindamai, W. and Disaneevate, S., 2010. Outcomes of very low birth weight infants in Songklanagarind Hospital. Medical journal of the Medical Association of Thailand, 93(2), p.191.</t>
  </si>
  <si>
    <r>
      <t xml:space="preserve"> 61% of surviving infant &lt;1000g and</t>
    </r>
    <r>
      <rPr>
        <sz val="10"/>
        <color rgb="FFFF0000"/>
        <rFont val="Arial"/>
        <family val="2"/>
      </rPr>
      <t xml:space="preserve"> 46% of &lt;1500g</t>
    </r>
    <r>
      <rPr>
        <sz val="10"/>
        <rFont val="Arial"/>
        <family val="2"/>
      </rPr>
      <t xml:space="preserve"> and </t>
    </r>
    <r>
      <rPr>
        <b/>
        <sz val="11"/>
        <color rgb="FFFF0000"/>
        <rFont val="Calibri"/>
        <family val="2"/>
        <scheme val="minor"/>
      </rPr>
      <t xml:space="preserve">11.2% </t>
    </r>
    <r>
      <rPr>
        <sz val="10"/>
        <color rgb="FFFF0000"/>
        <rFont val="Arial"/>
        <family val="2"/>
      </rPr>
      <t>of weight between 1500 to 2499g</t>
    </r>
    <r>
      <rPr>
        <sz val="10"/>
        <rFont val="Arial"/>
        <family val="2"/>
      </rPr>
      <t xml:space="preserve"> are diagnosed with DDD before age 3.  ( Survival and disability proportion are noted in NOTE BOOK).</t>
    </r>
  </si>
  <si>
    <t>DDD if the child had a developmental delay (including delayed cognition, physical/motor impairment, lack of communication skills, delayed social/ emotional development, or lagging adaptive development) or an established condition placing them at high risk for developmental delay (including sensory impairment, genetic, metabolic, neurological, or severe attachment disorders)</t>
  </si>
  <si>
    <r>
      <t xml:space="preserve">retrospective study of very low birth weight (VLBW) infants admitted to the neonatal
intensive care unit , Yasothon Hospital between </t>
    </r>
    <r>
      <rPr>
        <sz val="10"/>
        <color rgb="FFFF0000"/>
        <rFont val="Arial"/>
        <family val="2"/>
      </rPr>
      <t>October1, 2009 and September 30, 2012</t>
    </r>
  </si>
  <si>
    <r>
      <t xml:space="preserve">BVS data set for 1998 contained </t>
    </r>
    <r>
      <rPr>
        <sz val="10"/>
        <color rgb="FFFF0000"/>
        <rFont val="Arial"/>
        <family val="2"/>
      </rPr>
      <t>195,344 total live borns</t>
    </r>
    <r>
      <rPr>
        <sz val="10"/>
        <rFont val="Arial"/>
        <family val="2"/>
      </rPr>
      <t>.</t>
    </r>
  </si>
  <si>
    <t>Survivors of LBW</t>
  </si>
  <si>
    <t>Total subjects</t>
  </si>
  <si>
    <t>Place</t>
  </si>
  <si>
    <t>Study period</t>
  </si>
  <si>
    <t>70.8% (VLBW)</t>
  </si>
  <si>
    <t>Songklanagarind hospital</t>
  </si>
  <si>
    <t>January 2003-Dec 2006 (4 years)</t>
  </si>
  <si>
    <t>83.9% (VLBW)</t>
  </si>
  <si>
    <t>Yasothon Hospital</t>
  </si>
  <si>
    <t>Oct 2009-Sept 2012 (3 years)</t>
  </si>
  <si>
    <t>81% (VLBW)</t>
  </si>
  <si>
    <t>Thammasat University Hospital</t>
  </si>
  <si>
    <t>July 2003- June 2006 (3 years)</t>
  </si>
  <si>
    <t>Average - 78.6%</t>
  </si>
  <si>
    <t>Total No.</t>
  </si>
  <si>
    <t>mortality rate/1000</t>
  </si>
  <si>
    <t>No.of death</t>
  </si>
  <si>
    <t>Approximately - 80%</t>
  </si>
  <si>
    <t>Expert meeting summary</t>
  </si>
  <si>
    <t xml:space="preserve">Survival rate </t>
  </si>
  <si>
    <t>LBW</t>
  </si>
  <si>
    <t>At meeeting</t>
  </si>
  <si>
    <t>(To find Thai data)</t>
  </si>
  <si>
    <t>Updated</t>
  </si>
  <si>
    <t>Averaged from 3 studies (70.3%, 83.9%, 81%)</t>
  </si>
  <si>
    <t xml:space="preserve">No thailand data. Refered from Ref: 4. </t>
  </si>
  <si>
    <t>Remark / Noted</t>
  </si>
  <si>
    <t>Parameters</t>
  </si>
  <si>
    <t>Points to update</t>
  </si>
  <si>
    <t xml:space="preserve">Total mortality rate - 3.2 per 1000 livebirth (In literature, 3.65 per 1000 livebirth). So I think, the survival rate that we used is compactible with the literature.  </t>
  </si>
  <si>
    <t>Status : revised after expert meeting</t>
  </si>
  <si>
    <t>CP rate</t>
  </si>
  <si>
    <t>(2.25 per 1000 livebirth)</t>
  </si>
  <si>
    <t>60% of total CP cases</t>
  </si>
  <si>
    <t>survival proportion between M and F</t>
  </si>
  <si>
    <t xml:space="preserve">Proportion of disability among survivor. </t>
  </si>
  <si>
    <t>25% in VLBW and 5% in LBW</t>
  </si>
  <si>
    <t>Other disability (mild permanent disability)</t>
  </si>
  <si>
    <t>Disease sequelae (any update?)</t>
  </si>
  <si>
    <t>Retrospective longitudinal study. 3 year period (July 1st, 2003 and June 30th, 2006) in Thammasat University Hospital</t>
  </si>
  <si>
    <t>Total 78 neonates with a birth weight between 600-1485g were analyzed</t>
  </si>
  <si>
    <t>VLBW and ELBW survival rate are 81% and 52%</t>
  </si>
  <si>
    <t>Sritipsukho, Suthida, Tipvapa Suarod, and Paskorn Sritipsukho. "Survival and outcome of very low birth weight infants born in a university hospital with level II NICU." JOURNAL-MEDICAL ASSOCIATION OF THAILAND 90.7 (2007): 1323.</t>
  </si>
  <si>
    <t xml:space="preserve"> ( Adjusted on CP cases in the assumption of 2.2/1000 livebirth and 60% of total CP is due to LBW. MR also adjusted with MR worksheet). The rest % are considered as other mild permanent disability. </t>
  </si>
  <si>
    <r>
      <t>Update: 7th December</t>
    </r>
    <r>
      <rPr>
        <b/>
        <sz val="11"/>
        <color theme="1"/>
        <rFont val="Calibri"/>
        <family val="2"/>
        <scheme val="minor"/>
      </rPr>
      <t>, 2016</t>
    </r>
  </si>
  <si>
    <t xml:space="preserve">Hearing loss, Epilepsy and Visual defects are refered from Shibuya and Murray. </t>
  </si>
  <si>
    <t>Disable rate</t>
  </si>
  <si>
    <t>Survivor rate</t>
  </si>
  <si>
    <t>Average survival rate of Three Thai studies</t>
  </si>
  <si>
    <t>Reference No.4.</t>
  </si>
  <si>
    <t>Source of survivor rate</t>
  </si>
  <si>
    <t>Source of disable rate</t>
  </si>
  <si>
    <t>Incidence proportion</t>
  </si>
  <si>
    <t>Source of incidence</t>
  </si>
  <si>
    <t>Referred from MR worksheets incidence for LBW</t>
  </si>
  <si>
    <t>60% of total CP cases (2.25 per 1000 rate of CP)</t>
  </si>
  <si>
    <t>100% - (total % of above sequelae)</t>
  </si>
  <si>
    <t>DW</t>
  </si>
  <si>
    <t>Mental retardation (IQ&lt;70) (intellectual disability)</t>
  </si>
  <si>
    <t>Duration from Mental retardation worksheet</t>
  </si>
  <si>
    <t>Duration referred from Dismod calculation</t>
  </si>
  <si>
    <t>0.29, 0.43, 0.82, 0.76 in mild, moderate, severe and profound</t>
  </si>
  <si>
    <t>Categories</t>
  </si>
  <si>
    <t xml:space="preserve">2014 YLD calculation
</t>
  </si>
  <si>
    <t>DisMod II output, date: 28/04/2002, time: 2:46:39 PM</t>
  </si>
  <si>
    <t>Disease: perinatal conditions with RRF=2</t>
  </si>
  <si>
    <t xml:space="preserve"> (rates * 1000)</t>
  </si>
  <si>
    <t xml:space="preserve">Disease: LBW, ICD codes: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</si>
</sst>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0.00_)"/>
    <numFmt numFmtId="165" formatCode="0.0_)"/>
    <numFmt numFmtId="166" formatCode="_(* #,##0_);_(* \(#,##0\);_(* &quot;-&quot;??_);_(@_)"/>
    <numFmt numFmtId="167" formatCode="0_)"/>
    <numFmt numFmtId="168" formatCode="0.000"/>
    <numFmt numFmtId="169" formatCode="0.0"/>
    <numFmt numFmtId="170" formatCode="0.0%"/>
    <numFmt numFmtId="171" formatCode="_(* #,##0.0_);_(* \(#,##0.0\);_(* &quot;-&quot;??_);_(@_)"/>
    <numFmt numFmtId="172" formatCode="_-* #,##0_-;\-* #,##0_-;_-* &quot;-&quot;??_-;_-@_-"/>
    <numFmt numFmtId="173" formatCode="0.00000000"/>
    <numFmt numFmtId="174" formatCode="0.0000"/>
    <numFmt numFmtId="175" formatCode="0.00000"/>
  </numFmts>
  <fonts count="4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sz val="12"/>
      <name val="Arial"/>
      <family val="2"/>
    </font>
    <font>
      <sz val="10"/>
      <name val="Arial MT"/>
    </font>
    <font>
      <sz val="10"/>
      <name val="Geneva"/>
      <family val="2"/>
    </font>
    <font>
      <sz val="14"/>
      <name val="AngsanaUPC"/>
      <family val="1"/>
    </font>
    <font>
      <sz val="11"/>
      <color rgb="FF000000"/>
      <name val="Arial"/>
      <family val="2"/>
    </font>
    <font>
      <sz val="9"/>
      <name val="Arial"/>
      <family val="2"/>
    </font>
    <font>
      <sz val="10"/>
      <color rgb="FFFF0000"/>
      <name val="Arial"/>
      <family val="2"/>
    </font>
    <font>
      <b/>
      <sz val="14"/>
      <name val="Browallia New"/>
      <family val="2"/>
    </font>
    <font>
      <sz val="11.95"/>
      <name val="Browallia New"/>
      <family val="2"/>
    </font>
    <font>
      <b/>
      <sz val="11.95"/>
      <name val="Browallia New"/>
      <family val="2"/>
    </font>
    <font>
      <sz val="10"/>
      <name val="Calibri"/>
      <family val="2"/>
    </font>
    <font>
      <i/>
      <sz val="11"/>
      <name val="Browallia New"/>
      <family val="2"/>
    </font>
    <font>
      <u/>
      <sz val="11"/>
      <color theme="10"/>
      <name val="Calibri"/>
      <family val="2"/>
      <charset val="222"/>
      <scheme val="minor"/>
    </font>
    <font>
      <sz val="14"/>
      <name val="Cordia New"/>
      <family val="2"/>
    </font>
    <font>
      <sz val="11"/>
      <color rgb="FFFF0000"/>
      <name val="Calibri"/>
      <family val="2"/>
      <scheme val="minor"/>
    </font>
    <font>
      <b/>
      <sz val="11"/>
      <color theme="1"/>
      <name val="Calibri"/>
      <family val="2"/>
      <scheme val="minor"/>
    </font>
    <font>
      <b/>
      <sz val="14"/>
      <color theme="1"/>
      <name val="Calibri"/>
      <family val="2"/>
      <scheme val="minor"/>
    </font>
    <font>
      <sz val="11"/>
      <color theme="1"/>
      <name val="Calibri"/>
      <family val="2"/>
      <charset val="222"/>
      <scheme val="minor"/>
    </font>
    <font>
      <sz val="11"/>
      <name val="Calibri"/>
      <family val="2"/>
      <charset val="222"/>
      <scheme val="minor"/>
    </font>
    <font>
      <sz val="11"/>
      <color rgb="FFFF0000"/>
      <name val="Calibri"/>
      <family val="2"/>
      <charset val="22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11"/>
      <color indexed="31"/>
      <name val="Calibri"/>
      <family val="2"/>
      <scheme val="minor"/>
    </font>
    <font>
      <b/>
      <i/>
      <sz val="11"/>
      <name val="Calibri"/>
      <family val="2"/>
      <scheme val="minor"/>
    </font>
    <font>
      <sz val="11"/>
      <color indexed="8"/>
      <name val="Calibri"/>
      <family val="2"/>
      <scheme val="minor"/>
    </font>
    <font>
      <b/>
      <sz val="11"/>
      <color rgb="FFFF0000"/>
      <name val="Calibri"/>
      <family val="2"/>
      <scheme val="minor"/>
    </font>
    <font>
      <sz val="11"/>
      <color theme="1"/>
      <name val="Calibri"/>
      <family val="2"/>
    </font>
    <font>
      <sz val="10.45"/>
      <color theme="1"/>
      <name val="Calibri"/>
      <family val="2"/>
    </font>
    <font>
      <b/>
      <sz val="12"/>
      <color theme="1"/>
      <name val="Calibri"/>
      <family val="2"/>
      <scheme val="minor"/>
    </font>
    <font>
      <sz val="8"/>
      <color indexed="81"/>
      <name val="Tahoma"/>
      <family val="2"/>
    </font>
    <font>
      <b/>
      <sz val="8"/>
      <color indexed="81"/>
      <name val="Tahoma"/>
      <family val="2"/>
    </font>
    <font>
      <b/>
      <sz val="11"/>
      <name val="Arial"/>
      <family val="2"/>
    </font>
    <font>
      <b/>
      <u/>
      <sz val="11"/>
      <name val="Calibri"/>
      <family val="2"/>
      <scheme val="minor"/>
    </font>
  </fonts>
  <fills count="17">
    <fill>
      <patternFill patternType="none"/>
    </fill>
    <fill>
      <patternFill patternType="gray125"/>
    </fill>
    <fill>
      <patternFill patternType="solid">
        <fgColor indexed="26"/>
        <bgColor indexed="64"/>
      </patternFill>
    </fill>
    <fill>
      <patternFill patternType="solid">
        <fgColor indexed="31"/>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theme="9" tint="0.39997558519241921"/>
        <bgColor indexed="64"/>
      </patternFill>
    </fill>
    <fill>
      <patternFill patternType="solid">
        <fgColor rgb="FFFFFFCC"/>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3" tint="0.79998168889431442"/>
        <bgColor indexed="64"/>
      </patternFill>
    </fill>
  </fills>
  <borders count="20">
    <border>
      <left/>
      <right/>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9">
    <xf numFmtId="0" fontId="0" fillId="0" borderId="0"/>
    <xf numFmtId="43" fontId="10" fillId="0" borderId="0" applyFont="0" applyFill="0" applyBorder="0" applyAlignment="0" applyProtection="0"/>
    <xf numFmtId="0" fontId="13" fillId="0" borderId="0"/>
    <xf numFmtId="9" fontId="10" fillId="0" borderId="0" applyFont="0" applyFill="0" applyBorder="0" applyAlignment="0" applyProtection="0"/>
    <xf numFmtId="0" fontId="14" fillId="0" borderId="0"/>
    <xf numFmtId="0" fontId="10" fillId="0" borderId="0"/>
    <xf numFmtId="0" fontId="23" fillId="0" borderId="0" applyNumberFormat="0" applyFill="0" applyBorder="0" applyAlignment="0" applyProtection="0"/>
    <xf numFmtId="43" fontId="8" fillId="0" borderId="0" applyFont="0" applyFill="0" applyBorder="0" applyAlignment="0" applyProtection="0"/>
    <xf numFmtId="0" fontId="8" fillId="0" borderId="0"/>
    <xf numFmtId="0" fontId="24" fillId="0" borderId="0"/>
    <xf numFmtId="43" fontId="10" fillId="0" borderId="0" applyFont="0" applyFill="0" applyBorder="0" applyAlignment="0" applyProtection="0"/>
    <xf numFmtId="0" fontId="7" fillId="0" borderId="0"/>
    <xf numFmtId="43" fontId="7" fillId="0" borderId="0" applyFont="0" applyFill="0" applyBorder="0" applyAlignment="0" applyProtection="0"/>
    <xf numFmtId="0" fontId="28" fillId="0" borderId="0"/>
    <xf numFmtId="0" fontId="5" fillId="0" borderId="0"/>
    <xf numFmtId="0" fontId="4" fillId="0" borderId="0"/>
    <xf numFmtId="0" fontId="3" fillId="0" borderId="0"/>
    <xf numFmtId="43" fontId="10" fillId="0" borderId="0" applyFont="0" applyFill="0" applyBorder="0" applyAlignment="0" applyProtection="0"/>
    <xf numFmtId="9" fontId="10" fillId="0" borderId="0" applyFont="0" applyFill="0" applyBorder="0" applyAlignment="0" applyProtection="0"/>
  </cellStyleXfs>
  <cellXfs count="460">
    <xf numFmtId="0" fontId="0" fillId="0" borderId="0" xfId="0"/>
    <xf numFmtId="166" fontId="0" fillId="2" borderId="0" xfId="1" applyNumberFormat="1" applyFont="1" applyFill="1"/>
    <xf numFmtId="166" fontId="0" fillId="2" borderId="3" xfId="1" applyNumberFormat="1" applyFont="1" applyFill="1" applyBorder="1"/>
    <xf numFmtId="0" fontId="0" fillId="5" borderId="0" xfId="2" applyFont="1" applyFill="1" applyBorder="1" applyAlignment="1"/>
    <xf numFmtId="167" fontId="0" fillId="5" borderId="0" xfId="2" applyNumberFormat="1" applyFont="1" applyFill="1" applyBorder="1" applyAlignment="1">
      <alignment horizontal="centerContinuous"/>
    </xf>
    <xf numFmtId="37" fontId="10" fillId="5" borderId="0" xfId="2" applyNumberFormat="1" applyFont="1" applyFill="1" applyBorder="1" applyAlignment="1">
      <alignment horizontal="centerContinuous"/>
    </xf>
    <xf numFmtId="0" fontId="10" fillId="5" borderId="0" xfId="2" applyFont="1" applyFill="1" applyAlignment="1"/>
    <xf numFmtId="0" fontId="0" fillId="5" borderId="3" xfId="2" applyFont="1" applyFill="1" applyBorder="1" applyAlignment="1"/>
    <xf numFmtId="0" fontId="10" fillId="5" borderId="3" xfId="2" applyFont="1" applyFill="1" applyBorder="1" applyAlignment="1">
      <alignment horizontal="center"/>
    </xf>
    <xf numFmtId="0" fontId="10" fillId="5" borderId="3" xfId="2" applyFont="1" applyFill="1" applyBorder="1" applyAlignment="1"/>
    <xf numFmtId="0" fontId="0" fillId="5" borderId="0" xfId="2" applyFont="1" applyFill="1" applyAlignment="1">
      <alignment horizontal="left"/>
    </xf>
    <xf numFmtId="0" fontId="10" fillId="5" borderId="0" xfId="2" applyFont="1" applyFill="1" applyBorder="1" applyAlignment="1">
      <alignment horizontal="center"/>
    </xf>
    <xf numFmtId="169" fontId="0" fillId="6" borderId="6" xfId="2" applyNumberFormat="1" applyFont="1" applyFill="1" applyBorder="1" applyAlignment="1"/>
    <xf numFmtId="169" fontId="0" fillId="6" borderId="8" xfId="2" applyNumberFormat="1" applyFont="1" applyFill="1" applyBorder="1" applyAlignment="1"/>
    <xf numFmtId="0" fontId="11" fillId="5" borderId="0" xfId="2" applyFont="1" applyFill="1" applyAlignment="1">
      <alignment horizontal="left"/>
    </xf>
    <xf numFmtId="0" fontId="10" fillId="5" borderId="0" xfId="2" applyFont="1" applyFill="1" applyAlignment="1">
      <alignment horizontal="left"/>
    </xf>
    <xf numFmtId="169" fontId="0" fillId="5" borderId="0" xfId="2" applyNumberFormat="1" applyFont="1" applyFill="1" applyBorder="1" applyAlignment="1"/>
    <xf numFmtId="169" fontId="10" fillId="5" borderId="0" xfId="2" applyNumberFormat="1" applyFont="1" applyFill="1" applyBorder="1" applyAlignment="1"/>
    <xf numFmtId="169" fontId="10" fillId="5" borderId="0" xfId="2" applyNumberFormat="1" applyFont="1" applyFill="1" applyAlignment="1"/>
    <xf numFmtId="0" fontId="11" fillId="5" borderId="3" xfId="2" applyFont="1" applyFill="1" applyBorder="1" applyAlignment="1">
      <alignment horizontal="left"/>
    </xf>
    <xf numFmtId="0" fontId="11" fillId="5" borderId="0" xfId="2" applyFont="1" applyFill="1" applyBorder="1" applyAlignment="1">
      <alignment horizontal="left"/>
    </xf>
    <xf numFmtId="0" fontId="10" fillId="5" borderId="0" xfId="2" applyFont="1" applyFill="1" applyBorder="1" applyAlignment="1"/>
    <xf numFmtId="164" fontId="10" fillId="5" borderId="0" xfId="2" applyNumberFormat="1" applyFont="1" applyFill="1" applyBorder="1" applyAlignment="1" applyProtection="1"/>
    <xf numFmtId="0" fontId="0" fillId="5" borderId="0" xfId="2" applyFont="1" applyFill="1" applyAlignment="1">
      <alignment horizontal="centerContinuous"/>
    </xf>
    <xf numFmtId="0" fontId="0" fillId="5" borderId="14" xfId="2" applyFont="1" applyFill="1" applyBorder="1" applyAlignment="1">
      <alignment horizontal="centerContinuous"/>
    </xf>
    <xf numFmtId="164" fontId="10" fillId="5" borderId="3" xfId="2" applyNumberFormat="1" applyFont="1" applyFill="1" applyBorder="1" applyAlignment="1" applyProtection="1"/>
    <xf numFmtId="0" fontId="10" fillId="5" borderId="11" xfId="2" applyFont="1" applyFill="1" applyBorder="1" applyAlignment="1">
      <alignment horizontal="center"/>
    </xf>
    <xf numFmtId="1" fontId="0" fillId="5" borderId="0" xfId="2" applyNumberFormat="1" applyFont="1" applyFill="1" applyBorder="1"/>
    <xf numFmtId="0" fontId="12" fillId="5" borderId="4" xfId="2" applyFont="1" applyFill="1" applyBorder="1" applyAlignment="1">
      <alignment horizontal="left"/>
    </xf>
    <xf numFmtId="0" fontId="9" fillId="0" borderId="0" xfId="0" applyFont="1"/>
    <xf numFmtId="1" fontId="0" fillId="5" borderId="4" xfId="2" applyNumberFormat="1" applyFont="1" applyFill="1" applyBorder="1"/>
    <xf numFmtId="169" fontId="0" fillId="6" borderId="7" xfId="2" applyNumberFormat="1" applyFont="1" applyFill="1" applyBorder="1" applyAlignment="1"/>
    <xf numFmtId="169" fontId="0" fillId="6" borderId="5" xfId="2" applyNumberFormat="1" applyFont="1" applyFill="1" applyBorder="1" applyAlignment="1"/>
    <xf numFmtId="169" fontId="0" fillId="6" borderId="1" xfId="2" applyNumberFormat="1" applyFont="1" applyFill="1" applyBorder="1" applyAlignment="1"/>
    <xf numFmtId="169" fontId="0" fillId="6" borderId="9" xfId="2" applyNumberFormat="1" applyFont="1" applyFill="1" applyBorder="1" applyAlignment="1"/>
    <xf numFmtId="0" fontId="10" fillId="0" borderId="0" xfId="5"/>
    <xf numFmtId="0" fontId="10" fillId="0" borderId="15" xfId="5" applyBorder="1"/>
    <xf numFmtId="0" fontId="10" fillId="0" borderId="2" xfId="5" applyBorder="1"/>
    <xf numFmtId="0" fontId="10" fillId="0" borderId="16" xfId="5" applyBorder="1"/>
    <xf numFmtId="0" fontId="10" fillId="0" borderId="14" xfId="5" applyBorder="1"/>
    <xf numFmtId="0" fontId="10" fillId="0" borderId="17" xfId="5" applyBorder="1"/>
    <xf numFmtId="0" fontId="10" fillId="0" borderId="0" xfId="5" applyBorder="1"/>
    <xf numFmtId="0" fontId="10" fillId="0" borderId="0" xfId="5" applyFont="1" applyBorder="1"/>
    <xf numFmtId="0" fontId="16" fillId="8" borderId="15" xfId="5" applyFont="1" applyFill="1" applyBorder="1"/>
    <xf numFmtId="0" fontId="16" fillId="8" borderId="2" xfId="5" applyFont="1" applyFill="1" applyBorder="1"/>
    <xf numFmtId="0" fontId="16" fillId="8" borderId="16" xfId="5" applyFont="1" applyFill="1" applyBorder="1"/>
    <xf numFmtId="0" fontId="16" fillId="8" borderId="11" xfId="5" applyFont="1" applyFill="1" applyBorder="1"/>
    <xf numFmtId="0" fontId="16" fillId="8" borderId="3" xfId="5" applyFont="1" applyFill="1" applyBorder="1"/>
    <xf numFmtId="0" fontId="16" fillId="8" borderId="18" xfId="5" applyFont="1" applyFill="1" applyBorder="1"/>
    <xf numFmtId="0" fontId="16" fillId="8" borderId="14" xfId="5" applyFont="1" applyFill="1" applyBorder="1"/>
    <xf numFmtId="0" fontId="16" fillId="8" borderId="0" xfId="5" applyFont="1" applyFill="1" applyBorder="1"/>
    <xf numFmtId="1" fontId="16" fillId="9" borderId="0" xfId="5" applyNumberFormat="1" applyFont="1" applyFill="1" applyBorder="1"/>
    <xf numFmtId="0" fontId="16" fillId="0" borderId="0" xfId="5" applyFont="1" applyBorder="1"/>
    <xf numFmtId="0" fontId="10" fillId="0" borderId="11" xfId="5" applyBorder="1"/>
    <xf numFmtId="0" fontId="10" fillId="0" borderId="3" xfId="5" applyBorder="1"/>
    <xf numFmtId="0" fontId="10" fillId="0" borderId="18" xfId="5" applyBorder="1"/>
    <xf numFmtId="0" fontId="10" fillId="0" borderId="2" xfId="5" applyFont="1" applyBorder="1"/>
    <xf numFmtId="0" fontId="10" fillId="0" borderId="0" xfId="5" applyFont="1" applyBorder="1" applyAlignment="1">
      <alignment horizontal="center"/>
    </xf>
    <xf numFmtId="0" fontId="16" fillId="0" borderId="0" xfId="5" applyFont="1" applyFill="1" applyBorder="1"/>
    <xf numFmtId="168" fontId="16" fillId="0" borderId="0" xfId="5" applyNumberFormat="1" applyFont="1" applyFill="1" applyBorder="1"/>
    <xf numFmtId="169" fontId="16" fillId="0" borderId="0" xfId="5" applyNumberFormat="1" applyFont="1" applyFill="1" applyBorder="1"/>
    <xf numFmtId="1" fontId="16" fillId="0" borderId="0" xfId="5" applyNumberFormat="1" applyFont="1" applyFill="1" applyBorder="1"/>
    <xf numFmtId="0" fontId="10" fillId="0" borderId="12" xfId="5" applyFont="1" applyBorder="1" applyAlignment="1"/>
    <xf numFmtId="0" fontId="10" fillId="0" borderId="12" xfId="5" applyFont="1" applyBorder="1"/>
    <xf numFmtId="0" fontId="10" fillId="0" borderId="0" xfId="5" applyFont="1"/>
    <xf numFmtId="0" fontId="10" fillId="0" borderId="0" xfId="5" applyFont="1" applyAlignment="1"/>
    <xf numFmtId="10" fontId="10" fillId="0" borderId="0" xfId="5" applyNumberFormat="1" applyFont="1"/>
    <xf numFmtId="10" fontId="10" fillId="0" borderId="12" xfId="5" applyNumberFormat="1" applyFont="1" applyBorder="1"/>
    <xf numFmtId="0" fontId="23" fillId="0" borderId="0" xfId="6"/>
    <xf numFmtId="169" fontId="16" fillId="8" borderId="0" xfId="5" applyNumberFormat="1" applyFont="1" applyFill="1" applyBorder="1"/>
    <xf numFmtId="169" fontId="16" fillId="8" borderId="17" xfId="5" applyNumberFormat="1" applyFont="1" applyFill="1" applyBorder="1"/>
    <xf numFmtId="169" fontId="16" fillId="8" borderId="4" xfId="5" applyNumberFormat="1" applyFont="1" applyFill="1" applyBorder="1"/>
    <xf numFmtId="169" fontId="16" fillId="8" borderId="19" xfId="5" applyNumberFormat="1" applyFont="1" applyFill="1" applyBorder="1"/>
    <xf numFmtId="0" fontId="26" fillId="0" borderId="0" xfId="11" applyFont="1"/>
    <xf numFmtId="0" fontId="7" fillId="0" borderId="0" xfId="11"/>
    <xf numFmtId="0" fontId="7" fillId="0" borderId="12" xfId="11" applyBorder="1" applyAlignment="1">
      <alignment horizontal="center"/>
    </xf>
    <xf numFmtId="0" fontId="7" fillId="0" borderId="12" xfId="11" applyBorder="1"/>
    <xf numFmtId="166" fontId="0" fillId="0" borderId="12" xfId="12" applyNumberFormat="1" applyFont="1" applyBorder="1"/>
    <xf numFmtId="0" fontId="7" fillId="0" borderId="10" xfId="11" applyBorder="1"/>
    <xf numFmtId="0" fontId="7" fillId="0" borderId="14" xfId="11" applyBorder="1"/>
    <xf numFmtId="0" fontId="28" fillId="0" borderId="12" xfId="13" applyBorder="1" applyAlignment="1">
      <alignment horizontal="left"/>
    </xf>
    <xf numFmtId="166" fontId="7" fillId="0" borderId="12" xfId="11" applyNumberFormat="1" applyBorder="1"/>
    <xf numFmtId="166" fontId="7" fillId="0" borderId="10" xfId="11" applyNumberFormat="1" applyBorder="1"/>
    <xf numFmtId="0" fontId="28" fillId="0" borderId="12" xfId="13" applyFill="1" applyBorder="1" applyAlignment="1">
      <alignment horizontal="left"/>
    </xf>
    <xf numFmtId="0" fontId="7" fillId="0" borderId="0" xfId="11" applyFont="1"/>
    <xf numFmtId="0" fontId="7" fillId="0" borderId="0" xfId="11" applyBorder="1" applyAlignment="1">
      <alignment vertical="top"/>
    </xf>
    <xf numFmtId="0" fontId="7" fillId="0" borderId="0" xfId="11" applyBorder="1" applyAlignment="1">
      <alignment wrapText="1"/>
    </xf>
    <xf numFmtId="0" fontId="7" fillId="0" borderId="0" xfId="11" applyBorder="1"/>
    <xf numFmtId="0" fontId="7" fillId="0" borderId="0" xfId="11" applyAlignment="1">
      <alignment vertical="top"/>
    </xf>
    <xf numFmtId="0" fontId="26" fillId="0" borderId="12" xfId="11" applyFont="1" applyBorder="1"/>
    <xf numFmtId="9" fontId="7" fillId="0" borderId="12" xfId="11" applyNumberFormat="1" applyBorder="1"/>
    <xf numFmtId="0" fontId="7" fillId="0" borderId="12" xfId="11" applyFill="1" applyBorder="1"/>
    <xf numFmtId="0" fontId="7" fillId="0" borderId="0" xfId="11" applyAlignment="1"/>
    <xf numFmtId="0" fontId="10" fillId="11" borderId="0" xfId="13" applyFont="1" applyFill="1" applyBorder="1" applyAlignment="1"/>
    <xf numFmtId="0" fontId="10" fillId="11" borderId="0" xfId="13" applyFont="1" applyFill="1" applyBorder="1"/>
    <xf numFmtId="0" fontId="29" fillId="11" borderId="0" xfId="13" applyFont="1" applyFill="1"/>
    <xf numFmtId="0" fontId="10" fillId="11" borderId="0" xfId="13" applyFont="1" applyFill="1" applyBorder="1" applyAlignment="1">
      <alignment horizontal="center"/>
    </xf>
    <xf numFmtId="49" fontId="10" fillId="11" borderId="3" xfId="13" applyNumberFormat="1" applyFont="1" applyFill="1" applyBorder="1" applyAlignment="1"/>
    <xf numFmtId="0" fontId="10" fillId="11" borderId="3" xfId="13" applyFont="1" applyFill="1" applyBorder="1"/>
    <xf numFmtId="0" fontId="29" fillId="11" borderId="3" xfId="13" applyFont="1" applyFill="1" applyBorder="1"/>
    <xf numFmtId="0" fontId="10" fillId="11" borderId="3" xfId="13" applyFont="1" applyFill="1" applyBorder="1" applyAlignment="1">
      <alignment horizontal="center"/>
    </xf>
    <xf numFmtId="0" fontId="10" fillId="11" borderId="0" xfId="13" applyFont="1" applyFill="1" applyAlignment="1"/>
    <xf numFmtId="0" fontId="10" fillId="11" borderId="0" xfId="13" applyFont="1" applyFill="1"/>
    <xf numFmtId="170" fontId="10" fillId="11" borderId="0" xfId="13" applyNumberFormat="1" applyFont="1" applyFill="1"/>
    <xf numFmtId="1" fontId="10" fillId="11" borderId="0" xfId="13" applyNumberFormat="1" applyFont="1" applyFill="1"/>
    <xf numFmtId="0" fontId="17" fillId="11" borderId="3" xfId="13" applyFont="1" applyFill="1" applyBorder="1" applyAlignment="1"/>
    <xf numFmtId="0" fontId="17" fillId="11" borderId="3" xfId="13" applyFont="1" applyFill="1" applyBorder="1"/>
    <xf numFmtId="0" fontId="30" fillId="11" borderId="3" xfId="13" applyFont="1" applyFill="1" applyBorder="1"/>
    <xf numFmtId="170" fontId="17" fillId="11" borderId="3" xfId="13" applyNumberFormat="1" applyFont="1" applyFill="1" applyBorder="1"/>
    <xf numFmtId="1" fontId="10" fillId="11" borderId="3" xfId="13" applyNumberFormat="1" applyFont="1" applyFill="1" applyBorder="1"/>
    <xf numFmtId="170" fontId="10" fillId="11" borderId="3" xfId="13" applyNumberFormat="1" applyFont="1" applyFill="1" applyBorder="1"/>
    <xf numFmtId="0" fontId="27" fillId="11" borderId="0" xfId="11" applyFont="1" applyFill="1"/>
    <xf numFmtId="0" fontId="7" fillId="11" borderId="0" xfId="11" applyFill="1"/>
    <xf numFmtId="0" fontId="7" fillId="11" borderId="0" xfId="11" applyFont="1" applyFill="1"/>
    <xf numFmtId="0" fontId="26" fillId="11" borderId="0" xfId="11" applyFont="1" applyFill="1"/>
    <xf numFmtId="0" fontId="6" fillId="0" borderId="0" xfId="11" applyFont="1"/>
    <xf numFmtId="0" fontId="10" fillId="12" borderId="0" xfId="2" applyFont="1" applyFill="1" applyAlignment="1"/>
    <xf numFmtId="1" fontId="0" fillId="12" borderId="0" xfId="2" applyNumberFormat="1" applyFont="1" applyFill="1" applyBorder="1"/>
    <xf numFmtId="0" fontId="9" fillId="0" borderId="0" xfId="5" applyFont="1"/>
    <xf numFmtId="2" fontId="9" fillId="0" borderId="0" xfId="5" applyNumberFormat="1" applyFont="1"/>
    <xf numFmtId="0" fontId="4" fillId="0" borderId="0" xfId="15"/>
    <xf numFmtId="174" fontId="0" fillId="0" borderId="0" xfId="0" applyNumberFormat="1"/>
    <xf numFmtId="170" fontId="10" fillId="2" borderId="0" xfId="0" applyNumberFormat="1" applyFont="1" applyFill="1"/>
    <xf numFmtId="1" fontId="16" fillId="8" borderId="0" xfId="5" applyNumberFormat="1" applyFont="1" applyFill="1" applyBorder="1"/>
    <xf numFmtId="1" fontId="16" fillId="8" borderId="4" xfId="5" applyNumberFormat="1" applyFont="1" applyFill="1" applyBorder="1"/>
    <xf numFmtId="169" fontId="16" fillId="8" borderId="3" xfId="5" applyNumberFormat="1" applyFont="1" applyFill="1" applyBorder="1"/>
    <xf numFmtId="169" fontId="16" fillId="8" borderId="18" xfId="5" applyNumberFormat="1" applyFont="1" applyFill="1" applyBorder="1"/>
    <xf numFmtId="1" fontId="10" fillId="0" borderId="12" xfId="5" applyNumberFormat="1" applyFont="1" applyBorder="1"/>
    <xf numFmtId="0" fontId="33" fillId="0" borderId="0" xfId="0" applyFont="1" applyFill="1" applyBorder="1" applyAlignment="1"/>
    <xf numFmtId="49" fontId="33" fillId="0" borderId="0" xfId="0" applyNumberFormat="1" applyFont="1"/>
    <xf numFmtId="0" fontId="33" fillId="0" borderId="0" xfId="0" applyFont="1"/>
    <xf numFmtId="0" fontId="34" fillId="13" borderId="0" xfId="0" applyFont="1" applyFill="1" applyBorder="1" applyAlignment="1">
      <alignment horizontal="center"/>
    </xf>
    <xf numFmtId="0" fontId="33" fillId="0" borderId="0" xfId="0" applyFont="1" applyFill="1" applyBorder="1" applyAlignment="1">
      <alignment horizontal="left"/>
    </xf>
    <xf numFmtId="0" fontId="33" fillId="0" borderId="0" xfId="0" applyFont="1" applyFill="1" applyBorder="1"/>
    <xf numFmtId="0" fontId="33" fillId="0" borderId="0" xfId="0" applyFont="1" applyFill="1" applyBorder="1" applyAlignment="1">
      <alignment horizontal="right" vertical="center"/>
    </xf>
    <xf numFmtId="15" fontId="33" fillId="0" borderId="0" xfId="0" applyNumberFormat="1" applyFont="1" applyFill="1" applyBorder="1" applyAlignment="1">
      <alignment horizontal="left" vertical="center"/>
    </xf>
    <xf numFmtId="0" fontId="33" fillId="0" borderId="0" xfId="0" applyFont="1" applyFill="1"/>
    <xf numFmtId="0" fontId="33" fillId="0" borderId="0" xfId="0" applyFont="1" applyBorder="1"/>
    <xf numFmtId="0" fontId="33" fillId="0" borderId="0" xfId="0" applyFont="1" applyFill="1" applyBorder="1" applyAlignment="1">
      <alignment horizontal="right"/>
    </xf>
    <xf numFmtId="0" fontId="35" fillId="0" borderId="0" xfId="0" applyFont="1" applyFill="1" applyBorder="1" applyAlignment="1">
      <alignment vertical="center"/>
    </xf>
    <xf numFmtId="0" fontId="33" fillId="0" borderId="0" xfId="0" applyFont="1" applyAlignment="1"/>
    <xf numFmtId="0" fontId="34" fillId="0" borderId="0" xfId="0" applyFont="1" applyAlignment="1"/>
    <xf numFmtId="0" fontId="25" fillId="0" borderId="0" xfId="0" applyFont="1" applyAlignment="1"/>
    <xf numFmtId="164" fontId="33" fillId="0" borderId="0" xfId="0" applyNumberFormat="1" applyFont="1" applyAlignment="1" applyProtection="1"/>
    <xf numFmtId="165" fontId="33" fillId="0" borderId="0" xfId="0" applyNumberFormat="1" applyFont="1" applyAlignment="1" applyProtection="1"/>
    <xf numFmtId="0" fontId="33" fillId="0" borderId="0" xfId="0" applyFont="1" applyAlignment="1">
      <alignment horizontal="left"/>
    </xf>
    <xf numFmtId="49" fontId="33" fillId="2" borderId="3" xfId="0" applyNumberFormat="1" applyFont="1" applyFill="1" applyBorder="1" applyAlignment="1"/>
    <xf numFmtId="49" fontId="33" fillId="2" borderId="3" xfId="0" applyNumberFormat="1" applyFont="1" applyFill="1" applyBorder="1"/>
    <xf numFmtId="49" fontId="33" fillId="2" borderId="3" xfId="0" applyNumberFormat="1" applyFont="1" applyFill="1" applyBorder="1" applyAlignment="1" applyProtection="1"/>
    <xf numFmtId="49" fontId="33" fillId="2" borderId="0" xfId="0" applyNumberFormat="1" applyFont="1" applyFill="1" applyAlignment="1">
      <alignment vertical="top"/>
    </xf>
    <xf numFmtId="49" fontId="33" fillId="2" borderId="0" xfId="0" applyNumberFormat="1" applyFont="1" applyFill="1" applyBorder="1" applyAlignment="1">
      <alignment vertical="top"/>
    </xf>
    <xf numFmtId="49" fontId="33" fillId="2" borderId="0" xfId="0" applyNumberFormat="1" applyFont="1" applyFill="1" applyBorder="1" applyAlignment="1" applyProtection="1">
      <alignment vertical="top"/>
    </xf>
    <xf numFmtId="49" fontId="33" fillId="2" borderId="2" xfId="0" applyNumberFormat="1" applyFont="1" applyFill="1" applyBorder="1" applyAlignment="1" applyProtection="1">
      <alignment vertical="top" wrapText="1"/>
    </xf>
    <xf numFmtId="49" fontId="33" fillId="2" borderId="0" xfId="0" applyNumberFormat="1" applyFont="1" applyFill="1" applyBorder="1" applyAlignment="1">
      <alignment vertical="top" wrapText="1"/>
    </xf>
    <xf numFmtId="49" fontId="33" fillId="2" borderId="0" xfId="0" applyNumberFormat="1" applyFont="1" applyFill="1" applyBorder="1" applyAlignment="1" applyProtection="1">
      <alignment vertical="top" wrapText="1"/>
    </xf>
    <xf numFmtId="49" fontId="33" fillId="2" borderId="0" xfId="0" applyNumberFormat="1" applyFont="1" applyFill="1" applyAlignment="1" applyProtection="1">
      <alignment vertical="top"/>
    </xf>
    <xf numFmtId="0" fontId="33" fillId="2" borderId="0" xfId="0" applyFont="1" applyFill="1" applyBorder="1" applyAlignment="1">
      <alignment vertical="top" wrapText="1"/>
    </xf>
    <xf numFmtId="49" fontId="33" fillId="2" borderId="3" xfId="0" applyNumberFormat="1" applyFont="1" applyFill="1" applyBorder="1" applyAlignment="1">
      <alignment vertical="top"/>
    </xf>
    <xf numFmtId="49" fontId="33" fillId="2" borderId="3" xfId="0" applyNumberFormat="1" applyFont="1" applyFill="1" applyBorder="1" applyAlignment="1" applyProtection="1">
      <alignment vertical="top"/>
    </xf>
    <xf numFmtId="0" fontId="33" fillId="2" borderId="3" xfId="0" applyFont="1" applyFill="1" applyBorder="1" applyAlignment="1">
      <alignment vertical="top" wrapText="1"/>
    </xf>
    <xf numFmtId="49" fontId="33" fillId="2" borderId="3" xfId="0" applyNumberFormat="1" applyFont="1" applyFill="1" applyBorder="1" applyAlignment="1">
      <alignment vertical="top" wrapText="1"/>
    </xf>
    <xf numFmtId="49" fontId="33" fillId="0" borderId="0" xfId="0" applyNumberFormat="1" applyFont="1" applyAlignment="1"/>
    <xf numFmtId="49" fontId="33" fillId="0" borderId="0" xfId="0" applyNumberFormat="1" applyFont="1" applyAlignment="1" applyProtection="1"/>
    <xf numFmtId="0" fontId="34" fillId="0" borderId="0" xfId="0" applyFont="1" applyAlignment="1">
      <alignment horizontal="left"/>
    </xf>
    <xf numFmtId="0" fontId="33" fillId="2" borderId="3" xfId="0" applyFont="1" applyFill="1" applyBorder="1"/>
    <xf numFmtId="168" fontId="33" fillId="2" borderId="0" xfId="0" applyNumberFormat="1" applyFont="1" applyFill="1" applyAlignment="1" applyProtection="1">
      <alignment horizontal="left" vertical="top"/>
    </xf>
    <xf numFmtId="49" fontId="33" fillId="2" borderId="2" xfId="0" applyNumberFormat="1" applyFont="1" applyFill="1" applyBorder="1" applyAlignment="1">
      <alignment vertical="top"/>
    </xf>
    <xf numFmtId="0" fontId="33" fillId="2" borderId="0" xfId="0" applyFont="1" applyFill="1"/>
    <xf numFmtId="0" fontId="33" fillId="2" borderId="2" xfId="0" applyFont="1" applyFill="1" applyBorder="1" applyAlignment="1">
      <alignment vertical="top" wrapText="1"/>
    </xf>
    <xf numFmtId="0" fontId="33" fillId="2" borderId="0" xfId="0" applyFont="1" applyFill="1" applyAlignment="1">
      <alignment horizontal="left"/>
    </xf>
    <xf numFmtId="168" fontId="33" fillId="2" borderId="0" xfId="0" applyNumberFormat="1" applyFont="1" applyFill="1" applyAlignment="1">
      <alignment horizontal="left"/>
    </xf>
    <xf numFmtId="0" fontId="33" fillId="2" borderId="3" xfId="0" applyFont="1" applyFill="1" applyBorder="1" applyAlignment="1">
      <alignment horizontal="left"/>
    </xf>
    <xf numFmtId="168" fontId="33" fillId="2" borderId="3" xfId="0" applyNumberFormat="1" applyFont="1" applyFill="1" applyBorder="1" applyAlignment="1">
      <alignment horizontal="left"/>
    </xf>
    <xf numFmtId="0" fontId="33" fillId="2" borderId="0" xfId="0" applyFont="1" applyFill="1" applyBorder="1" applyAlignment="1">
      <alignment horizontal="left"/>
    </xf>
    <xf numFmtId="168" fontId="33" fillId="2" borderId="0" xfId="0" applyNumberFormat="1" applyFont="1" applyFill="1" applyBorder="1" applyAlignment="1">
      <alignment horizontal="left"/>
    </xf>
    <xf numFmtId="0" fontId="33" fillId="2" borderId="0" xfId="0" applyFont="1" applyFill="1" applyBorder="1"/>
    <xf numFmtId="49" fontId="33" fillId="0" borderId="0" xfId="0" applyNumberFormat="1" applyFont="1" applyFill="1" applyBorder="1" applyAlignment="1">
      <alignment vertical="top"/>
    </xf>
    <xf numFmtId="168" fontId="33" fillId="0" borderId="0" xfId="0" applyNumberFormat="1" applyFont="1" applyFill="1" applyBorder="1" applyAlignment="1">
      <alignment horizontal="left"/>
    </xf>
    <xf numFmtId="0" fontId="33" fillId="0" borderId="0" xfId="0" applyFont="1" applyFill="1" applyBorder="1" applyAlignment="1">
      <alignment vertical="top" wrapText="1"/>
    </xf>
    <xf numFmtId="0" fontId="33" fillId="13" borderId="0" xfId="0" applyFont="1" applyFill="1" applyAlignment="1">
      <alignment horizontal="left"/>
    </xf>
    <xf numFmtId="49" fontId="33" fillId="13" borderId="0" xfId="0" applyNumberFormat="1" applyFont="1" applyFill="1" applyBorder="1" applyAlignment="1">
      <alignment vertical="top"/>
    </xf>
    <xf numFmtId="0" fontId="33" fillId="13" borderId="0" xfId="0" applyFont="1" applyFill="1" applyBorder="1" applyAlignment="1">
      <alignment horizontal="left"/>
    </xf>
    <xf numFmtId="168" fontId="33" fillId="13" borderId="0" xfId="0" applyNumberFormat="1" applyFont="1" applyFill="1" applyBorder="1" applyAlignment="1">
      <alignment horizontal="left"/>
    </xf>
    <xf numFmtId="0" fontId="33" fillId="13" borderId="0" xfId="0" applyFont="1" applyFill="1" applyBorder="1"/>
    <xf numFmtId="0" fontId="33" fillId="13" borderId="0" xfId="0" applyFont="1" applyFill="1" applyBorder="1" applyAlignment="1">
      <alignment vertical="top" wrapText="1"/>
    </xf>
    <xf numFmtId="0" fontId="34" fillId="13" borderId="0" xfId="0" applyFont="1" applyFill="1" applyAlignment="1">
      <alignment horizontal="left"/>
    </xf>
    <xf numFmtId="0" fontId="33" fillId="13" borderId="0" xfId="0" applyFont="1" applyFill="1"/>
    <xf numFmtId="0" fontId="33" fillId="13" borderId="0" xfId="0" applyFont="1" applyFill="1" applyBorder="1" applyAlignment="1">
      <alignment horizontal="center" vertical="top" wrapText="1"/>
    </xf>
    <xf numFmtId="0" fontId="33" fillId="13" borderId="0" xfId="0" applyFont="1" applyFill="1" applyBorder="1" applyAlignment="1">
      <alignment horizontal="center"/>
    </xf>
    <xf numFmtId="49" fontId="33" fillId="13" borderId="0" xfId="0" applyNumberFormat="1" applyFont="1" applyFill="1" applyBorder="1" applyAlignment="1">
      <alignment horizontal="center" vertical="top"/>
    </xf>
    <xf numFmtId="168" fontId="33" fillId="13" borderId="0" xfId="0" applyNumberFormat="1" applyFont="1" applyFill="1" applyBorder="1" applyAlignment="1">
      <alignment horizontal="center"/>
    </xf>
    <xf numFmtId="0" fontId="33" fillId="13" borderId="0" xfId="0" applyFont="1" applyFill="1" applyAlignment="1">
      <alignment horizontal="center"/>
    </xf>
    <xf numFmtId="1" fontId="33" fillId="13" borderId="0" xfId="0" applyNumberFormat="1" applyFont="1" applyFill="1" applyBorder="1" applyAlignment="1">
      <alignment horizontal="right"/>
    </xf>
    <xf numFmtId="1" fontId="33" fillId="13" borderId="0" xfId="0" applyNumberFormat="1" applyFont="1" applyFill="1" applyBorder="1" applyAlignment="1">
      <alignment horizontal="right" vertical="top" wrapText="1"/>
    </xf>
    <xf numFmtId="169" fontId="33" fillId="13" borderId="0" xfId="0" applyNumberFormat="1" applyFont="1" applyFill="1" applyBorder="1" applyAlignment="1">
      <alignment horizontal="right" vertical="center" wrapText="1"/>
    </xf>
    <xf numFmtId="43" fontId="33" fillId="0" borderId="0" xfId="0" applyNumberFormat="1" applyFont="1" applyFill="1"/>
    <xf numFmtId="0" fontId="36" fillId="0" borderId="0" xfId="0" applyFont="1" applyAlignment="1"/>
    <xf numFmtId="0" fontId="36" fillId="0" borderId="0" xfId="0" applyFont="1"/>
    <xf numFmtId="0" fontId="36" fillId="0" borderId="0" xfId="0" applyFont="1" applyFill="1" applyBorder="1"/>
    <xf numFmtId="0" fontId="36" fillId="0" borderId="0" xfId="0" applyFont="1" applyBorder="1"/>
    <xf numFmtId="0" fontId="36" fillId="0" borderId="0" xfId="0" applyFont="1" applyFill="1"/>
    <xf numFmtId="0" fontId="36" fillId="2" borderId="0" xfId="0" applyFont="1" applyFill="1" applyAlignment="1"/>
    <xf numFmtId="0" fontId="36" fillId="2" borderId="0" xfId="0" applyFont="1" applyFill="1"/>
    <xf numFmtId="0" fontId="36" fillId="2" borderId="0" xfId="0" applyFont="1" applyFill="1" applyAlignment="1">
      <alignment horizontal="center"/>
    </xf>
    <xf numFmtId="0" fontId="33" fillId="2" borderId="0" xfId="0" applyFont="1" applyFill="1" applyBorder="1" applyAlignment="1">
      <alignment horizontal="center"/>
    </xf>
    <xf numFmtId="0" fontId="25" fillId="2" borderId="0" xfId="0" applyFont="1" applyFill="1"/>
    <xf numFmtId="0" fontId="33" fillId="2" borderId="0" xfId="0" applyFont="1" applyFill="1" applyAlignment="1">
      <alignment horizontal="center"/>
    </xf>
    <xf numFmtId="0" fontId="33" fillId="0" borderId="0" xfId="0" applyFont="1" applyFill="1" applyBorder="1" applyAlignment="1">
      <alignment horizontal="centerContinuous"/>
    </xf>
    <xf numFmtId="0" fontId="33" fillId="0" borderId="0" xfId="0" applyFont="1" applyFill="1" applyAlignment="1">
      <alignment horizontal="centerContinuous"/>
    </xf>
    <xf numFmtId="0" fontId="33" fillId="2" borderId="3" xfId="0" applyFont="1" applyFill="1" applyBorder="1" applyAlignment="1"/>
    <xf numFmtId="0" fontId="33" fillId="2" borderId="3" xfId="0" applyFont="1" applyFill="1" applyBorder="1" applyAlignment="1">
      <alignment horizontal="center"/>
    </xf>
    <xf numFmtId="49" fontId="33" fillId="0" borderId="3" xfId="0" applyNumberFormat="1" applyFont="1" applyFill="1" applyBorder="1" applyAlignment="1"/>
    <xf numFmtId="0" fontId="34" fillId="0" borderId="2" xfId="0" applyFont="1" applyBorder="1"/>
    <xf numFmtId="0" fontId="34" fillId="0" borderId="0" xfId="0" applyFont="1" applyFill="1" applyAlignment="1"/>
    <xf numFmtId="169" fontId="33" fillId="0" borderId="0" xfId="0" applyNumberFormat="1" applyFont="1" applyFill="1" applyBorder="1"/>
    <xf numFmtId="1" fontId="33" fillId="0" borderId="0" xfId="0" applyNumberFormat="1" applyFont="1" applyFill="1" applyBorder="1"/>
    <xf numFmtId="166" fontId="33" fillId="0" borderId="0" xfId="1" applyNumberFormat="1" applyFont="1" applyFill="1" applyBorder="1"/>
    <xf numFmtId="171" fontId="33" fillId="0" borderId="0" xfId="1" applyNumberFormat="1" applyFont="1" applyFill="1" applyBorder="1"/>
    <xf numFmtId="166" fontId="33" fillId="2" borderId="0" xfId="1" applyNumberFormat="1" applyFont="1" applyFill="1" applyBorder="1"/>
    <xf numFmtId="170" fontId="33" fillId="12" borderId="0" xfId="3" applyNumberFormat="1" applyFont="1" applyFill="1" applyBorder="1"/>
    <xf numFmtId="9" fontId="33" fillId="2" borderId="0" xfId="0" applyNumberFormat="1" applyFont="1" applyFill="1" applyBorder="1"/>
    <xf numFmtId="0" fontId="33" fillId="0" borderId="0" xfId="0" applyFont="1" applyFill="1" applyAlignment="1"/>
    <xf numFmtId="166" fontId="33" fillId="0" borderId="0" xfId="0" applyNumberFormat="1" applyFont="1"/>
    <xf numFmtId="173" fontId="33" fillId="0" borderId="0" xfId="0" applyNumberFormat="1" applyFont="1" applyFill="1" applyAlignment="1"/>
    <xf numFmtId="166" fontId="33" fillId="12" borderId="0" xfId="1" applyNumberFormat="1" applyFont="1" applyFill="1" applyBorder="1"/>
    <xf numFmtId="170" fontId="33" fillId="2" borderId="0" xfId="3" applyNumberFormat="1" applyFont="1" applyFill="1" applyBorder="1"/>
    <xf numFmtId="0" fontId="33" fillId="12" borderId="0" xfId="0" applyFont="1" applyFill="1" applyAlignment="1"/>
    <xf numFmtId="166" fontId="33" fillId="0" borderId="0" xfId="0" applyNumberFormat="1" applyFont="1" applyFill="1" applyBorder="1"/>
    <xf numFmtId="170" fontId="33" fillId="2" borderId="0" xfId="0" applyNumberFormat="1" applyFont="1" applyFill="1" applyBorder="1"/>
    <xf numFmtId="166" fontId="33" fillId="12" borderId="3" xfId="1" applyNumberFormat="1" applyFont="1" applyFill="1" applyBorder="1"/>
    <xf numFmtId="170" fontId="33" fillId="2" borderId="3" xfId="3" applyNumberFormat="1" applyFont="1" applyFill="1" applyBorder="1"/>
    <xf numFmtId="9" fontId="25" fillId="2" borderId="3" xfId="0" applyNumberFormat="1" applyFont="1" applyFill="1" applyBorder="1"/>
    <xf numFmtId="166" fontId="33" fillId="2" borderId="3" xfId="1" applyNumberFormat="1" applyFont="1" applyFill="1" applyBorder="1"/>
    <xf numFmtId="1" fontId="33" fillId="0" borderId="0" xfId="0" applyNumberFormat="1" applyFont="1"/>
    <xf numFmtId="0" fontId="33" fillId="0" borderId="0" xfId="0" applyFont="1" applyBorder="1" applyAlignment="1"/>
    <xf numFmtId="0" fontId="33" fillId="2" borderId="0" xfId="0" applyFont="1" applyFill="1" applyBorder="1" applyAlignment="1"/>
    <xf numFmtId="0" fontId="33" fillId="2" borderId="0" xfId="0" applyFont="1" applyFill="1" applyBorder="1" applyAlignment="1">
      <alignment horizontal="centerContinuous"/>
    </xf>
    <xf numFmtId="0" fontId="33" fillId="2" borderId="0" xfId="0" applyFont="1" applyFill="1" applyAlignment="1">
      <alignment horizontal="centerContinuous"/>
    </xf>
    <xf numFmtId="0" fontId="33" fillId="2" borderId="0" xfId="0" applyFont="1" applyFill="1" applyAlignment="1"/>
    <xf numFmtId="170" fontId="33" fillId="2" borderId="0" xfId="0" applyNumberFormat="1" applyFont="1" applyFill="1"/>
    <xf numFmtId="1" fontId="33" fillId="2" borderId="0" xfId="0" applyNumberFormat="1" applyFont="1" applyFill="1"/>
    <xf numFmtId="166" fontId="33" fillId="2" borderId="0" xfId="1" applyNumberFormat="1" applyFont="1" applyFill="1"/>
    <xf numFmtId="171" fontId="33" fillId="2" borderId="0" xfId="1" applyNumberFormat="1" applyFont="1" applyFill="1"/>
    <xf numFmtId="170" fontId="33" fillId="2" borderId="3" xfId="0" applyNumberFormat="1" applyFont="1" applyFill="1" applyBorder="1"/>
    <xf numFmtId="1" fontId="33" fillId="2" borderId="3" xfId="0" applyNumberFormat="1" applyFont="1" applyFill="1" applyBorder="1"/>
    <xf numFmtId="171" fontId="33" fillId="2" borderId="4" xfId="1" applyNumberFormat="1" applyFont="1" applyFill="1" applyBorder="1"/>
    <xf numFmtId="9" fontId="33" fillId="0" borderId="0" xfId="3" applyFont="1" applyFill="1" applyBorder="1"/>
    <xf numFmtId="2" fontId="33" fillId="0" borderId="0" xfId="0" applyNumberFormat="1" applyFont="1"/>
    <xf numFmtId="170" fontId="33" fillId="2" borderId="0" xfId="3" applyNumberFormat="1" applyFont="1" applyFill="1" applyBorder="1" applyAlignment="1"/>
    <xf numFmtId="167" fontId="33" fillId="2" borderId="0" xfId="0" applyNumberFormat="1" applyFont="1" applyFill="1" applyBorder="1" applyAlignment="1">
      <alignment horizontal="centerContinuous"/>
    </xf>
    <xf numFmtId="37" fontId="33" fillId="2" borderId="0" xfId="0" applyNumberFormat="1" applyFont="1" applyFill="1" applyBorder="1" applyAlignment="1">
      <alignment horizontal="centerContinuous"/>
    </xf>
    <xf numFmtId="164" fontId="33" fillId="2" borderId="3" xfId="0" applyNumberFormat="1" applyFont="1" applyFill="1" applyBorder="1" applyAlignment="1" applyProtection="1">
      <alignment horizontal="left"/>
    </xf>
    <xf numFmtId="170" fontId="33" fillId="2" borderId="3" xfId="3" applyNumberFormat="1" applyFont="1" applyFill="1" applyBorder="1" applyAlignment="1"/>
    <xf numFmtId="49" fontId="33" fillId="2" borderId="0" xfId="0" applyNumberFormat="1" applyFont="1" applyFill="1" applyBorder="1" applyAlignment="1"/>
    <xf numFmtId="169" fontId="33" fillId="2" borderId="0" xfId="0" applyNumberFormat="1" applyFont="1" applyFill="1" applyBorder="1" applyAlignment="1">
      <alignment horizontal="right"/>
    </xf>
    <xf numFmtId="169" fontId="33" fillId="2" borderId="3" xfId="0" applyNumberFormat="1" applyFont="1" applyFill="1" applyBorder="1" applyAlignment="1"/>
    <xf numFmtId="169" fontId="33" fillId="2" borderId="0" xfId="0" applyNumberFormat="1" applyFont="1" applyFill="1" applyBorder="1" applyAlignment="1"/>
    <xf numFmtId="170" fontId="33" fillId="0" borderId="0" xfId="3" applyNumberFormat="1" applyFont="1" applyFill="1" applyBorder="1" applyAlignment="1"/>
    <xf numFmtId="169" fontId="33" fillId="0" borderId="0" xfId="0" applyNumberFormat="1" applyFont="1" applyFill="1" applyBorder="1" applyAlignment="1"/>
    <xf numFmtId="169" fontId="33" fillId="0" borderId="0" xfId="0" applyNumberFormat="1" applyFont="1" applyFill="1" applyBorder="1" applyAlignment="1">
      <alignment horizontal="right"/>
    </xf>
    <xf numFmtId="0" fontId="34" fillId="0" borderId="0" xfId="0" applyFont="1"/>
    <xf numFmtId="164" fontId="33" fillId="2" borderId="0" xfId="0" applyNumberFormat="1" applyFont="1" applyFill="1" applyAlignment="1" applyProtection="1">
      <alignment horizontal="centerContinuous"/>
    </xf>
    <xf numFmtId="0" fontId="33" fillId="3" borderId="0" xfId="0" applyFont="1" applyFill="1" applyAlignment="1">
      <alignment horizontal="centerContinuous"/>
    </xf>
    <xf numFmtId="0" fontId="33" fillId="14" borderId="0" xfId="0" applyFont="1" applyFill="1" applyAlignment="1">
      <alignment horizontal="centerContinuous"/>
    </xf>
    <xf numFmtId="164" fontId="33" fillId="2" borderId="3" xfId="0" applyNumberFormat="1" applyFont="1" applyFill="1" applyBorder="1" applyAlignment="1" applyProtection="1"/>
    <xf numFmtId="0" fontId="33" fillId="3" borderId="3" xfId="0" applyFont="1" applyFill="1" applyBorder="1" applyAlignment="1">
      <alignment horizontal="center"/>
    </xf>
    <xf numFmtId="0" fontId="33" fillId="0" borderId="3" xfId="0" applyFont="1" applyFill="1" applyBorder="1" applyAlignment="1">
      <alignment horizontal="center"/>
    </xf>
    <xf numFmtId="0" fontId="33" fillId="14" borderId="3" xfId="0" applyFont="1" applyFill="1" applyBorder="1" applyAlignment="1">
      <alignment horizontal="center"/>
    </xf>
    <xf numFmtId="49" fontId="33" fillId="2" borderId="0" xfId="0" applyNumberFormat="1" applyFont="1" applyFill="1" applyAlignment="1">
      <alignment horizontal="left"/>
    </xf>
    <xf numFmtId="168" fontId="33" fillId="2" borderId="0" xfId="0" applyNumberFormat="1" applyFont="1" applyFill="1"/>
    <xf numFmtId="169" fontId="33" fillId="2" borderId="0" xfId="0" applyNumberFormat="1" applyFont="1" applyFill="1"/>
    <xf numFmtId="166" fontId="33" fillId="2" borderId="0" xfId="1" applyNumberFormat="1" applyFont="1" applyFill="1" applyAlignment="1" applyProtection="1"/>
    <xf numFmtId="166" fontId="33" fillId="3" borderId="0" xfId="1" applyNumberFormat="1" applyFont="1" applyFill="1" applyProtection="1"/>
    <xf numFmtId="166" fontId="33" fillId="0" borderId="0" xfId="1" applyNumberFormat="1" applyFont="1"/>
    <xf numFmtId="166" fontId="33" fillId="0" borderId="0" xfId="1" applyNumberFormat="1" applyFont="1" applyProtection="1"/>
    <xf numFmtId="166" fontId="33" fillId="14" borderId="0" xfId="1" applyNumberFormat="1" applyFont="1" applyFill="1" applyProtection="1"/>
    <xf numFmtId="166" fontId="37" fillId="2" borderId="0" xfId="1" applyNumberFormat="1" applyFont="1" applyFill="1"/>
    <xf numFmtId="0" fontId="33" fillId="0" borderId="0" xfId="0" applyFont="1" applyAlignment="1">
      <alignment horizontal="right"/>
    </xf>
    <xf numFmtId="0" fontId="33" fillId="2" borderId="4" xfId="0" applyFont="1" applyFill="1" applyBorder="1" applyAlignment="1">
      <alignment horizontal="left"/>
    </xf>
    <xf numFmtId="0" fontId="33" fillId="2" borderId="4" xfId="0" applyFont="1" applyFill="1" applyBorder="1"/>
    <xf numFmtId="168" fontId="33" fillId="2" borderId="4" xfId="0" applyNumberFormat="1" applyFont="1" applyFill="1" applyBorder="1"/>
    <xf numFmtId="169" fontId="33" fillId="2" borderId="4" xfId="0" applyNumberFormat="1" applyFont="1" applyFill="1" applyBorder="1"/>
    <xf numFmtId="166" fontId="33" fillId="2" borderId="4" xfId="1" applyNumberFormat="1" applyFont="1" applyFill="1" applyBorder="1" applyAlignment="1" applyProtection="1">
      <alignment horizontal="right"/>
    </xf>
    <xf numFmtId="166" fontId="33" fillId="2" borderId="4" xfId="1" applyNumberFormat="1" applyFont="1" applyFill="1" applyBorder="1" applyAlignment="1" applyProtection="1"/>
    <xf numFmtId="166" fontId="33" fillId="3" borderId="4" xfId="1" applyNumberFormat="1" applyFont="1" applyFill="1" applyBorder="1"/>
    <xf numFmtId="166" fontId="33" fillId="0" borderId="4" xfId="1" applyNumberFormat="1" applyFont="1" applyFill="1" applyBorder="1"/>
    <xf numFmtId="166" fontId="33" fillId="14" borderId="4" xfId="1" applyNumberFormat="1" applyFont="1" applyFill="1" applyBorder="1"/>
    <xf numFmtId="0" fontId="34" fillId="0" borderId="0" xfId="0" applyFont="1" applyFill="1" applyBorder="1" applyAlignment="1">
      <alignment horizontal="left"/>
    </xf>
    <xf numFmtId="166" fontId="33" fillId="0" borderId="0" xfId="1" applyNumberFormat="1" applyFont="1" applyFill="1" applyBorder="1" applyAlignment="1" applyProtection="1"/>
    <xf numFmtId="37" fontId="33" fillId="0" borderId="0" xfId="0" applyNumberFormat="1" applyFont="1" applyFill="1" applyBorder="1" applyAlignment="1" applyProtection="1"/>
    <xf numFmtId="164" fontId="33" fillId="0" borderId="0" xfId="0" applyNumberFormat="1" applyFont="1" applyFill="1" applyBorder="1" applyAlignment="1" applyProtection="1"/>
    <xf numFmtId="169" fontId="33" fillId="0" borderId="0" xfId="0" applyNumberFormat="1" applyFont="1" applyFill="1" applyBorder="1" applyAlignment="1" applyProtection="1"/>
    <xf numFmtId="0" fontId="34" fillId="4" borderId="0" xfId="0" applyFont="1" applyFill="1" applyBorder="1" applyAlignment="1">
      <alignment horizontal="left"/>
    </xf>
    <xf numFmtId="0" fontId="33" fillId="4" borderId="0" xfId="0" applyFont="1" applyFill="1" applyBorder="1"/>
    <xf numFmtId="166" fontId="33" fillId="4" borderId="0" xfId="1" applyNumberFormat="1" applyFont="1" applyFill="1" applyBorder="1" applyAlignment="1" applyProtection="1"/>
    <xf numFmtId="37" fontId="33" fillId="4" borderId="0" xfId="0" applyNumberFormat="1" applyFont="1" applyFill="1" applyBorder="1" applyAlignment="1" applyProtection="1"/>
    <xf numFmtId="164" fontId="33" fillId="4" borderId="0" xfId="0" applyNumberFormat="1" applyFont="1" applyFill="1" applyBorder="1" applyAlignment="1" applyProtection="1"/>
    <xf numFmtId="169" fontId="33" fillId="4" borderId="0" xfId="0" applyNumberFormat="1" applyFont="1" applyFill="1" applyBorder="1" applyAlignment="1" applyProtection="1"/>
    <xf numFmtId="0" fontId="33" fillId="4" borderId="0" xfId="0" applyFont="1" applyFill="1" applyBorder="1" applyAlignment="1">
      <alignment horizontal="right"/>
    </xf>
    <xf numFmtId="0" fontId="34" fillId="4" borderId="4" xfId="0" applyFont="1" applyFill="1" applyBorder="1" applyAlignment="1">
      <alignment horizontal="center"/>
    </xf>
    <xf numFmtId="16" fontId="34" fillId="4" borderId="4" xfId="0" quotePrefix="1" applyNumberFormat="1" applyFont="1" applyFill="1" applyBorder="1" applyAlignment="1">
      <alignment horizontal="center"/>
    </xf>
    <xf numFmtId="0" fontId="34" fillId="0" borderId="0" xfId="0" applyFont="1" applyAlignment="1">
      <alignment horizontal="center"/>
    </xf>
    <xf numFmtId="0" fontId="38" fillId="0" borderId="0" xfId="0" applyFont="1" applyFill="1" applyBorder="1" applyAlignment="1">
      <alignment horizontal="left"/>
    </xf>
    <xf numFmtId="49" fontId="33" fillId="4" borderId="0" xfId="0" applyNumberFormat="1" applyFont="1" applyFill="1" applyAlignment="1">
      <alignment horizontal="left"/>
    </xf>
    <xf numFmtId="1" fontId="33" fillId="4" borderId="0" xfId="0" applyNumberFormat="1" applyFont="1" applyFill="1"/>
    <xf numFmtId="1" fontId="33" fillId="0" borderId="0" xfId="0" applyNumberFormat="1" applyFont="1" applyFill="1" applyBorder="1" applyAlignment="1"/>
    <xf numFmtId="0" fontId="34" fillId="4" borderId="0" xfId="0" applyFont="1" applyFill="1" applyBorder="1" applyAlignment="1">
      <alignment horizontal="right"/>
    </xf>
    <xf numFmtId="0" fontId="34" fillId="4" borderId="0" xfId="0" applyFont="1" applyFill="1" applyAlignment="1">
      <alignment horizontal="right"/>
    </xf>
    <xf numFmtId="16" fontId="34" fillId="4" borderId="0" xfId="0" quotePrefix="1" applyNumberFormat="1" applyFont="1" applyFill="1" applyAlignment="1">
      <alignment horizontal="center"/>
    </xf>
    <xf numFmtId="0" fontId="34" fillId="4" borderId="3" xfId="0" applyFont="1" applyFill="1" applyBorder="1" applyAlignment="1">
      <alignment horizontal="center"/>
    </xf>
    <xf numFmtId="0" fontId="34" fillId="4" borderId="0" xfId="0" applyFont="1" applyFill="1" applyAlignment="1">
      <alignment horizontal="center"/>
    </xf>
    <xf numFmtId="1" fontId="33" fillId="4" borderId="0" xfId="0" applyNumberFormat="1" applyFont="1" applyFill="1" applyAlignment="1">
      <alignment horizontal="right"/>
    </xf>
    <xf numFmtId="1" fontId="33" fillId="0" borderId="0" xfId="0" applyNumberFormat="1" applyFont="1" applyAlignment="1">
      <alignment horizontal="right"/>
    </xf>
    <xf numFmtId="0" fontId="33" fillId="4" borderId="0" xfId="0" applyFont="1" applyFill="1"/>
    <xf numFmtId="1" fontId="33" fillId="12" borderId="0" xfId="0" applyNumberFormat="1" applyFont="1" applyFill="1"/>
    <xf numFmtId="170" fontId="10" fillId="5" borderId="0" xfId="3" applyNumberFormat="1" applyFont="1" applyFill="1" applyBorder="1" applyAlignment="1"/>
    <xf numFmtId="170" fontId="10" fillId="5" borderId="3" xfId="3" applyNumberFormat="1" applyFont="1" applyFill="1" applyBorder="1" applyAlignment="1"/>
    <xf numFmtId="0" fontId="10" fillId="5" borderId="0" xfId="2" applyFont="1" applyFill="1" applyBorder="1" applyAlignment="1">
      <alignment horizontal="left"/>
    </xf>
    <xf numFmtId="0" fontId="10" fillId="5" borderId="3" xfId="2" applyFont="1" applyFill="1" applyBorder="1" applyAlignment="1">
      <alignment horizontal="left"/>
    </xf>
    <xf numFmtId="165" fontId="33" fillId="2" borderId="0" xfId="0" applyNumberFormat="1" applyFont="1" applyFill="1" applyBorder="1" applyAlignment="1" applyProtection="1">
      <alignment horizontal="centerContinuous"/>
    </xf>
    <xf numFmtId="2" fontId="0" fillId="0" borderId="0" xfId="0" applyNumberFormat="1"/>
    <xf numFmtId="1" fontId="34" fillId="4" borderId="0" xfId="0" applyNumberFormat="1" applyFont="1" applyFill="1" applyBorder="1" applyAlignment="1">
      <alignment horizontal="right"/>
    </xf>
    <xf numFmtId="1" fontId="34" fillId="0" borderId="0" xfId="0" applyNumberFormat="1" applyFont="1" applyAlignment="1">
      <alignment horizontal="right"/>
    </xf>
    <xf numFmtId="2" fontId="7" fillId="0" borderId="0" xfId="11" applyNumberFormat="1"/>
    <xf numFmtId="0" fontId="41" fillId="0" borderId="0" xfId="0" applyFont="1" applyAlignment="1">
      <alignment horizontal="center" vertical="center"/>
    </xf>
    <xf numFmtId="0" fontId="27" fillId="0" borderId="0" xfId="0" applyFont="1" applyAlignment="1">
      <alignment horizontal="center" vertical="center"/>
    </xf>
    <xf numFmtId="0" fontId="0" fillId="0" borderId="0" xfId="0" applyAlignment="1">
      <alignment vertical="top"/>
    </xf>
    <xf numFmtId="0" fontId="0" fillId="0" borderId="0" xfId="0" applyAlignment="1">
      <alignment vertical="top" wrapText="1"/>
    </xf>
    <xf numFmtId="0" fontId="0" fillId="12" borderId="0" xfId="0" applyFill="1" applyAlignment="1">
      <alignment vertical="top" wrapText="1"/>
    </xf>
    <xf numFmtId="0" fontId="0" fillId="0" borderId="0" xfId="0" applyAlignment="1">
      <alignment wrapText="1"/>
    </xf>
    <xf numFmtId="1" fontId="25" fillId="2" borderId="0" xfId="0" applyNumberFormat="1" applyFont="1" applyFill="1"/>
    <xf numFmtId="1" fontId="25" fillId="2" borderId="0" xfId="0" applyNumberFormat="1" applyFont="1" applyFill="1" applyBorder="1"/>
    <xf numFmtId="0" fontId="10" fillId="12" borderId="0" xfId="0" applyFont="1" applyFill="1" applyAlignment="1">
      <alignment vertical="top" wrapText="1"/>
    </xf>
    <xf numFmtId="0" fontId="10" fillId="0" borderId="0" xfId="0" applyFont="1" applyAlignment="1">
      <alignment vertical="top" wrapText="1"/>
    </xf>
    <xf numFmtId="1" fontId="0" fillId="0" borderId="0" xfId="0" applyNumberFormat="1"/>
    <xf numFmtId="169" fontId="33" fillId="0" borderId="0" xfId="0" applyNumberFormat="1" applyFont="1"/>
    <xf numFmtId="0" fontId="36" fillId="2" borderId="3" xfId="0" applyFont="1" applyFill="1" applyBorder="1" applyAlignment="1">
      <alignment horizontal="center"/>
    </xf>
    <xf numFmtId="1" fontId="25" fillId="2" borderId="3" xfId="0" applyNumberFormat="1" applyFont="1" applyFill="1" applyBorder="1"/>
    <xf numFmtId="170" fontId="33" fillId="0" borderId="0" xfId="3" applyNumberFormat="1" applyFont="1"/>
    <xf numFmtId="0" fontId="34" fillId="0" borderId="2" xfId="0" applyFont="1" applyFill="1" applyBorder="1"/>
    <xf numFmtId="0" fontId="0" fillId="15" borderId="0" xfId="0" applyFill="1"/>
    <xf numFmtId="0" fontId="10" fillId="15" borderId="0" xfId="0" applyFont="1" applyFill="1"/>
    <xf numFmtId="0" fontId="9" fillId="15" borderId="0" xfId="0" applyFont="1" applyFill="1"/>
    <xf numFmtId="43" fontId="38" fillId="0" borderId="0" xfId="0" applyNumberFormat="1" applyFont="1" applyFill="1"/>
    <xf numFmtId="1" fontId="16" fillId="9" borderId="2" xfId="5" applyNumberFormat="1" applyFont="1" applyFill="1" applyBorder="1"/>
    <xf numFmtId="169" fontId="33" fillId="2" borderId="3" xfId="0" applyNumberFormat="1" applyFont="1" applyFill="1" applyBorder="1" applyAlignment="1">
      <alignment horizontal="right"/>
    </xf>
    <xf numFmtId="2" fontId="33" fillId="0" borderId="0" xfId="0" applyNumberFormat="1" applyFont="1" applyFill="1" applyBorder="1"/>
    <xf numFmtId="0" fontId="33" fillId="0" borderId="0" xfId="0" applyFont="1" applyFill="1" applyAlignment="1">
      <alignment horizontal="right"/>
    </xf>
    <xf numFmtId="0" fontId="33" fillId="0" borderId="0" xfId="0" applyFont="1" applyBorder="1" applyAlignment="1">
      <alignment horizontal="right"/>
    </xf>
    <xf numFmtId="1" fontId="33" fillId="0" borderId="0" xfId="3" applyNumberFormat="1" applyFont="1" applyFill="1" applyAlignment="1">
      <alignment horizontal="right"/>
    </xf>
    <xf numFmtId="10" fontId="33" fillId="0" borderId="0" xfId="3" applyNumberFormat="1" applyFont="1" applyBorder="1" applyAlignment="1">
      <alignment horizontal="right"/>
    </xf>
    <xf numFmtId="1" fontId="33" fillId="0" borderId="0" xfId="0" applyNumberFormat="1" applyFont="1" applyFill="1" applyAlignment="1">
      <alignment horizontal="right"/>
    </xf>
    <xf numFmtId="1" fontId="33" fillId="0" borderId="0" xfId="0" applyNumberFormat="1" applyFont="1" applyBorder="1" applyAlignment="1">
      <alignment horizontal="right"/>
    </xf>
    <xf numFmtId="10" fontId="33" fillId="0" borderId="0" xfId="3" applyNumberFormat="1" applyFont="1" applyFill="1" applyAlignment="1">
      <alignment horizontal="left"/>
    </xf>
    <xf numFmtId="0" fontId="34" fillId="0" borderId="0" xfId="0" applyFont="1" applyFill="1" applyAlignment="1">
      <alignment horizontal="right"/>
    </xf>
    <xf numFmtId="9" fontId="33" fillId="0" borderId="0" xfId="0" applyNumberFormat="1" applyFont="1"/>
    <xf numFmtId="170" fontId="25" fillId="2" borderId="0" xfId="0" applyNumberFormat="1" applyFont="1" applyFill="1"/>
    <xf numFmtId="170" fontId="33" fillId="0" borderId="0" xfId="3" applyNumberFormat="1" applyFont="1" applyBorder="1"/>
    <xf numFmtId="0" fontId="33" fillId="0" borderId="0" xfId="0" applyFont="1" applyFill="1" applyBorder="1" applyAlignment="1">
      <alignment horizontal="center"/>
    </xf>
    <xf numFmtId="0" fontId="33" fillId="10" borderId="0" xfId="0" applyFont="1" applyFill="1" applyAlignment="1">
      <alignment horizontal="left" vertical="top"/>
    </xf>
    <xf numFmtId="1" fontId="0" fillId="0" borderId="0" xfId="2" applyNumberFormat="1" applyFont="1" applyFill="1" applyBorder="1"/>
    <xf numFmtId="170" fontId="10" fillId="2" borderId="4" xfId="0" applyNumberFormat="1" applyFont="1" applyFill="1" applyBorder="1"/>
    <xf numFmtId="172" fontId="33" fillId="0" borderId="3" xfId="0" applyNumberFormat="1" applyFont="1" applyBorder="1"/>
    <xf numFmtId="0" fontId="33" fillId="12" borderId="3" xfId="0" applyFont="1" applyFill="1" applyBorder="1" applyAlignment="1"/>
    <xf numFmtId="1" fontId="33" fillId="0" borderId="3" xfId="0" applyNumberFormat="1" applyFont="1" applyBorder="1"/>
    <xf numFmtId="0" fontId="33" fillId="0" borderId="3" xfId="0" applyFont="1" applyFill="1" applyBorder="1"/>
    <xf numFmtId="172" fontId="33" fillId="2" borderId="0" xfId="1" applyNumberFormat="1" applyFont="1" applyFill="1"/>
    <xf numFmtId="170" fontId="33" fillId="16" borderId="0" xfId="3" applyNumberFormat="1" applyFont="1" applyFill="1" applyAlignment="1">
      <alignment horizontal="center" vertical="center"/>
    </xf>
    <xf numFmtId="170" fontId="33" fillId="16" borderId="3" xfId="3" applyNumberFormat="1" applyFont="1" applyFill="1" applyBorder="1" applyAlignment="1">
      <alignment horizontal="center" vertical="center"/>
    </xf>
    <xf numFmtId="0" fontId="33" fillId="16" borderId="0" xfId="0" applyFont="1" applyFill="1" applyBorder="1" applyAlignment="1">
      <alignment horizontal="center" vertical="center"/>
    </xf>
    <xf numFmtId="0" fontId="33" fillId="16" borderId="11" xfId="0" applyFont="1" applyFill="1" applyBorder="1" applyAlignment="1">
      <alignment horizontal="center" vertical="center"/>
    </xf>
    <xf numFmtId="0" fontId="33" fillId="16" borderId="3" xfId="0" applyFont="1" applyFill="1" applyBorder="1" applyAlignment="1">
      <alignment horizontal="center" vertical="center"/>
    </xf>
    <xf numFmtId="0" fontId="33" fillId="16" borderId="4" xfId="0" applyFont="1" applyFill="1" applyBorder="1" applyAlignment="1">
      <alignment horizontal="center" vertical="center"/>
    </xf>
    <xf numFmtId="0" fontId="45" fillId="16" borderId="15" xfId="0" applyFont="1" applyFill="1" applyBorder="1" applyAlignment="1">
      <alignment vertical="top" wrapText="1"/>
    </xf>
    <xf numFmtId="0" fontId="33" fillId="16" borderId="2" xfId="0" applyFont="1" applyFill="1" applyBorder="1"/>
    <xf numFmtId="0" fontId="45" fillId="16" borderId="14" xfId="0" applyFont="1" applyFill="1" applyBorder="1" applyAlignment="1">
      <alignment horizontal="center" vertical="center" wrapText="1"/>
    </xf>
    <xf numFmtId="0" fontId="45" fillId="16" borderId="0" xfId="0" applyFont="1" applyFill="1" applyBorder="1" applyAlignment="1">
      <alignment horizontal="center" vertical="center" wrapText="1"/>
    </xf>
    <xf numFmtId="0" fontId="45" fillId="16" borderId="0" xfId="0" applyFont="1" applyFill="1" applyBorder="1" applyAlignment="1">
      <alignment horizontal="center" vertical="center"/>
    </xf>
    <xf numFmtId="0" fontId="33" fillId="16" borderId="14" xfId="0" applyFont="1" applyFill="1" applyBorder="1" applyAlignment="1">
      <alignment horizontal="center" vertical="center" wrapText="1"/>
    </xf>
    <xf numFmtId="170" fontId="33" fillId="16" borderId="0" xfId="3" applyNumberFormat="1" applyFont="1" applyFill="1" applyBorder="1" applyAlignment="1">
      <alignment horizontal="center" vertical="center" wrapText="1"/>
    </xf>
    <xf numFmtId="0" fontId="33" fillId="16" borderId="0" xfId="0" applyFont="1" applyFill="1" applyBorder="1" applyAlignment="1">
      <alignment horizontal="center" vertical="center" wrapText="1"/>
    </xf>
    <xf numFmtId="170" fontId="33" fillId="16" borderId="0" xfId="3" applyNumberFormat="1" applyFont="1" applyFill="1" applyBorder="1" applyAlignment="1">
      <alignment horizontal="center" vertical="center"/>
    </xf>
    <xf numFmtId="0" fontId="34" fillId="16" borderId="4" xfId="0" applyFont="1" applyFill="1" applyBorder="1" applyAlignment="1">
      <alignment horizontal="center" vertical="center"/>
    </xf>
    <xf numFmtId="0" fontId="33" fillId="0" borderId="3" xfId="0" applyFont="1" applyBorder="1"/>
    <xf numFmtId="0" fontId="34" fillId="0" borderId="3" xfId="0" applyFont="1" applyBorder="1"/>
    <xf numFmtId="0" fontId="33" fillId="0" borderId="0" xfId="0" applyFont="1" applyAlignment="1">
      <alignment wrapText="1"/>
    </xf>
    <xf numFmtId="170" fontId="33" fillId="0" borderId="0" xfId="0" applyNumberFormat="1" applyFont="1"/>
    <xf numFmtId="0" fontId="38" fillId="0" borderId="0" xfId="0" applyFont="1" applyAlignment="1">
      <alignment wrapText="1"/>
    </xf>
    <xf numFmtId="0" fontId="33" fillId="0" borderId="3" xfId="0" applyFont="1" applyBorder="1" applyAlignment="1">
      <alignment vertical="top" wrapText="1"/>
    </xf>
    <xf numFmtId="0" fontId="38" fillId="0" borderId="3" xfId="0" applyFont="1" applyBorder="1" applyAlignment="1">
      <alignment vertical="top" wrapText="1"/>
    </xf>
    <xf numFmtId="0" fontId="33" fillId="0" borderId="0" xfId="0" applyFont="1" applyAlignment="1">
      <alignment horizontal="center" vertical="center"/>
    </xf>
    <xf numFmtId="0" fontId="34" fillId="16" borderId="2" xfId="0" applyFont="1" applyFill="1" applyBorder="1" applyAlignment="1">
      <alignment horizontal="center" vertical="center"/>
    </xf>
    <xf numFmtId="0" fontId="34" fillId="16" borderId="16" xfId="0" applyFont="1" applyFill="1" applyBorder="1" applyAlignment="1">
      <alignment horizontal="center" vertical="center"/>
    </xf>
    <xf numFmtId="0" fontId="33" fillId="16" borderId="2" xfId="0" applyFont="1" applyFill="1" applyBorder="1" applyAlignment="1">
      <alignment horizontal="center" vertical="center" wrapText="1"/>
    </xf>
    <xf numFmtId="0" fontId="33" fillId="16" borderId="16" xfId="0" applyFont="1" applyFill="1" applyBorder="1" applyAlignment="1">
      <alignment horizontal="center" vertical="center" wrapText="1"/>
    </xf>
    <xf numFmtId="0" fontId="33" fillId="16" borderId="17" xfId="0" applyFont="1" applyFill="1" applyBorder="1" applyAlignment="1">
      <alignment horizontal="center" vertical="center"/>
    </xf>
    <xf numFmtId="0" fontId="33" fillId="16" borderId="19" xfId="0" applyFont="1" applyFill="1" applyBorder="1" applyAlignment="1">
      <alignment horizontal="center" vertical="center"/>
    </xf>
    <xf numFmtId="10" fontId="33" fillId="0" borderId="0" xfId="3" applyNumberFormat="1" applyFont="1"/>
    <xf numFmtId="0" fontId="0" fillId="12" borderId="0" xfId="0" applyFill="1"/>
    <xf numFmtId="174" fontId="0" fillId="12" borderId="0" xfId="0" applyNumberFormat="1" applyFill="1"/>
    <xf numFmtId="175" fontId="0" fillId="12" borderId="0" xfId="0" applyNumberFormat="1" applyFill="1"/>
    <xf numFmtId="0" fontId="33" fillId="0" borderId="0" xfId="0" applyFont="1" applyFill="1" applyBorder="1" applyAlignment="1">
      <alignment horizontal="center"/>
    </xf>
    <xf numFmtId="0" fontId="33" fillId="10" borderId="0" xfId="0" applyFont="1" applyFill="1" applyAlignment="1">
      <alignment horizontal="left" vertical="top"/>
    </xf>
    <xf numFmtId="49" fontId="33" fillId="2" borderId="2" xfId="0" applyNumberFormat="1" applyFont="1" applyFill="1" applyBorder="1" applyAlignment="1">
      <alignment horizontal="left" vertical="top" wrapText="1"/>
    </xf>
    <xf numFmtId="0" fontId="18" fillId="0" borderId="0" xfId="5" applyFont="1" applyAlignment="1" applyProtection="1">
      <alignment horizontal="left" vertical="top" wrapText="1" readingOrder="1"/>
      <protection locked="0"/>
    </xf>
    <xf numFmtId="0" fontId="10" fillId="0" borderId="0" xfId="5" applyFont="1"/>
    <xf numFmtId="0" fontId="19" fillId="0" borderId="0" xfId="5" applyFont="1" applyAlignment="1" applyProtection="1">
      <alignment vertical="top" wrapText="1" readingOrder="1"/>
      <protection locked="0"/>
    </xf>
    <xf numFmtId="0" fontId="20" fillId="0" borderId="12" xfId="5" applyFont="1" applyFill="1" applyBorder="1" applyAlignment="1" applyProtection="1">
      <alignment horizontal="center" vertical="center" wrapText="1" readingOrder="1"/>
      <protection locked="0"/>
    </xf>
    <xf numFmtId="0" fontId="10" fillId="0" borderId="12" xfId="5" applyFont="1" applyFill="1" applyBorder="1" applyAlignment="1" applyProtection="1">
      <alignment vertical="top" wrapText="1"/>
      <protection locked="0"/>
    </xf>
    <xf numFmtId="0" fontId="10" fillId="0" borderId="13" xfId="5" applyFont="1" applyFill="1" applyBorder="1" applyAlignment="1" applyProtection="1">
      <alignment vertical="top" wrapText="1"/>
      <protection locked="0"/>
    </xf>
    <xf numFmtId="0" fontId="20" fillId="0" borderId="15" xfId="5" applyFont="1" applyFill="1" applyBorder="1" applyAlignment="1" applyProtection="1">
      <alignment horizontal="center" vertical="center" wrapText="1" readingOrder="1"/>
      <protection locked="0"/>
    </xf>
    <xf numFmtId="0" fontId="20" fillId="0" borderId="2" xfId="5" applyFont="1" applyFill="1" applyBorder="1" applyAlignment="1" applyProtection="1">
      <alignment horizontal="center" vertical="center" wrapText="1" readingOrder="1"/>
      <protection locked="0"/>
    </xf>
    <xf numFmtId="0" fontId="20" fillId="0" borderId="16" xfId="5" applyFont="1" applyFill="1" applyBorder="1" applyAlignment="1" applyProtection="1">
      <alignment horizontal="center" vertical="center" wrapText="1" readingOrder="1"/>
      <protection locked="0"/>
    </xf>
    <xf numFmtId="0" fontId="20" fillId="0" borderId="11" xfId="5" applyFont="1" applyFill="1" applyBorder="1" applyAlignment="1" applyProtection="1">
      <alignment horizontal="center" vertical="center" wrapText="1" readingOrder="1"/>
      <protection locked="0"/>
    </xf>
    <xf numFmtId="0" fontId="20" fillId="0" borderId="3" xfId="5" applyFont="1" applyFill="1" applyBorder="1" applyAlignment="1" applyProtection="1">
      <alignment horizontal="center" vertical="center" wrapText="1" readingOrder="1"/>
      <protection locked="0"/>
    </xf>
    <xf numFmtId="0" fontId="20" fillId="0" borderId="18" xfId="5" applyFont="1" applyFill="1" applyBorder="1" applyAlignment="1" applyProtection="1">
      <alignment horizontal="center" vertical="center" wrapText="1" readingOrder="1"/>
      <protection locked="0"/>
    </xf>
    <xf numFmtId="0" fontId="20" fillId="0" borderId="12" xfId="5" applyFont="1" applyFill="1" applyBorder="1" applyAlignment="1" applyProtection="1">
      <alignment horizontal="center" vertical="top" wrapText="1" readingOrder="1"/>
      <protection locked="0"/>
    </xf>
    <xf numFmtId="1" fontId="20" fillId="0" borderId="12" xfId="5" applyNumberFormat="1" applyFont="1" applyFill="1" applyBorder="1" applyAlignment="1" applyProtection="1">
      <alignment horizontal="center" vertical="top" wrapText="1" readingOrder="1"/>
      <protection locked="0"/>
    </xf>
    <xf numFmtId="0" fontId="10" fillId="0" borderId="10" xfId="5" applyFont="1" applyBorder="1" applyAlignment="1">
      <alignment horizontal="center"/>
    </xf>
    <xf numFmtId="0" fontId="10" fillId="0" borderId="4" xfId="5" applyFont="1" applyBorder="1" applyAlignment="1">
      <alignment horizontal="center"/>
    </xf>
    <xf numFmtId="0" fontId="10" fillId="0" borderId="19" xfId="5" applyFont="1" applyBorder="1" applyAlignment="1">
      <alignment horizontal="center"/>
    </xf>
    <xf numFmtId="0" fontId="10" fillId="0" borderId="12" xfId="5" applyFont="1" applyBorder="1" applyAlignment="1">
      <alignment horizontal="center"/>
    </xf>
    <xf numFmtId="0" fontId="22" fillId="0" borderId="0" xfId="5" applyFont="1" applyAlignment="1" applyProtection="1">
      <alignment vertical="top" wrapText="1" readingOrder="1"/>
      <protection locked="0"/>
    </xf>
    <xf numFmtId="0" fontId="10" fillId="7" borderId="10" xfId="5" applyFont="1" applyFill="1" applyBorder="1" applyAlignment="1">
      <alignment horizontal="center"/>
    </xf>
    <xf numFmtId="0" fontId="10" fillId="7" borderId="4" xfId="5" applyFill="1" applyBorder="1" applyAlignment="1">
      <alignment horizontal="center"/>
    </xf>
    <xf numFmtId="0" fontId="10" fillId="7" borderId="19" xfId="5" applyFill="1" applyBorder="1" applyAlignment="1">
      <alignment horizontal="center"/>
    </xf>
    <xf numFmtId="0" fontId="10" fillId="8" borderId="0" xfId="5" applyFont="1" applyFill="1" applyBorder="1" applyAlignment="1">
      <alignment wrapText="1"/>
    </xf>
    <xf numFmtId="0" fontId="10" fillId="8" borderId="0" xfId="5" applyFill="1" applyBorder="1" applyAlignment="1">
      <alignment wrapText="1"/>
    </xf>
    <xf numFmtId="0" fontId="15" fillId="0" borderId="0" xfId="5" applyFont="1" applyBorder="1" applyAlignment="1">
      <alignment horizontal="center" wrapText="1" readingOrder="1"/>
    </xf>
    <xf numFmtId="0" fontId="2" fillId="0" borderId="15" xfId="11" applyFont="1" applyBorder="1" applyAlignment="1">
      <alignment horizontal="center" vertical="center" wrapText="1"/>
    </xf>
    <xf numFmtId="0" fontId="7" fillId="0" borderId="16" xfId="11" applyFont="1" applyBorder="1" applyAlignment="1">
      <alignment horizontal="center" vertical="center" wrapText="1"/>
    </xf>
    <xf numFmtId="0" fontId="7" fillId="0" borderId="11" xfId="11" applyFont="1" applyBorder="1" applyAlignment="1">
      <alignment horizontal="center" vertical="center" wrapText="1"/>
    </xf>
    <xf numFmtId="0" fontId="7" fillId="0" borderId="18" xfId="11" applyFont="1" applyBorder="1" applyAlignment="1">
      <alignment horizontal="center" vertical="center" wrapText="1"/>
    </xf>
    <xf numFmtId="0" fontId="2" fillId="0" borderId="15" xfId="11" applyFont="1" applyBorder="1" applyAlignment="1">
      <alignment horizontal="center" vertical="top" wrapText="1"/>
    </xf>
    <xf numFmtId="0" fontId="7" fillId="0" borderId="16" xfId="11" applyBorder="1" applyAlignment="1">
      <alignment horizontal="center" vertical="top" wrapText="1"/>
    </xf>
    <xf numFmtId="0" fontId="7" fillId="0" borderId="11" xfId="11" applyBorder="1" applyAlignment="1">
      <alignment horizontal="center" vertical="top" wrapText="1"/>
    </xf>
    <xf numFmtId="0" fontId="7" fillId="0" borderId="18" xfId="11" applyBorder="1" applyAlignment="1">
      <alignment horizontal="center" vertical="top" wrapText="1"/>
    </xf>
    <xf numFmtId="0" fontId="7" fillId="0" borderId="12" xfId="11" applyBorder="1" applyAlignment="1">
      <alignment horizontal="center"/>
    </xf>
    <xf numFmtId="0" fontId="7" fillId="0" borderId="12" xfId="11" applyBorder="1" applyAlignment="1">
      <alignment horizontal="center" vertical="center"/>
    </xf>
    <xf numFmtId="0" fontId="2" fillId="0" borderId="15" xfId="11" applyFont="1" applyBorder="1" applyAlignment="1">
      <alignment horizontal="center" wrapText="1"/>
    </xf>
    <xf numFmtId="0" fontId="7" fillId="0" borderId="16" xfId="11" applyBorder="1" applyAlignment="1">
      <alignment horizontal="center" wrapText="1"/>
    </xf>
    <xf numFmtId="0" fontId="7" fillId="0" borderId="11" xfId="11" applyBorder="1" applyAlignment="1">
      <alignment horizontal="center" wrapText="1"/>
    </xf>
    <xf numFmtId="0" fontId="7" fillId="0" borderId="18" xfId="11" applyBorder="1" applyAlignment="1">
      <alignment horizontal="center" wrapText="1"/>
    </xf>
    <xf numFmtId="0" fontId="25" fillId="0" borderId="12" xfId="11" applyFont="1" applyBorder="1" applyAlignment="1">
      <alignment horizontal="center"/>
    </xf>
    <xf numFmtId="0" fontId="7" fillId="12" borderId="12" xfId="11" applyFill="1" applyBorder="1" applyAlignment="1">
      <alignment horizontal="center"/>
    </xf>
    <xf numFmtId="170" fontId="7" fillId="0" borderId="12" xfId="11" applyNumberFormat="1" applyBorder="1" applyAlignment="1">
      <alignment horizontal="center"/>
    </xf>
    <xf numFmtId="9" fontId="7" fillId="0" borderId="12" xfId="11" applyNumberFormat="1" applyBorder="1" applyAlignment="1">
      <alignment horizontal="center"/>
    </xf>
    <xf numFmtId="0" fontId="7" fillId="0" borderId="0" xfId="11" applyFont="1" applyAlignment="1">
      <alignment horizontal="left" vertical="top"/>
    </xf>
    <xf numFmtId="0" fontId="7" fillId="0" borderId="0" xfId="11" applyAlignment="1">
      <alignment horizontal="left" vertical="top"/>
    </xf>
    <xf numFmtId="0" fontId="44" fillId="15" borderId="0" xfId="0" applyFont="1" applyFill="1" applyAlignment="1">
      <alignment horizontal="center"/>
    </xf>
    <xf numFmtId="0" fontId="34" fillId="0" borderId="2" xfId="0" applyFont="1" applyBorder="1" applyAlignment="1">
      <alignment horizontal="center" vertical="center" wrapText="1"/>
    </xf>
    <xf numFmtId="0" fontId="34" fillId="0" borderId="0" xfId="0" applyFont="1" applyAlignment="1">
      <alignment horizontal="center" vertical="center" wrapText="1"/>
    </xf>
    <xf numFmtId="0" fontId="34" fillId="0" borderId="3" xfId="0" applyFont="1" applyBorder="1" applyAlignment="1">
      <alignment horizontal="center" vertical="center" wrapText="1"/>
    </xf>
    <xf numFmtId="0" fontId="33" fillId="16" borderId="0" xfId="0" applyFont="1" applyFill="1" applyBorder="1" applyAlignment="1">
      <alignment horizontal="center" vertical="center"/>
    </xf>
    <xf numFmtId="0" fontId="34" fillId="16" borderId="10" xfId="0" applyFont="1" applyFill="1" applyBorder="1" applyAlignment="1">
      <alignment horizontal="center" vertical="center"/>
    </xf>
    <xf numFmtId="0" fontId="34" fillId="16" borderId="4" xfId="0" applyFont="1" applyFill="1" applyBorder="1" applyAlignment="1">
      <alignment horizontal="center" vertical="center"/>
    </xf>
    <xf numFmtId="0" fontId="33" fillId="16" borderId="14" xfId="0" applyFont="1" applyFill="1" applyBorder="1" applyAlignment="1">
      <alignment horizontal="center" vertical="center"/>
    </xf>
    <xf numFmtId="0" fontId="33" fillId="16" borderId="0" xfId="0" applyFont="1" applyFill="1" applyBorder="1" applyAlignment="1">
      <alignment horizontal="center" vertical="center" wrapText="1"/>
    </xf>
    <xf numFmtId="0" fontId="33" fillId="16" borderId="11" xfId="0" applyFont="1" applyFill="1" applyBorder="1" applyAlignment="1">
      <alignment horizontal="center" vertical="center"/>
    </xf>
    <xf numFmtId="0" fontId="33" fillId="16" borderId="3" xfId="0" applyFont="1" applyFill="1" applyBorder="1" applyAlignment="1">
      <alignment horizontal="center" vertical="center"/>
    </xf>
  </cellXfs>
  <cellStyles count="19">
    <cellStyle name="Comma" xfId="1" builtinId="3"/>
    <cellStyle name="Comma 2" xfId="7" xr:uid="{00000000-0005-0000-0000-000001000000}"/>
    <cellStyle name="Comma 2 2" xfId="12" xr:uid="{00000000-0005-0000-0000-000002000000}"/>
    <cellStyle name="Comma 2 3" xfId="17" xr:uid="{00000000-0005-0000-0000-000003000000}"/>
    <cellStyle name="Hyperlink" xfId="6" builtinId="8"/>
    <cellStyle name="Microsoft Excel found an error in the formula you entered. Do you want to accept the correction proposed below?_x000a__x000a_|_x000a__x000a_• To accept the correction, click Yes._x000a_• To close this message and correct the formula yourself, click No." xfId="2" xr:uid="{00000000-0005-0000-0000-000005000000}"/>
    <cellStyle name="Normal" xfId="0" builtinId="0"/>
    <cellStyle name="Normal 2" xfId="5" xr:uid="{00000000-0005-0000-0000-000007000000}"/>
    <cellStyle name="Normal 3" xfId="8" xr:uid="{00000000-0005-0000-0000-000008000000}"/>
    <cellStyle name="Normal 3 2" xfId="11" xr:uid="{00000000-0005-0000-0000-000009000000}"/>
    <cellStyle name="Normal 4" xfId="9" xr:uid="{00000000-0005-0000-0000-00000A000000}"/>
    <cellStyle name="Normal 5" xfId="13" xr:uid="{00000000-0005-0000-0000-00000B000000}"/>
    <cellStyle name="Normal 6" xfId="14" xr:uid="{00000000-0005-0000-0000-00000C000000}"/>
    <cellStyle name="Normal 7" xfId="15" xr:uid="{00000000-0005-0000-0000-00000D000000}"/>
    <cellStyle name="Normal 8" xfId="16" xr:uid="{00000000-0005-0000-0000-00000E000000}"/>
    <cellStyle name="Percent" xfId="3" builtinId="5"/>
    <cellStyle name="Percent 2" xfId="18" xr:uid="{00000000-0005-0000-0000-000010000000}"/>
    <cellStyle name="เครื่องหมายจุลภาค_2 BH Down syndrome_2004 Chawet" xfId="10" xr:uid="{00000000-0005-0000-0000-000011000000}"/>
    <cellStyle name="ปกติ_2.1.6-47bir" xfId="4" xr:uid="{00000000-0005-0000-0000-00001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7.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9</xdr:row>
      <xdr:rowOff>171450</xdr:rowOff>
    </xdr:from>
    <xdr:to>
      <xdr:col>10</xdr:col>
      <xdr:colOff>665389</xdr:colOff>
      <xdr:row>15</xdr:row>
      <xdr:rowOff>76200</xdr:rowOff>
    </xdr:to>
    <xdr:sp macro="" textlink="">
      <xdr:nvSpPr>
        <xdr:cNvPr id="2" name="Text 15">
          <a:extLst>
            <a:ext uri="{FF2B5EF4-FFF2-40B4-BE49-F238E27FC236}">
              <a16:creationId xmlns:a16="http://schemas.microsoft.com/office/drawing/2014/main" id="{00000000-0008-0000-0000-000002000000}"/>
            </a:ext>
          </a:extLst>
        </xdr:cNvPr>
        <xdr:cNvSpPr txBox="1">
          <a:spLocks noChangeArrowheads="1"/>
        </xdr:cNvSpPr>
      </xdr:nvSpPr>
      <xdr:spPr bwMode="auto">
        <a:xfrm>
          <a:off x="1743075" y="2466975"/>
          <a:ext cx="7399564" cy="104775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Low birth weight (LBW) is defined as a birth weight of less than 2500 g, consisting of both infants who are small for their gestational age and preterm (premature) birth infants. Shibuya and Murray (1998) have reviewed the disabling sequelae of low birth weight and the proportion of low birth weight infants who develop these in the EME. The major disabling sequelae include mental retardation, cerebral palsy, epilepsy, hearing loss and vision loss. Additionally, low birth weight is a major risk factor  for other perinatal conditions including birth asphyxia, respiratory infections, enterocolitis, liver disease and sudden infant death syndrome. The attributable risk of LBW is not well established and the YLD estimates here are based on estimates for the direct sequelae only.</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1</xdr:col>
      <xdr:colOff>21167</xdr:colOff>
      <xdr:row>57</xdr:row>
      <xdr:rowOff>151341</xdr:rowOff>
    </xdr:from>
    <xdr:to>
      <xdr:col>13</xdr:col>
      <xdr:colOff>116417</xdr:colOff>
      <xdr:row>66</xdr:row>
      <xdr:rowOff>84667</xdr:rowOff>
    </xdr:to>
    <xdr:sp macro="" textlink="">
      <xdr:nvSpPr>
        <xdr:cNvPr id="3" name="Text 22">
          <a:extLst>
            <a:ext uri="{FF2B5EF4-FFF2-40B4-BE49-F238E27FC236}">
              <a16:creationId xmlns:a16="http://schemas.microsoft.com/office/drawing/2014/main" id="{00000000-0008-0000-0000-000003000000}"/>
            </a:ext>
          </a:extLst>
        </xdr:cNvPr>
        <xdr:cNvSpPr txBox="1">
          <a:spLocks noChangeArrowheads="1"/>
        </xdr:cNvSpPr>
      </xdr:nvSpPr>
      <xdr:spPr bwMode="auto">
        <a:xfrm>
          <a:off x="1746250" y="11009841"/>
          <a:ext cx="9334500" cy="1647826"/>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0" bIns="0" anchor="ctr" upright="1"/>
        <a:lstStyle/>
        <a:p>
          <a:pPr algn="l" rtl="0">
            <a:defRPr sz="1000"/>
          </a:pPr>
          <a:r>
            <a:rPr lang="en-US" sz="1100" b="0" i="0" u="none" strike="noStrike" baseline="0">
              <a:solidFill>
                <a:srgbClr val="000000"/>
              </a:solidFill>
              <a:latin typeface="Arial"/>
              <a:cs typeface="Arial"/>
            </a:rPr>
            <a:t>The incidence of LBW  in neonatal survivors for Thailand 2014 (2557) is taken from Bureau of health strategies and plans (see in BW). </a:t>
          </a:r>
        </a:p>
        <a:p>
          <a:pPr algn="l" rtl="0">
            <a:defRPr sz="1000"/>
          </a:pPr>
          <a:r>
            <a:rPr lang="en-US" sz="1100" b="0" i="0" u="none" strike="noStrike" baseline="0">
              <a:solidFill>
                <a:srgbClr val="000000"/>
              </a:solidFill>
              <a:latin typeface="Arial"/>
              <a:cs typeface="Arial"/>
            </a:rPr>
            <a:t>The mortality rate of VLBW was averaged from three Thailand studies and mortality of LBW was refered from other articles (see in comment).</a:t>
          </a:r>
        </a:p>
        <a:p>
          <a:pPr algn="l" rtl="0">
            <a:defRPr sz="1000"/>
          </a:pPr>
          <a:endParaRPr lang="en-US" sz="1100" b="0" i="0" u="none" strike="noStrike" baseline="0">
            <a:solidFill>
              <a:srgbClr val="000000"/>
            </a:solidFill>
            <a:latin typeface="Arial"/>
            <a:cs typeface="Arial"/>
          </a:endParaRPr>
        </a:p>
        <a:p>
          <a:pPr algn="l" rtl="0">
            <a:defRPr sz="1000"/>
          </a:pPr>
          <a:r>
            <a:rPr lang="en-US" sz="1100" b="0" i="0" u="none" strike="noStrike" baseline="0">
              <a:solidFill>
                <a:srgbClr val="000000"/>
              </a:solidFill>
              <a:latin typeface="Arial"/>
              <a:cs typeface="Arial"/>
            </a:rPr>
            <a:t>The probability of disability among LBW survivors in the EME was estimated by Shibuya and Murray (1998) to be 25% for very low birthweight (VLBW, &lt;1500 g) and 5% for LBW &gt;=1500 g. As shown in the following table. Also the the proportion of different types of disability were obtained from the same source for hearing loss, epilepsy and visual defect. CP was calculated from 60% of total CP. (2.25/1000 livebirth of CP rate) and MR was refered from MR worksheet. The rest % are considered as others mild permanent disability. </a:t>
          </a:r>
        </a:p>
      </xdr:txBody>
    </xdr:sp>
    <xdr:clientData/>
  </xdr:twoCellAnchor>
  <xdr:twoCellAnchor>
    <xdr:from>
      <xdr:col>0</xdr:col>
      <xdr:colOff>1720331</xdr:colOff>
      <xdr:row>91</xdr:row>
      <xdr:rowOff>31750</xdr:rowOff>
    </xdr:from>
    <xdr:to>
      <xdr:col>10</xdr:col>
      <xdr:colOff>695324</xdr:colOff>
      <xdr:row>95</xdr:row>
      <xdr:rowOff>29159</xdr:rowOff>
    </xdr:to>
    <xdr:sp macro="" textlink="">
      <xdr:nvSpPr>
        <xdr:cNvPr id="4" name="Text 26">
          <a:extLst>
            <a:ext uri="{FF2B5EF4-FFF2-40B4-BE49-F238E27FC236}">
              <a16:creationId xmlns:a16="http://schemas.microsoft.com/office/drawing/2014/main" id="{00000000-0008-0000-0000-000004000000}"/>
            </a:ext>
          </a:extLst>
        </xdr:cNvPr>
        <xdr:cNvSpPr txBox="1">
          <a:spLocks noChangeArrowheads="1"/>
        </xdr:cNvSpPr>
      </xdr:nvSpPr>
      <xdr:spPr bwMode="auto">
        <a:xfrm>
          <a:off x="1720331" y="17367250"/>
          <a:ext cx="7441660" cy="759409"/>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18288" rIns="0" bIns="0" anchor="ctr" upright="1"/>
        <a:lstStyle/>
        <a:p>
          <a:pPr algn="l" rtl="0">
            <a:defRPr sz="1000"/>
          </a:pPr>
          <a:r>
            <a:rPr lang="en-US" sz="1000" b="0" i="0" u="none" strike="noStrike" baseline="0">
              <a:solidFill>
                <a:srgbClr val="000000"/>
              </a:solidFill>
              <a:latin typeface="Arial"/>
              <a:cs typeface="Arial"/>
            </a:rPr>
            <a:t>Durations of different levels of intellectual disability are derived from the worksheet Mental retardation. The durations of the other sequelae are calculated using dismod2. The </a:t>
          </a:r>
          <a:r>
            <a:rPr lang="en-US" sz="1000" b="0" i="0" u="none" strike="noStrike" baseline="0">
              <a:solidFill>
                <a:sysClr val="windowText" lastClr="000000"/>
              </a:solidFill>
              <a:latin typeface="Arial"/>
              <a:cs typeface="Arial"/>
            </a:rPr>
            <a:t>RR Mortality = 2</a:t>
          </a:r>
          <a:r>
            <a:rPr lang="en-US" sz="1000" b="1" i="0" u="none" strike="noStrike" baseline="0">
              <a:solidFill>
                <a:srgbClr val="FF0000"/>
              </a:solidFill>
              <a:latin typeface="Arial"/>
              <a:cs typeface="Arial"/>
            </a:rPr>
            <a:t> </a:t>
          </a:r>
          <a:r>
            <a:rPr lang="en-US" sz="1000" b="0" i="0" u="none" strike="noStrike" baseline="0">
              <a:solidFill>
                <a:srgbClr val="000000"/>
              </a:solidFill>
              <a:latin typeface="Arial"/>
              <a:cs typeface="Arial"/>
            </a:rPr>
            <a:t>according to published article. </a:t>
          </a:r>
          <a:endParaRPr lang="en-US" sz="1000" b="1" i="0" u="none" strike="noStrike" baseline="0">
            <a:solidFill>
              <a:srgbClr val="FF0000"/>
            </a:solidFill>
            <a:latin typeface="Arial"/>
            <a:cs typeface="Arial"/>
          </a:endParaRPr>
        </a:p>
        <a:p>
          <a:pPr algn="l" rtl="0">
            <a:defRPr sz="1000"/>
          </a:pPr>
          <a:r>
            <a:rPr lang="en-US" sz="1000" b="0" i="0" u="none" strike="noStrike" baseline="0">
              <a:solidFill>
                <a:srgbClr val="000000"/>
              </a:solidFill>
              <a:latin typeface="Arial"/>
              <a:cs typeface="Arial"/>
            </a:rPr>
            <a:t>We assume the same DW for mild permanent disability as for moderate hearing loss (0.110) as was done in the Australian studies.</a:t>
          </a:r>
        </a:p>
      </xdr:txBody>
    </xdr:sp>
    <xdr:clientData/>
  </xdr:twoCellAnchor>
  <xdr:twoCellAnchor>
    <xdr:from>
      <xdr:col>11</xdr:col>
      <xdr:colOff>273698</xdr:colOff>
      <xdr:row>99</xdr:row>
      <xdr:rowOff>66870</xdr:rowOff>
    </xdr:from>
    <xdr:to>
      <xdr:col>13</xdr:col>
      <xdr:colOff>1159523</xdr:colOff>
      <xdr:row>102</xdr:row>
      <xdr:rowOff>24742</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9541523" y="18859695"/>
          <a:ext cx="2590800" cy="529372"/>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100"/>
            <a:t>- Duration of Intellectual disability</a:t>
          </a:r>
          <a:r>
            <a:rPr lang="en-US" sz="1100" baseline="0"/>
            <a:t> are refered from MR worksheet 2014).</a:t>
          </a:r>
        </a:p>
      </xdr:txBody>
    </xdr:sp>
    <xdr:clientData/>
  </xdr:twoCellAnchor>
  <xdr:twoCellAnchor>
    <xdr:from>
      <xdr:col>13</xdr:col>
      <xdr:colOff>167607</xdr:colOff>
      <xdr:row>71</xdr:row>
      <xdr:rowOff>138661</xdr:rowOff>
    </xdr:from>
    <xdr:to>
      <xdr:col>16</xdr:col>
      <xdr:colOff>243416</xdr:colOff>
      <xdr:row>77</xdr:row>
      <xdr:rowOff>158750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11131940" y="13664161"/>
          <a:ext cx="3229643" cy="11630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a:solidFill>
                <a:schemeClr val="dk1"/>
              </a:solidFill>
              <a:latin typeface="+mn-lt"/>
              <a:ea typeface="+mn-ea"/>
              <a:cs typeface="+mn-cs"/>
            </a:rPr>
            <a:t>Neonatal mortality rate of LBW was </a:t>
          </a:r>
          <a:r>
            <a:rPr lang="en-US" sz="1100" b="1" i="0" u="none" strike="noStrike" baseline="0">
              <a:solidFill>
                <a:srgbClr val="FF0000"/>
              </a:solidFill>
              <a:latin typeface="+mn-lt"/>
              <a:ea typeface="+mn-ea"/>
              <a:cs typeface="+mn-cs"/>
            </a:rPr>
            <a:t>3.65 per thousand live birth</a:t>
          </a:r>
          <a:r>
            <a:rPr lang="en-US" sz="1100" b="0" i="0" u="none" strike="noStrike" baseline="0">
              <a:solidFill>
                <a:schemeClr val="dk1"/>
              </a:solidFill>
              <a:latin typeface="+mn-lt"/>
              <a:ea typeface="+mn-ea"/>
              <a:cs typeface="+mn-cs"/>
            </a:rPr>
            <a:t>. Early neonatal mortality rate was 2.16/1000 live birth and late neonatal mortality rate was 1.49/1000 live birth.</a:t>
          </a:r>
        </a:p>
        <a:p>
          <a:r>
            <a:rPr lang="en-US" sz="1100" b="0" i="0" u="none" strike="noStrike" baseline="0">
              <a:solidFill>
                <a:schemeClr val="dk1"/>
              </a:solidFill>
              <a:latin typeface="+mn-lt"/>
              <a:ea typeface="+mn-ea"/>
              <a:cs typeface="+mn-cs"/>
            </a:rPr>
            <a:t>Ref:  (The study of " Mortality and morbidity of Low Birth Weight infants at Buriram hospital)</a:t>
          </a:r>
        </a:p>
        <a:p>
          <a:endParaRPr lang="en-US" sz="1100" b="0" i="0" u="none" strike="noStrike" baseline="0">
            <a:solidFill>
              <a:schemeClr val="dk1"/>
            </a:solidFill>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170731</xdr:colOff>
      <xdr:row>11</xdr:row>
      <xdr:rowOff>62901</xdr:rowOff>
    </xdr:from>
    <xdr:to>
      <xdr:col>14</xdr:col>
      <xdr:colOff>71887</xdr:colOff>
      <xdr:row>14</xdr:row>
      <xdr:rowOff>71887</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6892146" y="1958915"/>
          <a:ext cx="1734269" cy="494222"/>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100"/>
            <a:t>Updated</a:t>
          </a:r>
          <a:r>
            <a:rPr lang="en-US" sz="1100" baseline="0"/>
            <a:t> with 2014 MR worksheet</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127000</xdr:colOff>
      <xdr:row>6</xdr:row>
      <xdr:rowOff>34925</xdr:rowOff>
    </xdr:from>
    <xdr:to>
      <xdr:col>16</xdr:col>
      <xdr:colOff>393700</xdr:colOff>
      <xdr:row>15</xdr:row>
      <xdr:rowOff>146050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7442200" y="1006475"/>
          <a:ext cx="2705100" cy="1539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Dismod calculation,</a:t>
          </a:r>
        </a:p>
        <a:p>
          <a:endParaRPr lang="en-US" sz="1100"/>
        </a:p>
        <a:p>
          <a:r>
            <a:rPr lang="en-US" sz="1100"/>
            <a:t>Incidence - 0.0957</a:t>
          </a:r>
          <a:r>
            <a:rPr lang="en-US" sz="1100" baseline="0"/>
            <a:t> for male and 0.1137 for female.</a:t>
          </a:r>
        </a:p>
        <a:p>
          <a:r>
            <a:rPr lang="en-US" sz="1100" baseline="0"/>
            <a:t>Remission - 0 for both sex</a:t>
          </a:r>
        </a:p>
        <a:p>
          <a:r>
            <a:rPr lang="en-US" sz="1100" baseline="0"/>
            <a:t>RR mortality - 2 for both sex. </a:t>
          </a:r>
        </a:p>
        <a:p>
          <a:endParaRPr lang="en-US" sz="1100" baseline="0"/>
        </a:p>
        <a:p>
          <a:r>
            <a:rPr lang="en-US" sz="1100" baseline="0"/>
            <a:t>Click at "input 0 age only".</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87476</xdr:colOff>
      <xdr:row>13</xdr:row>
      <xdr:rowOff>155510</xdr:rowOff>
    </xdr:from>
    <xdr:to>
      <xdr:col>14</xdr:col>
      <xdr:colOff>1137170</xdr:colOff>
      <xdr:row>15</xdr:row>
      <xdr:rowOff>19439</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469101" y="2717735"/>
          <a:ext cx="3364269" cy="321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Incidence of LBW for all</a:t>
          </a:r>
          <a:r>
            <a:rPr lang="en-US" sz="1100" baseline="0">
              <a:solidFill>
                <a:srgbClr val="FF0000"/>
              </a:solidFill>
            </a:rPr>
            <a:t> livebirth </a:t>
          </a:r>
          <a:r>
            <a:rPr lang="en-US" sz="1100">
              <a:solidFill>
                <a:srgbClr val="FF0000"/>
              </a:solidFill>
            </a:rPr>
            <a:t>is 10.44% </a:t>
          </a:r>
          <a:r>
            <a:rPr lang="en-US" sz="1100" b="1">
              <a:solidFill>
                <a:srgbClr val="FF0000"/>
              </a:solidFill>
            </a:rPr>
            <a:t>in 2014.</a:t>
          </a:r>
        </a:p>
      </xdr:txBody>
    </xdr:sp>
    <xdr:clientData/>
  </xdr:twoCellAnchor>
  <xdr:oneCellAnchor>
    <xdr:from>
      <xdr:col>9</xdr:col>
      <xdr:colOff>845587</xdr:colOff>
      <xdr:row>13</xdr:row>
      <xdr:rowOff>58317</xdr:rowOff>
    </xdr:from>
    <xdr:ext cx="184731" cy="264560"/>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4960387" y="26205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15</xdr:col>
      <xdr:colOff>145791</xdr:colOff>
      <xdr:row>10</xdr:row>
      <xdr:rowOff>48597</xdr:rowOff>
    </xdr:from>
    <xdr:ext cx="3289747"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9029311" y="1963316"/>
          <a:ext cx="3289747"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t> 10.44% value is the incidence of all </a:t>
          </a:r>
          <a:r>
            <a:rPr lang="en-US" sz="1100">
              <a:solidFill>
                <a:schemeClr val="tx1"/>
              </a:solidFill>
              <a:effectLst/>
              <a:latin typeface="+mn-lt"/>
              <a:ea typeface="+mn-ea"/>
              <a:cs typeface="+mn-cs"/>
            </a:rPr>
            <a:t>(male and female)</a:t>
          </a:r>
          <a:endParaRPr lang="en-US">
            <a:effectLst/>
          </a:endParaRPr>
        </a:p>
        <a:p>
          <a:r>
            <a:rPr lang="en-US" sz="1100"/>
            <a:t>live birth </a:t>
          </a:r>
        </a:p>
      </xdr:txBody>
    </xdr:sp>
    <xdr:clientData/>
  </xdr:oneCellAnchor>
  <xdr:twoCellAnchor>
    <xdr:from>
      <xdr:col>10</xdr:col>
      <xdr:colOff>116633</xdr:colOff>
      <xdr:row>15</xdr:row>
      <xdr:rowOff>174949</xdr:rowOff>
    </xdr:from>
    <xdr:to>
      <xdr:col>19</xdr:col>
      <xdr:colOff>1</xdr:colOff>
      <xdr:row>17</xdr:row>
      <xdr:rowOff>184668</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5510893" y="3255995"/>
          <a:ext cx="5705281"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0" i="0" baseline="0">
              <a:solidFill>
                <a:srgbClr val="FF0000"/>
              </a:solidFill>
              <a:effectLst/>
              <a:latin typeface="+mn-lt"/>
              <a:ea typeface="+mn-ea"/>
              <a:cs typeface="+mn-cs"/>
            </a:rPr>
            <a:t>Accordint to literature review:</a:t>
          </a:r>
        </a:p>
        <a:p>
          <a:r>
            <a:rPr lang="en-US" sz="1100" b="0" i="0" baseline="0">
              <a:solidFill>
                <a:srgbClr val="FF0000"/>
              </a:solidFill>
              <a:effectLst/>
              <a:latin typeface="+mn-lt"/>
              <a:ea typeface="+mn-ea"/>
              <a:cs typeface="+mn-cs"/>
            </a:rPr>
            <a:t>- </a:t>
          </a:r>
          <a:r>
            <a:rPr lang="en-US" sz="1100" b="0" i="0" u="none" strike="noStrike" baseline="0">
              <a:solidFill>
                <a:srgbClr val="FF0000"/>
              </a:solidFill>
              <a:latin typeface="+mn-lt"/>
              <a:ea typeface="+mn-ea"/>
              <a:cs typeface="+mn-cs"/>
            </a:rPr>
            <a:t>The incidence of LBW in Bhumibol Adulyadej Hospital was 11.37 % in 2013.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152400</xdr:colOff>
      <xdr:row>21</xdr:row>
      <xdr:rowOff>38100</xdr:rowOff>
    </xdr:from>
    <xdr:to>
      <xdr:col>9</xdr:col>
      <xdr:colOff>523875</xdr:colOff>
      <xdr:row>23</xdr:row>
      <xdr:rowOff>57150</xdr:rowOff>
    </xdr:to>
    <xdr:sp macro="" textlink="">
      <xdr:nvSpPr>
        <xdr:cNvPr id="2" name="Multiply 1">
          <a:extLst>
            <a:ext uri="{FF2B5EF4-FFF2-40B4-BE49-F238E27FC236}">
              <a16:creationId xmlns:a16="http://schemas.microsoft.com/office/drawing/2014/main" id="{00000000-0008-0000-0500-000002000000}"/>
            </a:ext>
          </a:extLst>
        </xdr:cNvPr>
        <xdr:cNvSpPr/>
      </xdr:nvSpPr>
      <xdr:spPr bwMode="auto">
        <a:xfrm>
          <a:off x="5638800" y="4352925"/>
          <a:ext cx="371475" cy="342900"/>
        </a:xfrm>
        <a:prstGeom prst="mathMultiply">
          <a:avLst/>
        </a:prstGeom>
        <a:solidFill>
          <a:schemeClr val="tx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endParaRPr lang="th-TH"/>
        </a:p>
      </xdr:txBody>
    </xdr:sp>
    <xdr:clientData/>
  </xdr:twoCellAnchor>
  <xdr:twoCellAnchor>
    <xdr:from>
      <xdr:col>9</xdr:col>
      <xdr:colOff>200025</xdr:colOff>
      <xdr:row>38</xdr:row>
      <xdr:rowOff>0</xdr:rowOff>
    </xdr:from>
    <xdr:to>
      <xdr:col>9</xdr:col>
      <xdr:colOff>571500</xdr:colOff>
      <xdr:row>40</xdr:row>
      <xdr:rowOff>19050</xdr:rowOff>
    </xdr:to>
    <xdr:sp macro="" textlink="">
      <xdr:nvSpPr>
        <xdr:cNvPr id="3" name="Multiply 2">
          <a:extLst>
            <a:ext uri="{FF2B5EF4-FFF2-40B4-BE49-F238E27FC236}">
              <a16:creationId xmlns:a16="http://schemas.microsoft.com/office/drawing/2014/main" id="{00000000-0008-0000-0500-000003000000}"/>
            </a:ext>
          </a:extLst>
        </xdr:cNvPr>
        <xdr:cNvSpPr/>
      </xdr:nvSpPr>
      <xdr:spPr bwMode="auto">
        <a:xfrm>
          <a:off x="5686425" y="7067550"/>
          <a:ext cx="371475" cy="342900"/>
        </a:xfrm>
        <a:prstGeom prst="mathMultiply">
          <a:avLst/>
        </a:prstGeom>
        <a:solidFill>
          <a:schemeClr val="tx1"/>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endParaRPr lang="th-TH"/>
        </a:p>
      </xdr:txBody>
    </xdr:sp>
    <xdr:clientData/>
  </xdr:twoCellAnchor>
  <xdr:twoCellAnchor>
    <xdr:from>
      <xdr:col>9</xdr:col>
      <xdr:colOff>266700</xdr:colOff>
      <xdr:row>50</xdr:row>
      <xdr:rowOff>104775</xdr:rowOff>
    </xdr:from>
    <xdr:to>
      <xdr:col>9</xdr:col>
      <xdr:colOff>533400</xdr:colOff>
      <xdr:row>53</xdr:row>
      <xdr:rowOff>0</xdr:rowOff>
    </xdr:to>
    <xdr:sp macro="" textlink="">
      <xdr:nvSpPr>
        <xdr:cNvPr id="4" name="Down Arrow 3">
          <a:extLst>
            <a:ext uri="{FF2B5EF4-FFF2-40B4-BE49-F238E27FC236}">
              <a16:creationId xmlns:a16="http://schemas.microsoft.com/office/drawing/2014/main" id="{00000000-0008-0000-0500-000004000000}"/>
            </a:ext>
          </a:extLst>
        </xdr:cNvPr>
        <xdr:cNvSpPr>
          <a:spLocks noChangeArrowheads="1"/>
        </xdr:cNvSpPr>
      </xdr:nvSpPr>
      <xdr:spPr bwMode="auto">
        <a:xfrm>
          <a:off x="5753100" y="9115425"/>
          <a:ext cx="266700" cy="381000"/>
        </a:xfrm>
        <a:prstGeom prst="downArrow">
          <a:avLst>
            <a:gd name="adj1" fmla="val 50000"/>
            <a:gd name="adj2" fmla="val 50000"/>
          </a:avLst>
        </a:prstGeom>
        <a:solidFill>
          <a:srgbClr val="000000"/>
        </a:solidFill>
        <a:ln w="9525" algn="ctr">
          <a:solidFill>
            <a:srgbClr val="000000"/>
          </a:solidFill>
          <a:round/>
          <a:headEnd/>
          <a:tailEnd/>
        </a:ln>
      </xdr:spPr>
    </xdr:sp>
    <xdr:clientData/>
  </xdr:twoCellAnchor>
  <xdr:twoCellAnchor editAs="oneCell">
    <xdr:from>
      <xdr:col>3</xdr:col>
      <xdr:colOff>0</xdr:colOff>
      <xdr:row>5</xdr:row>
      <xdr:rowOff>0</xdr:rowOff>
    </xdr:from>
    <xdr:to>
      <xdr:col>15</xdr:col>
      <xdr:colOff>47236</xdr:colOff>
      <xdr:row>7</xdr:row>
      <xdr:rowOff>23327</xdr:rowOff>
    </xdr:to>
    <xdr:sp macro="" textlink="">
      <xdr:nvSpPr>
        <xdr:cNvPr id="5" name="Text 15">
          <a:extLst>
            <a:ext uri="{FF2B5EF4-FFF2-40B4-BE49-F238E27FC236}">
              <a16:creationId xmlns:a16="http://schemas.microsoft.com/office/drawing/2014/main" id="{00000000-0008-0000-0500-000005000000}"/>
            </a:ext>
          </a:extLst>
        </xdr:cNvPr>
        <xdr:cNvSpPr txBox="1">
          <a:spLocks noChangeArrowheads="1"/>
        </xdr:cNvSpPr>
      </xdr:nvSpPr>
      <xdr:spPr bwMode="auto">
        <a:xfrm>
          <a:off x="1828800" y="809625"/>
          <a:ext cx="7362436" cy="1071077"/>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Low birth weight (LBW) is defined as a birth weight of less than 2500 g, consisting of both infants who are small for their gestational age and preterm (premature) birth infants. Shibuya and Murray (1998) have reviewed the disabling sequelae of low birth weight and the proportion of low birth weight infants who develop these in the EME. The major disabling sequelae include mental retardation, cerebral palsy, epilepsy, hearing loss and vision loss. Additionally, low birth weight is a major risk factor  for other perinatal conditions including birth asphyxia, respiratory infections, enterocolitis, liver disease and sudden infant death syndrome. The attributable risk of LBW is not well established and the YLD estimates here are based on estimates for the direct sequelae only.</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295275</xdr:colOff>
      <xdr:row>37</xdr:row>
      <xdr:rowOff>133350</xdr:rowOff>
    </xdr:from>
    <xdr:to>
      <xdr:col>17</xdr:col>
      <xdr:colOff>514350</xdr:colOff>
      <xdr:row>43</xdr:row>
      <xdr:rowOff>28575</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4562475" y="7181850"/>
          <a:ext cx="6315075"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In the following reference study,</a:t>
          </a:r>
          <a:r>
            <a:rPr lang="en-US" sz="1100" baseline="0"/>
            <a:t> a</a:t>
          </a:r>
          <a:r>
            <a:rPr lang="en-US" sz="1100"/>
            <a:t> child was determined for having a Developmental Delay or Disability if the child had a developmental delay (including delayed cognition, physical/motor impairment, lack of communication skills, delayed social/emotional development, or lagging adaptive development)or an established condition placing them at high risk for developmental delay (including sensory impairment, genetic, metabolic, neurological, or severe attachment disorders). </a:t>
          </a:r>
        </a:p>
      </xdr:txBody>
    </xdr:sp>
    <xdr:clientData/>
  </xdr:twoCellAnchor>
  <xdr:twoCellAnchor>
    <xdr:from>
      <xdr:col>1</xdr:col>
      <xdr:colOff>19049</xdr:colOff>
      <xdr:row>43</xdr:row>
      <xdr:rowOff>171450</xdr:rowOff>
    </xdr:from>
    <xdr:to>
      <xdr:col>13</xdr:col>
      <xdr:colOff>447674</xdr:colOff>
      <xdr:row>47</xdr:row>
      <xdr:rowOff>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628649" y="8362950"/>
          <a:ext cx="774382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Ref: A population-based study of the effects of birth weight on early developmental delay or disability in children. Thompson JR, Carter RL, Edwards AR, Roth J, Ariet M, Ross NL, Resnick MB:  </a:t>
          </a:r>
          <a:r>
            <a:rPr lang="en-US" sz="1100">
              <a:solidFill>
                <a:schemeClr val="dk1"/>
              </a:solidFill>
              <a:effectLst/>
              <a:latin typeface="+mn-lt"/>
              <a:ea typeface="+mn-ea"/>
              <a:cs typeface="+mn-cs"/>
            </a:rPr>
            <a:t>Am J Perinatol. 2003 Aug;20(6):321-32. </a:t>
          </a:r>
          <a:endParaRPr lang="en-US" sz="1100"/>
        </a:p>
      </xdr:txBody>
    </xdr:sp>
    <xdr:clientData/>
  </xdr:twoCellAnchor>
  <xdr:twoCellAnchor>
    <xdr:from>
      <xdr:col>1</xdr:col>
      <xdr:colOff>31081</xdr:colOff>
      <xdr:row>47</xdr:row>
      <xdr:rowOff>82717</xdr:rowOff>
    </xdr:from>
    <xdr:to>
      <xdr:col>12</xdr:col>
      <xdr:colOff>326356</xdr:colOff>
      <xdr:row>50</xdr:row>
      <xdr:rowOff>187492</xdr:rowOff>
    </xdr:to>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640681" y="9036217"/>
          <a:ext cx="7000875"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Note:    Because of the assumption of a lower proportion of VLBW and of higher mortality in developing countries, the overall risk of developing a disability is slightly higher in developed countries. </a:t>
          </a:r>
        </a:p>
      </xdr:txBody>
    </xdr:sp>
    <xdr:clientData/>
  </xdr:twoCellAnchor>
  <xdr:twoCellAnchor>
    <xdr:from>
      <xdr:col>1</xdr:col>
      <xdr:colOff>1</xdr:colOff>
      <xdr:row>24</xdr:row>
      <xdr:rowOff>1</xdr:rowOff>
    </xdr:from>
    <xdr:to>
      <xdr:col>6</xdr:col>
      <xdr:colOff>551447</xdr:colOff>
      <xdr:row>32</xdr:row>
      <xdr:rowOff>50133</xdr:rowOff>
    </xdr:to>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611606" y="4572001"/>
          <a:ext cx="3609473" cy="1574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EME - Established Market Economies </a:t>
          </a:r>
        </a:p>
        <a:p>
          <a:r>
            <a:rPr lang="en-US" sz="1100"/>
            <a:t>FSE- Formerly Socialist Economies of Europe</a:t>
          </a:r>
        </a:p>
        <a:p>
          <a:r>
            <a:rPr lang="en-US" sz="1100"/>
            <a:t> LAC- Latin America and the Carribbean </a:t>
          </a:r>
        </a:p>
        <a:p>
          <a:r>
            <a:rPr lang="en-US" sz="1100"/>
            <a:t>OAI- Other Asia and Islands </a:t>
          </a:r>
        </a:p>
        <a:p>
          <a:r>
            <a:rPr lang="en-US" sz="1100"/>
            <a:t>MEC- Middle Eastern Crescent </a:t>
          </a:r>
        </a:p>
        <a:p>
          <a:r>
            <a:rPr lang="en-US" sz="1100"/>
            <a:t>IND- India </a:t>
          </a:r>
        </a:p>
        <a:p>
          <a:r>
            <a:rPr lang="en-US" sz="1100"/>
            <a:t>SSA- Sub-Saharan Africa </a:t>
          </a:r>
        </a:p>
        <a:p>
          <a:r>
            <a:rPr lang="en-US" sz="1100"/>
            <a:t>CHN- China </a:t>
          </a:r>
        </a:p>
        <a:p>
          <a:endParaRPr lang="en-US" sz="1100"/>
        </a:p>
      </xdr:txBody>
    </xdr:sp>
    <xdr:clientData/>
  </xdr:twoCellAnchor>
  <xdr:twoCellAnchor>
    <xdr:from>
      <xdr:col>7</xdr:col>
      <xdr:colOff>300789</xdr:colOff>
      <xdr:row>11</xdr:row>
      <xdr:rowOff>30079</xdr:rowOff>
    </xdr:from>
    <xdr:to>
      <xdr:col>12</xdr:col>
      <xdr:colOff>561474</xdr:colOff>
      <xdr:row>13</xdr:row>
      <xdr:rowOff>160421</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4582026" y="2125579"/>
          <a:ext cx="3318711" cy="511342"/>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table was</a:t>
          </a:r>
          <a:r>
            <a:rPr lang="en-US" sz="1100" baseline="0"/>
            <a:t> refered from the following reference (Table 7) Page 397. </a:t>
          </a:r>
          <a:endParaRPr lang="en-US" sz="1100"/>
        </a:p>
      </xdr:txBody>
    </xdr:sp>
    <xdr:clientData/>
  </xdr:twoCellAnchor>
  <xdr:twoCellAnchor>
    <xdr:from>
      <xdr:col>11</xdr:col>
      <xdr:colOff>431132</xdr:colOff>
      <xdr:row>18</xdr:row>
      <xdr:rowOff>130342</xdr:rowOff>
    </xdr:from>
    <xdr:to>
      <xdr:col>17</xdr:col>
      <xdr:colOff>80212</xdr:colOff>
      <xdr:row>20</xdr:row>
      <xdr:rowOff>50132</xdr:rowOff>
    </xdr:to>
    <xdr:sp macro="" textlink="">
      <xdr:nvSpPr>
        <xdr:cNvPr id="7" name="TextBox 6">
          <a:extLst>
            <a:ext uri="{FF2B5EF4-FFF2-40B4-BE49-F238E27FC236}">
              <a16:creationId xmlns:a16="http://schemas.microsoft.com/office/drawing/2014/main" id="{00000000-0008-0000-0600-000007000000}"/>
            </a:ext>
          </a:extLst>
        </xdr:cNvPr>
        <xdr:cNvSpPr txBox="1"/>
      </xdr:nvSpPr>
      <xdr:spPr>
        <a:xfrm>
          <a:off x="7158790" y="3559342"/>
          <a:ext cx="3318711" cy="50131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table was</a:t>
          </a:r>
          <a:r>
            <a:rPr lang="en-US" sz="1100" baseline="0"/>
            <a:t> refered from the following reference (Table 14) Page 413. </a:t>
          </a:r>
        </a:p>
        <a:p>
          <a:endParaRPr lang="en-US" sz="1100" baseline="0"/>
        </a:p>
      </xdr:txBody>
    </xdr:sp>
    <xdr:clientData/>
  </xdr:twoCellAnchor>
  <xdr:twoCellAnchor>
    <xdr:from>
      <xdr:col>1</xdr:col>
      <xdr:colOff>40106</xdr:colOff>
      <xdr:row>33</xdr:row>
      <xdr:rowOff>20053</xdr:rowOff>
    </xdr:from>
    <xdr:to>
      <xdr:col>17</xdr:col>
      <xdr:colOff>561474</xdr:colOff>
      <xdr:row>36</xdr:row>
      <xdr:rowOff>10026</xdr:rowOff>
    </xdr:to>
    <xdr:sp macro="" textlink="">
      <xdr:nvSpPr>
        <xdr:cNvPr id="8" name="TextBox 7">
          <a:extLst>
            <a:ext uri="{FF2B5EF4-FFF2-40B4-BE49-F238E27FC236}">
              <a16:creationId xmlns:a16="http://schemas.microsoft.com/office/drawing/2014/main" id="{00000000-0008-0000-0600-000008000000}"/>
            </a:ext>
          </a:extLst>
        </xdr:cNvPr>
        <xdr:cNvSpPr txBox="1"/>
      </xdr:nvSpPr>
      <xdr:spPr>
        <a:xfrm>
          <a:off x="651711" y="6306553"/>
          <a:ext cx="10307052" cy="561473"/>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Ref: Shibuya K, Murray CJL. 1998: Low Birth Weight. In: Murray CJL, &amp; Lopez, A.D., ed.  Health dimensions of sex and reproduction: the global burden of sexually transmitted diseases, HIV, maternal conditions, perinatal disorders, and congenital anomalies. Boston: The Harvard School of Public Health, 389-428. Global Burden of Disease and Injury Series; </a:t>
          </a:r>
          <a:endParaRPr lang="en-US">
            <a:effectLst/>
          </a:endParaRPr>
        </a:p>
        <a:p>
          <a:endParaRPr lang="en-US" sz="1100"/>
        </a:p>
      </xdr:txBody>
    </xdr:sp>
    <xdr:clientData/>
  </xdr:twoCellAnchor>
  <xdr:twoCellAnchor>
    <xdr:from>
      <xdr:col>1</xdr:col>
      <xdr:colOff>1</xdr:colOff>
      <xdr:row>53</xdr:row>
      <xdr:rowOff>0</xdr:rowOff>
    </xdr:from>
    <xdr:to>
      <xdr:col>13</xdr:col>
      <xdr:colOff>299788</xdr:colOff>
      <xdr:row>58</xdr:row>
      <xdr:rowOff>114801</xdr:rowOff>
    </xdr:to>
    <xdr:sp macro="" textlink="">
      <xdr:nvSpPr>
        <xdr:cNvPr id="9" name="TextBox 8">
          <a:extLst>
            <a:ext uri="{FF2B5EF4-FFF2-40B4-BE49-F238E27FC236}">
              <a16:creationId xmlns:a16="http://schemas.microsoft.com/office/drawing/2014/main" id="{00000000-0008-0000-0600-000009000000}"/>
            </a:ext>
          </a:extLst>
        </xdr:cNvPr>
        <xdr:cNvSpPr txBox="1"/>
      </xdr:nvSpPr>
      <xdr:spPr>
        <a:xfrm>
          <a:off x="611606" y="10297026"/>
          <a:ext cx="7639050" cy="1057275"/>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general, </a:t>
          </a:r>
          <a:r>
            <a:rPr lang="en-US" sz="1100" b="1"/>
            <a:t>LBW</a:t>
          </a:r>
          <a:r>
            <a:rPr lang="en-US" sz="1100"/>
            <a:t> is defined as a birth weight less than 2500g consisting of both infants who are small for their gestational age (</a:t>
          </a:r>
          <a:r>
            <a:rPr lang="en-US" sz="1100" b="1"/>
            <a:t>SGA</a:t>
          </a:r>
          <a:r>
            <a:rPr lang="en-US" sz="1100"/>
            <a:t> or intrauterine growth retardation: IUGR) </a:t>
          </a:r>
          <a:r>
            <a:rPr lang="en-US" sz="1100" b="1"/>
            <a:t>and preterm </a:t>
          </a:r>
          <a:r>
            <a:rPr lang="en-US" sz="1100"/>
            <a:t>birth infants (premature). </a:t>
          </a:r>
        </a:p>
        <a:p>
          <a:r>
            <a:rPr lang="en-US" sz="1100"/>
            <a:t>Sub classified as: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Very low birth weight (VLBW) : &lt;1500g </a:t>
          </a:r>
          <a:endParaRPr lang="en-US">
            <a:effectLst/>
          </a:endParaRPr>
        </a:p>
        <a:p>
          <a:pPr lvl="0"/>
          <a:r>
            <a:rPr lang="en-US" sz="1100">
              <a:solidFill>
                <a:schemeClr val="dk1"/>
              </a:solidFill>
              <a:effectLst/>
              <a:latin typeface="+mn-lt"/>
              <a:ea typeface="+mn-ea"/>
              <a:cs typeface="+mn-cs"/>
            </a:rPr>
            <a:t>Extremely low birth weight (ELBW) : &lt;1000g (2lb, 3oz)</a:t>
          </a:r>
        </a:p>
        <a:p>
          <a:endParaRPr lang="en-US" sz="1100"/>
        </a:p>
      </xdr:txBody>
    </xdr:sp>
    <xdr:clientData/>
  </xdr:twoCellAnchor>
  <xdr:twoCellAnchor>
    <xdr:from>
      <xdr:col>1</xdr:col>
      <xdr:colOff>1</xdr:colOff>
      <xdr:row>67</xdr:row>
      <xdr:rowOff>117169</xdr:rowOff>
    </xdr:from>
    <xdr:to>
      <xdr:col>13</xdr:col>
      <xdr:colOff>290262</xdr:colOff>
      <xdr:row>72</xdr:row>
      <xdr:rowOff>501</xdr:rowOff>
    </xdr:to>
    <xdr:sp macro="" textlink="">
      <xdr:nvSpPr>
        <xdr:cNvPr id="10" name="TextBox 9">
          <a:extLst>
            <a:ext uri="{FF2B5EF4-FFF2-40B4-BE49-F238E27FC236}">
              <a16:creationId xmlns:a16="http://schemas.microsoft.com/office/drawing/2014/main" id="{00000000-0008-0000-0600-00000A000000}"/>
            </a:ext>
          </a:extLst>
        </xdr:cNvPr>
        <xdr:cNvSpPr txBox="1"/>
      </xdr:nvSpPr>
      <xdr:spPr>
        <a:xfrm>
          <a:off x="611606" y="13071169"/>
          <a:ext cx="7629524" cy="83583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While </a:t>
          </a:r>
          <a:r>
            <a:rPr lang="en-US" sz="1100" b="1">
              <a:solidFill>
                <a:schemeClr val="dk1"/>
              </a:solidFill>
              <a:effectLst/>
              <a:latin typeface="+mn-lt"/>
              <a:ea typeface="+mn-ea"/>
              <a:cs typeface="+mn-cs"/>
            </a:rPr>
            <a:t>preterm birth </a:t>
          </a:r>
          <a:r>
            <a:rPr lang="en-US" sz="1100" b="0">
              <a:solidFill>
                <a:schemeClr val="dk1"/>
              </a:solidFill>
              <a:effectLst/>
              <a:latin typeface="+mn-lt"/>
              <a:ea typeface="+mn-ea"/>
              <a:cs typeface="+mn-cs"/>
            </a:rPr>
            <a:t>is defined as a gestational age  &lt;37 weeks gestation, </a:t>
          </a:r>
        </a:p>
        <a:p>
          <a:r>
            <a:rPr lang="en-US" sz="1100" b="0">
              <a:solidFill>
                <a:schemeClr val="dk1"/>
              </a:solidFill>
              <a:effectLst/>
              <a:latin typeface="+mn-lt"/>
              <a:ea typeface="+mn-ea"/>
              <a:cs typeface="+mn-cs"/>
            </a:rPr>
            <a:t>Sub</a:t>
          </a:r>
          <a:r>
            <a:rPr lang="en-US" sz="1100" b="0" baseline="0">
              <a:solidFill>
                <a:schemeClr val="dk1"/>
              </a:solidFill>
              <a:effectLst/>
              <a:latin typeface="+mn-lt"/>
              <a:ea typeface="+mn-ea"/>
              <a:cs typeface="+mn-cs"/>
            </a:rPr>
            <a:t> classified as:</a:t>
          </a:r>
        </a:p>
        <a:p>
          <a:r>
            <a:rPr lang="en-US" sz="1100" b="0">
              <a:solidFill>
                <a:schemeClr val="dk1"/>
              </a:solidFill>
              <a:effectLst/>
              <a:latin typeface="+mn-lt"/>
              <a:ea typeface="+mn-ea"/>
              <a:cs typeface="+mn-cs"/>
            </a:rPr>
            <a:t>late preterm : 33 to &lt;37 weeks</a:t>
          </a:r>
        </a:p>
        <a:p>
          <a:r>
            <a:rPr lang="en-US" sz="1100" b="0">
              <a:solidFill>
                <a:schemeClr val="dk1"/>
              </a:solidFill>
              <a:effectLst/>
              <a:latin typeface="+mn-lt"/>
              <a:ea typeface="+mn-ea"/>
              <a:cs typeface="+mn-cs"/>
            </a:rPr>
            <a:t>Very preterm  : &lt;33 weeks gestation</a:t>
          </a:r>
          <a:endParaRPr lang="en-US" sz="1100" b="0" baseline="0">
            <a:solidFill>
              <a:schemeClr val="dk1"/>
            </a:solidFill>
            <a:effectLst/>
            <a:latin typeface="+mn-lt"/>
            <a:ea typeface="+mn-ea"/>
            <a:cs typeface="+mn-cs"/>
          </a:endParaRPr>
        </a:p>
        <a:p>
          <a:endParaRPr lang="en-US" sz="1100" b="0">
            <a:solidFill>
              <a:schemeClr val="dk1"/>
            </a:solidFill>
            <a:effectLst/>
            <a:latin typeface="+mn-lt"/>
            <a:ea typeface="+mn-ea"/>
            <a:cs typeface="+mn-cs"/>
          </a:endParaRPr>
        </a:p>
        <a:p>
          <a:endParaRPr lang="en-US" sz="1100" b="0"/>
        </a:p>
      </xdr:txBody>
    </xdr:sp>
    <xdr:clientData/>
  </xdr:twoCellAnchor>
  <xdr:twoCellAnchor>
    <xdr:from>
      <xdr:col>1</xdr:col>
      <xdr:colOff>0</xdr:colOff>
      <xdr:row>75</xdr:row>
      <xdr:rowOff>186954</xdr:rowOff>
    </xdr:from>
    <xdr:to>
      <xdr:col>13</xdr:col>
      <xdr:colOff>290262</xdr:colOff>
      <xdr:row>79</xdr:row>
      <xdr:rowOff>105276</xdr:rowOff>
    </xdr:to>
    <xdr:sp macro="" textlink="">
      <xdr:nvSpPr>
        <xdr:cNvPr id="11" name="TextBox 10">
          <a:extLst>
            <a:ext uri="{FF2B5EF4-FFF2-40B4-BE49-F238E27FC236}">
              <a16:creationId xmlns:a16="http://schemas.microsoft.com/office/drawing/2014/main" id="{00000000-0008-0000-0600-00000B000000}"/>
            </a:ext>
          </a:extLst>
        </xdr:cNvPr>
        <xdr:cNvSpPr txBox="1"/>
      </xdr:nvSpPr>
      <xdr:spPr>
        <a:xfrm>
          <a:off x="611605" y="14664954"/>
          <a:ext cx="7629525" cy="68032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some study, Low birth-weight (LBW) was replaced by preterm birth since preterm is a more specific predictor of disability and is consistent with current clinical paradigms and cause-of-death classification </a:t>
          </a:r>
        </a:p>
        <a:p>
          <a:r>
            <a:rPr lang="en-US" sz="1100"/>
            <a:t>(Lawn et al. 2010). </a:t>
          </a:r>
        </a:p>
      </xdr:txBody>
    </xdr:sp>
    <xdr:clientData/>
  </xdr:twoCellAnchor>
  <xdr:twoCellAnchor>
    <xdr:from>
      <xdr:col>1</xdr:col>
      <xdr:colOff>0</xdr:colOff>
      <xdr:row>59</xdr:row>
      <xdr:rowOff>130191</xdr:rowOff>
    </xdr:from>
    <xdr:to>
      <xdr:col>13</xdr:col>
      <xdr:colOff>309312</xdr:colOff>
      <xdr:row>66</xdr:row>
      <xdr:rowOff>29076</xdr:rowOff>
    </xdr:to>
    <xdr:sp macro="" textlink="">
      <xdr:nvSpPr>
        <xdr:cNvPr id="12" name="TextBox 11">
          <a:extLst>
            <a:ext uri="{FF2B5EF4-FFF2-40B4-BE49-F238E27FC236}">
              <a16:creationId xmlns:a16="http://schemas.microsoft.com/office/drawing/2014/main" id="{00000000-0008-0000-0600-00000C000000}"/>
            </a:ext>
          </a:extLst>
        </xdr:cNvPr>
        <xdr:cNvSpPr txBox="1"/>
      </xdr:nvSpPr>
      <xdr:spPr>
        <a:xfrm>
          <a:off x="611605" y="11560191"/>
          <a:ext cx="7648575" cy="1232385"/>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SGA</a:t>
          </a:r>
          <a:r>
            <a:rPr lang="en-US" sz="1100"/>
            <a:t> (Small for their gestational age)  infants are born </a:t>
          </a:r>
          <a:r>
            <a:rPr lang="en-US" sz="1100" b="1"/>
            <a:t>at the expected time </a:t>
          </a:r>
          <a:r>
            <a:rPr lang="en-US" sz="1100"/>
            <a:t>but are expected to be </a:t>
          </a:r>
          <a:r>
            <a:rPr lang="en-US" sz="1100" b="1"/>
            <a:t>underdevelope</a:t>
          </a:r>
          <a:r>
            <a:rPr lang="en-US" sz="1100"/>
            <a:t>d (term SGA), </a:t>
          </a:r>
        </a:p>
        <a:p>
          <a:r>
            <a:rPr lang="en-US" sz="1100"/>
            <a:t>whereas </a:t>
          </a:r>
        </a:p>
        <a:p>
          <a:r>
            <a:rPr lang="en-US" sz="1100" b="1"/>
            <a:t>perterm</a:t>
          </a:r>
          <a:r>
            <a:rPr lang="en-US" sz="1100" b="1" baseline="0"/>
            <a:t> infants </a:t>
          </a:r>
          <a:r>
            <a:rPr lang="en-US" sz="1100" baseline="0"/>
            <a:t>are </a:t>
          </a:r>
          <a:r>
            <a:rPr lang="en-US" sz="1100" b="1" baseline="0"/>
            <a:t>born too early</a:t>
          </a:r>
          <a:r>
            <a:rPr lang="en-US" sz="1100" baseline="0"/>
            <a:t> but are assumed to have </a:t>
          </a:r>
          <a:r>
            <a:rPr lang="en-US" sz="1100" b="1" baseline="0"/>
            <a:t>developed appropriately for their gestational age</a:t>
          </a:r>
          <a:r>
            <a:rPr lang="en-US" sz="1100" baseline="0"/>
            <a:t> (preterm AGA). </a:t>
          </a:r>
          <a:r>
            <a:rPr lang="en-US" sz="1100" b="1" i="0">
              <a:solidFill>
                <a:schemeClr val="dk1"/>
              </a:solidFill>
              <a:effectLst/>
              <a:latin typeface="+mn-lt"/>
              <a:ea typeface="+mn-ea"/>
              <a:cs typeface="+mn-cs"/>
            </a:rPr>
            <a:t>preterm appropriate for gestational age (AGA)</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SGA (Small for their gestational age does not have any accepted standard definition. SGA is most commonly defined as an infant whose birth weight is </a:t>
          </a:r>
          <a:r>
            <a:rPr lang="en-US" sz="1100" b="1">
              <a:solidFill>
                <a:schemeClr val="dk1"/>
              </a:solidFill>
              <a:effectLst/>
              <a:latin typeface="+mn-lt"/>
              <a:ea typeface="+mn-ea"/>
              <a:cs typeface="+mn-cs"/>
            </a:rPr>
            <a:t>clearly below average and below the 10th percentile for its gestatioal age</a:t>
          </a:r>
          <a:r>
            <a:rPr lang="en-US" sz="1100">
              <a:solidFill>
                <a:schemeClr val="dk1"/>
              </a:solidFill>
              <a:effectLst/>
              <a:latin typeface="+mn-lt"/>
              <a:ea typeface="+mn-ea"/>
              <a:cs typeface="+mn-cs"/>
            </a:rPr>
            <a:t>. </a:t>
          </a:r>
          <a:endParaRPr lang="en-US">
            <a:effectLst/>
          </a:endParaRPr>
        </a:p>
        <a:p>
          <a:endParaRPr lang="en-US" sz="1100" b="1"/>
        </a:p>
        <a:p>
          <a:endParaRPr lang="en-US" sz="1100"/>
        </a:p>
      </xdr:txBody>
    </xdr:sp>
    <xdr:clientData/>
  </xdr:twoCellAnchor>
  <xdr:twoCellAnchor>
    <xdr:from>
      <xdr:col>1</xdr:col>
      <xdr:colOff>0</xdr:colOff>
      <xdr:row>79</xdr:row>
      <xdr:rowOff>163625</xdr:rowOff>
    </xdr:from>
    <xdr:to>
      <xdr:col>13</xdr:col>
      <xdr:colOff>299787</xdr:colOff>
      <xdr:row>86</xdr:row>
      <xdr:rowOff>162426</xdr:rowOff>
    </xdr:to>
    <xdr:sp macro="" textlink="">
      <xdr:nvSpPr>
        <xdr:cNvPr id="13" name="TextBox 12">
          <a:extLst>
            <a:ext uri="{FF2B5EF4-FFF2-40B4-BE49-F238E27FC236}">
              <a16:creationId xmlns:a16="http://schemas.microsoft.com/office/drawing/2014/main" id="{00000000-0008-0000-0600-00000D000000}"/>
            </a:ext>
          </a:extLst>
        </xdr:cNvPr>
        <xdr:cNvSpPr txBox="1"/>
      </xdr:nvSpPr>
      <xdr:spPr>
        <a:xfrm>
          <a:off x="611605" y="15403625"/>
          <a:ext cx="7639050" cy="1332301"/>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There is a difference in causes and outcome between </a:t>
          </a:r>
          <a:r>
            <a:rPr lang="en-US" sz="1100" b="1"/>
            <a:t>SGA and  prematurity</a:t>
          </a:r>
          <a:r>
            <a:rPr lang="en-US" sz="1100"/>
            <a:t>.  </a:t>
          </a:r>
        </a:p>
        <a:p>
          <a:r>
            <a:rPr lang="en-US" sz="1100"/>
            <a:t>- </a:t>
          </a:r>
          <a:r>
            <a:rPr lang="en-US" sz="1100">
              <a:solidFill>
                <a:schemeClr val="dk1"/>
              </a:solidFill>
              <a:effectLst/>
              <a:latin typeface="+mn-lt"/>
              <a:ea typeface="+mn-ea"/>
              <a:cs typeface="+mn-cs"/>
            </a:rPr>
            <a:t>Because of the difficulty of accurately</a:t>
          </a:r>
          <a:r>
            <a:rPr lang="en-US" sz="1100" baseline="0">
              <a:solidFill>
                <a:schemeClr val="dk1"/>
              </a:solidFill>
              <a:effectLst/>
              <a:latin typeface="+mn-lt"/>
              <a:ea typeface="+mn-ea"/>
              <a:cs typeface="+mn-cs"/>
            </a:rPr>
            <a:t> measuring gestational age especially in developing countries, LBW is more suitable to use as a reference. </a:t>
          </a:r>
          <a:endParaRPr lang="en-US" sz="1100" baseline="0"/>
        </a:p>
        <a:p>
          <a:r>
            <a:rPr lang="en-US" sz="1100" baseline="0"/>
            <a:t>- If congenital anomalies are excluded, preterm babies tend to have greater risk of perinatal mortality than term SGA. </a:t>
          </a:r>
        </a:p>
        <a:p>
          <a:r>
            <a:rPr lang="en-US" sz="1100" baseline="0"/>
            <a:t>- </a:t>
          </a:r>
          <a:r>
            <a:rPr lang="en-US" sz="1100" baseline="0">
              <a:solidFill>
                <a:srgbClr val="FF0000"/>
              </a:solidFill>
            </a:rPr>
            <a:t>If the proportion of LBW is </a:t>
          </a:r>
          <a:r>
            <a:rPr lang="en-US" sz="1100" b="1" baseline="0">
              <a:solidFill>
                <a:srgbClr val="FF0000"/>
              </a:solidFill>
            </a:rPr>
            <a:t>higher than 10%, </a:t>
          </a:r>
          <a:r>
            <a:rPr lang="en-US" sz="1100" baseline="0">
              <a:solidFill>
                <a:srgbClr val="FF0000"/>
              </a:solidFill>
            </a:rPr>
            <a:t>most of the LBW infants are SGA-LBW (full term-LBW)while </a:t>
          </a:r>
          <a:r>
            <a:rPr lang="en-US" sz="1100" b="1" baseline="0">
              <a:solidFill>
                <a:srgbClr val="FF0000"/>
              </a:solidFill>
            </a:rPr>
            <a:t>preterm birth remains unchanged  </a:t>
          </a:r>
          <a:r>
            <a:rPr lang="en-US" sz="1100" baseline="0">
              <a:solidFill>
                <a:srgbClr val="FF0000"/>
              </a:solidFill>
            </a:rPr>
            <a:t>(5-7%) of  total LBW.</a:t>
          </a:r>
        </a:p>
        <a:p>
          <a:r>
            <a:rPr lang="en-US" sz="1100" baseline="0">
              <a:solidFill>
                <a:srgbClr val="FF0000"/>
              </a:solidFill>
            </a:rPr>
            <a:t>- When the LBW proportion is </a:t>
          </a:r>
          <a:r>
            <a:rPr lang="en-US" sz="1100" b="1" baseline="0">
              <a:solidFill>
                <a:srgbClr val="FF0000"/>
              </a:solidFill>
            </a:rPr>
            <a:t>less than 10%, </a:t>
          </a:r>
          <a:r>
            <a:rPr lang="en-US" sz="1100" baseline="0">
              <a:solidFill>
                <a:srgbClr val="FF0000"/>
              </a:solidFill>
              <a:effectLst/>
              <a:latin typeface="+mn-lt"/>
              <a:ea typeface="+mn-ea"/>
              <a:cs typeface="+mn-cs"/>
            </a:rPr>
            <a:t>the majority of LBW is </a:t>
          </a:r>
          <a:r>
            <a:rPr lang="en-US" sz="1100" b="1" baseline="0">
              <a:solidFill>
                <a:srgbClr val="FF0000"/>
              </a:solidFill>
            </a:rPr>
            <a:t>perterm birth </a:t>
          </a:r>
          <a:r>
            <a:rPr lang="en-US" sz="1100" baseline="0"/>
            <a:t>. </a:t>
          </a:r>
          <a:endParaRPr lang="en-US" sz="1100"/>
        </a:p>
      </xdr:txBody>
    </xdr:sp>
    <xdr:clientData/>
  </xdr:twoCellAnchor>
  <xdr:twoCellAnchor>
    <xdr:from>
      <xdr:col>1</xdr:col>
      <xdr:colOff>0</xdr:colOff>
      <xdr:row>87</xdr:row>
      <xdr:rowOff>181476</xdr:rowOff>
    </xdr:from>
    <xdr:to>
      <xdr:col>13</xdr:col>
      <xdr:colOff>290262</xdr:colOff>
      <xdr:row>90</xdr:row>
      <xdr:rowOff>86226</xdr:rowOff>
    </xdr:to>
    <xdr:sp macro="" textlink="">
      <xdr:nvSpPr>
        <xdr:cNvPr id="14" name="TextBox 13">
          <a:extLst>
            <a:ext uri="{FF2B5EF4-FFF2-40B4-BE49-F238E27FC236}">
              <a16:creationId xmlns:a16="http://schemas.microsoft.com/office/drawing/2014/main" id="{00000000-0008-0000-0600-00000E000000}"/>
            </a:ext>
          </a:extLst>
        </xdr:cNvPr>
        <xdr:cNvSpPr txBox="1"/>
      </xdr:nvSpPr>
      <xdr:spPr>
        <a:xfrm>
          <a:off x="611605" y="16945476"/>
          <a:ext cx="7629525" cy="4762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100" b="0" i="0" baseline="0">
              <a:solidFill>
                <a:srgbClr val="FF0000"/>
              </a:solidFill>
              <a:effectLst/>
              <a:latin typeface="+mn-lt"/>
              <a:ea typeface="+mn-ea"/>
              <a:cs typeface="+mn-cs"/>
            </a:rPr>
            <a:t>Accordint to literature review:</a:t>
          </a:r>
        </a:p>
        <a:p>
          <a:r>
            <a:rPr lang="en-US" sz="1100" b="0" i="0" baseline="0">
              <a:solidFill>
                <a:srgbClr val="FF0000"/>
              </a:solidFill>
              <a:effectLst/>
              <a:latin typeface="+mn-lt"/>
              <a:ea typeface="+mn-ea"/>
              <a:cs typeface="+mn-cs"/>
            </a:rPr>
            <a:t>- </a:t>
          </a:r>
          <a:r>
            <a:rPr lang="en-US" sz="1100" b="0" i="0" u="none" strike="noStrike" baseline="0">
              <a:solidFill>
                <a:srgbClr val="FF0000"/>
              </a:solidFill>
              <a:latin typeface="+mn-lt"/>
              <a:ea typeface="+mn-ea"/>
              <a:cs typeface="+mn-cs"/>
            </a:rPr>
            <a:t>The incidence of LBW in Bhumibol Adulyadej Hospital was 11.37 % in 2011. </a:t>
          </a:r>
        </a:p>
      </xdr:txBody>
    </xdr:sp>
    <xdr:clientData/>
  </xdr:twoCellAnchor>
  <xdr:twoCellAnchor>
    <xdr:from>
      <xdr:col>1</xdr:col>
      <xdr:colOff>9525</xdr:colOff>
      <xdr:row>91</xdr:row>
      <xdr:rowOff>95751</xdr:rowOff>
    </xdr:from>
    <xdr:to>
      <xdr:col>13</xdr:col>
      <xdr:colOff>261687</xdr:colOff>
      <xdr:row>97</xdr:row>
      <xdr:rowOff>95751</xdr:rowOff>
    </xdr:to>
    <xdr:sp macro="" textlink="">
      <xdr:nvSpPr>
        <xdr:cNvPr id="15" name="TextBox 14">
          <a:extLst>
            <a:ext uri="{FF2B5EF4-FFF2-40B4-BE49-F238E27FC236}">
              <a16:creationId xmlns:a16="http://schemas.microsoft.com/office/drawing/2014/main" id="{00000000-0008-0000-0600-00000F000000}"/>
            </a:ext>
          </a:extLst>
        </xdr:cNvPr>
        <xdr:cNvSpPr txBox="1"/>
      </xdr:nvSpPr>
      <xdr:spPr>
        <a:xfrm>
          <a:off x="621130" y="17621751"/>
          <a:ext cx="7591425" cy="11430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 The mortality rate of VLBW was 16.10% or survival rate about 83.9%.</a:t>
          </a:r>
        </a:p>
        <a:p>
          <a:r>
            <a:rPr lang="en-US" sz="1100" b="0" i="0" u="none" strike="noStrike" baseline="0">
              <a:solidFill>
                <a:schemeClr val="dk1"/>
              </a:solidFill>
              <a:latin typeface="+mn-lt"/>
              <a:ea typeface="+mn-ea"/>
              <a:cs typeface="+mn-cs"/>
            </a:rPr>
            <a:t> ( Ref: The study of "Mortality rate and Risk factor of Infant with very low birth weight in Yasothon Hospital")</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r>
            <a:rPr lang="en-US" sz="1100" b="1" i="0" u="none" strike="noStrike" baseline="0">
              <a:solidFill>
                <a:schemeClr val="dk1"/>
              </a:solidFill>
              <a:latin typeface="+mn-lt"/>
              <a:ea typeface="+mn-ea"/>
              <a:cs typeface="+mn-cs"/>
            </a:rPr>
            <a:t>Neonatal mortality rate of LBW was 3.65 per thousand live birth. Early neonatal mortality rate was 2.16/1000 live birth and late neonatal mortality rate was 1.49/1000 live birth. </a:t>
          </a:r>
        </a:p>
        <a:p>
          <a:r>
            <a:rPr lang="en-US" sz="1100" b="1" i="0" u="none" strike="noStrike" baseline="0">
              <a:solidFill>
                <a:schemeClr val="dk1"/>
              </a:solidFill>
              <a:latin typeface="+mn-lt"/>
              <a:ea typeface="+mn-ea"/>
              <a:cs typeface="+mn-cs"/>
            </a:rPr>
            <a:t>(Ref: The study of " Mortality and morbidity of Low Birth Weight infants at Buriram hospital)</a:t>
          </a:r>
        </a:p>
        <a:p>
          <a:endParaRPr lang="en-US" sz="1100" b="0" i="0" u="none" strike="noStrike" baseline="0">
            <a:solidFill>
              <a:schemeClr val="dk1"/>
            </a:solidFill>
            <a:latin typeface="+mn-lt"/>
            <a:ea typeface="+mn-ea"/>
            <a:cs typeface="+mn-cs"/>
          </a:endParaRPr>
        </a:p>
        <a:p>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17463</xdr:colOff>
      <xdr:row>2</xdr:row>
      <xdr:rowOff>27781</xdr:rowOff>
    </xdr:from>
    <xdr:to>
      <xdr:col>10</xdr:col>
      <xdr:colOff>246063</xdr:colOff>
      <xdr:row>12</xdr:row>
      <xdr:rowOff>178196</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627063" y="408781"/>
          <a:ext cx="6924675" cy="2055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Primary outcomes</a:t>
          </a:r>
          <a:r>
            <a:rPr lang="en-US" sz="1100" baseline="0"/>
            <a:t> of long term disability</a:t>
          </a:r>
        </a:p>
        <a:p>
          <a:endParaRPr lang="en-US" sz="1100" baseline="0"/>
        </a:p>
        <a:p>
          <a:r>
            <a:rPr lang="en-US" sz="1100" baseline="0"/>
            <a:t>- Cerebral palsy (CP)</a:t>
          </a:r>
        </a:p>
        <a:p>
          <a:r>
            <a:rPr lang="en-US" sz="1100" baseline="0"/>
            <a:t>- Mental Retardation</a:t>
          </a:r>
        </a:p>
        <a:p>
          <a:r>
            <a:rPr lang="en-US" sz="1100" baseline="0"/>
            <a:t>- Hearing/ speech/ lanugage/behavioral impairments</a:t>
          </a:r>
        </a:p>
        <a:p>
          <a:r>
            <a:rPr lang="en-US" sz="1100" baseline="0"/>
            <a:t>- Visual impairments</a:t>
          </a:r>
        </a:p>
        <a:p>
          <a:r>
            <a:rPr lang="en-US" sz="1100" baseline="0"/>
            <a:t>- Adverse pulmonary function/ pulmonary impairment </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t>  (Bronchopulmonary dysplasia BPD)	                  </a:t>
          </a:r>
          <a:r>
            <a:rPr lang="en-US" sz="1100" b="0" baseline="0">
              <a:solidFill>
                <a:schemeClr val="dk1"/>
              </a:solidFill>
              <a:effectLst/>
              <a:latin typeface="+mn-lt"/>
              <a:ea typeface="+mn-ea"/>
              <a:cs typeface="+mn-cs"/>
            </a:rPr>
            <a:t>Mostly associated with </a:t>
          </a:r>
          <a:r>
            <a:rPr lang="en-US" sz="1100" b="1" baseline="0">
              <a:solidFill>
                <a:schemeClr val="dk1"/>
              </a:solidFill>
              <a:effectLst/>
              <a:latin typeface="+mn-lt"/>
              <a:ea typeface="+mn-ea"/>
              <a:cs typeface="+mn-cs"/>
            </a:rPr>
            <a:t>VLBW &amp; ELBW</a:t>
          </a:r>
          <a:endParaRPr lang="en-US" sz="1100" b="1" baseline="0"/>
        </a:p>
        <a:p>
          <a:r>
            <a:rPr lang="en-US" sz="1100" baseline="0"/>
            <a:t>- Disrupted grwoth / growth impairment	                  </a:t>
          </a:r>
        </a:p>
        <a:p>
          <a:r>
            <a:rPr lang="en-US" sz="1100" baseline="0"/>
            <a:t>  (problem with postnatal growth: weight and height of VLBW infants is significantly behind that of normal birth weight  infant.</a:t>
          </a:r>
        </a:p>
        <a:p>
          <a:endParaRPr lang="en-US" sz="1100"/>
        </a:p>
      </xdr:txBody>
    </xdr:sp>
    <xdr:clientData/>
  </xdr:twoCellAnchor>
  <xdr:twoCellAnchor>
    <xdr:from>
      <xdr:col>4</xdr:col>
      <xdr:colOff>266700</xdr:colOff>
      <xdr:row>8</xdr:row>
      <xdr:rowOff>47624</xdr:rowOff>
    </xdr:from>
    <xdr:to>
      <xdr:col>4</xdr:col>
      <xdr:colOff>312419</xdr:colOff>
      <xdr:row>10</xdr:row>
      <xdr:rowOff>19049</xdr:rowOff>
    </xdr:to>
    <xdr:sp macro="" textlink="">
      <xdr:nvSpPr>
        <xdr:cNvPr id="4" name="Right Bracket 3">
          <a:extLst>
            <a:ext uri="{FF2B5EF4-FFF2-40B4-BE49-F238E27FC236}">
              <a16:creationId xmlns:a16="http://schemas.microsoft.com/office/drawing/2014/main" id="{00000000-0008-0000-0700-000004000000}"/>
            </a:ext>
          </a:extLst>
        </xdr:cNvPr>
        <xdr:cNvSpPr/>
      </xdr:nvSpPr>
      <xdr:spPr>
        <a:xfrm>
          <a:off x="3914775" y="1571624"/>
          <a:ext cx="45719" cy="352425"/>
        </a:xfrm>
        <a:prstGeom prst="rightBracket">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4</xdr:col>
      <xdr:colOff>347266</xdr:colOff>
      <xdr:row>13</xdr:row>
      <xdr:rowOff>168672</xdr:rowOff>
    </xdr:from>
    <xdr:to>
      <xdr:col>10</xdr:col>
      <xdr:colOff>528240</xdr:colOff>
      <xdr:row>22</xdr:row>
      <xdr:rowOff>138906</xdr:rowOff>
    </xdr:to>
    <xdr:pic>
      <xdr:nvPicPr>
        <xdr:cNvPr id="5" name="Picture 4">
          <a:extLst>
            <a:ext uri="{FF2B5EF4-FFF2-40B4-BE49-F238E27FC236}">
              <a16:creationId xmlns:a16="http://schemas.microsoft.com/office/drawing/2014/main" id="{00000000-0008-0000-0700-000005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5385"/>
        <a:stretch/>
      </xdr:blipFill>
      <xdr:spPr bwMode="auto">
        <a:xfrm>
          <a:off x="3995341" y="2645172"/>
          <a:ext cx="3838574" cy="16847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561665</xdr:colOff>
      <xdr:row>50</xdr:row>
      <xdr:rowOff>57375</xdr:rowOff>
    </xdr:from>
    <xdr:to>
      <xdr:col>14</xdr:col>
      <xdr:colOff>326991</xdr:colOff>
      <xdr:row>61</xdr:row>
      <xdr:rowOff>35373</xdr:rowOff>
    </xdr:to>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5428940" y="9582375"/>
          <a:ext cx="4642126" cy="2121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VLBW </a:t>
          </a:r>
        </a:p>
        <a:p>
          <a:endParaRPr lang="en-US" sz="1200"/>
        </a:p>
        <a:p>
          <a:r>
            <a:rPr lang="en-US" sz="1200"/>
            <a:t>Neurosensory impairment </a:t>
          </a:r>
        </a:p>
        <a:p>
          <a:r>
            <a:rPr lang="en-US" sz="1200"/>
            <a:t>- CP : 5-8%</a:t>
          </a:r>
        </a:p>
        <a:p>
          <a:r>
            <a:rPr lang="en-US" sz="1200"/>
            <a:t>- Vision : 7% </a:t>
          </a:r>
        </a:p>
        <a:p>
          <a:r>
            <a:rPr lang="en-US" sz="1200"/>
            <a:t>-</a:t>
          </a:r>
          <a:r>
            <a:rPr lang="en-US" sz="1200" baseline="0"/>
            <a:t> Refraction error :12%</a:t>
          </a:r>
        </a:p>
        <a:p>
          <a:r>
            <a:rPr lang="en-US" sz="1200" baseline="0"/>
            <a:t>- Hearing loss : 8% </a:t>
          </a:r>
        </a:p>
        <a:p>
          <a:endParaRPr lang="en-US" sz="1200" baseline="0"/>
        </a:p>
        <a:p>
          <a:r>
            <a:rPr lang="en-US" sz="1200" baseline="0"/>
            <a:t>Ref: </a:t>
          </a:r>
          <a:r>
            <a:rPr lang="en-US" sz="1200" b="0" i="0" u="none" strike="noStrike" baseline="0">
              <a:solidFill>
                <a:schemeClr val="dk1"/>
              </a:solidFill>
              <a:latin typeface="+mn-lt"/>
              <a:ea typeface="+mn-ea"/>
              <a:cs typeface="+mn-cs"/>
            </a:rPr>
            <a:t>Young adult outcomes of very-low-birth-weight children</a:t>
          </a:r>
          <a:endParaRPr lang="en-US" sz="1200"/>
        </a:p>
      </xdr:txBody>
    </xdr:sp>
    <xdr:clientData/>
  </xdr:twoCellAnchor>
  <xdr:twoCellAnchor editAs="oneCell">
    <xdr:from>
      <xdr:col>1</xdr:col>
      <xdr:colOff>1</xdr:colOff>
      <xdr:row>63</xdr:row>
      <xdr:rowOff>158748</xdr:rowOff>
    </xdr:from>
    <xdr:to>
      <xdr:col>13</xdr:col>
      <xdr:colOff>304801</xdr:colOff>
      <xdr:row>85</xdr:row>
      <xdr:rowOff>122633</xdr:rowOff>
    </xdr:to>
    <xdr:pic>
      <xdr:nvPicPr>
        <xdr:cNvPr id="7" name="Picture 6">
          <a:extLst>
            <a:ext uri="{FF2B5EF4-FFF2-40B4-BE49-F238E27FC236}">
              <a16:creationId xmlns:a16="http://schemas.microsoft.com/office/drawing/2014/main" id="{00000000-0008-0000-07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5235" y="12084842"/>
          <a:ext cx="8778082" cy="41112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17</xdr:col>
      <xdr:colOff>58316</xdr:colOff>
      <xdr:row>2</xdr:row>
      <xdr:rowOff>126353</xdr:rowOff>
    </xdr:from>
    <xdr:to>
      <xdr:col>31</xdr:col>
      <xdr:colOff>601241</xdr:colOff>
      <xdr:row>9</xdr:row>
      <xdr:rowOff>320741</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10467780" y="456812"/>
          <a:ext cx="9115425" cy="6929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dk1"/>
              </a:solidFill>
              <a:effectLst/>
              <a:latin typeface="+mn-lt"/>
              <a:ea typeface="+mn-ea"/>
              <a:cs typeface="+mn-cs"/>
            </a:rPr>
            <a:t>References</a:t>
          </a:r>
        </a:p>
        <a:p>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Cole, C., Binney, G., Casey, P., Fiascone, J., Hagadorn, J., Kim, C., Lau, J., Wang, C., DeVine, D. and Miller, K., 2002. Criteria for Determining Disability in Infants and Children: Low Birth Weight: Summary.</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Kanjanasingh, T., 2014. The Association between Antenatal Care and Low Birth Weight newborn at. </a:t>
          </a:r>
          <a:r>
            <a:rPr lang="en-US" sz="1100" i="1">
              <a:solidFill>
                <a:schemeClr val="dk1"/>
              </a:solidFill>
              <a:effectLst/>
              <a:latin typeface="+mn-lt"/>
              <a:ea typeface="+mn-ea"/>
              <a:cs typeface="+mn-cs"/>
            </a:rPr>
            <a:t>Royal Thai Airforce Medical Gazette</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59</a:t>
          </a:r>
          <a:r>
            <a:rPr lang="en-US" sz="1100">
              <a:solidFill>
                <a:schemeClr val="dk1"/>
              </a:solidFill>
              <a:effectLst/>
              <a:latin typeface="+mn-lt"/>
              <a:ea typeface="+mn-ea"/>
              <a:cs typeface="+mn-cs"/>
            </a:rPr>
            <a:t>(2), pp.9-13.</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Cate Joyce, Marc Goodman-Bryan, Angelica Hardin, 2012. PRETERM BIRTH AND LOW BIRTH WEIGHT. </a:t>
          </a:r>
          <a:r>
            <a:rPr lang="en-US" sz="1100" u="sng">
              <a:solidFill>
                <a:schemeClr val="dk1"/>
              </a:solidFill>
              <a:effectLst/>
              <a:latin typeface="+mn-lt"/>
              <a:ea typeface="+mn-ea"/>
              <a:cs typeface="+mn-cs"/>
              <a:hlinkClick xmlns:r="http://schemas.openxmlformats.org/officeDocument/2006/relationships" r:id=""/>
            </a:rPr>
            <a:t>http://www.theurbanchildinstitute.org</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Mortality and morbidity of low birth weight infants at Buriram Hospital (Thai language).</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Mortality rate and Risk factor of Infant with very low birth weight in Yasothon Hospital. (Thai language).</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Extremely Low Birth Weight NICU Graduate Supplement to the Critical Elements of Care for the Low Birth Weight Neonatal Intensive Care Graduate (CEC-LBW) Available at: </a:t>
          </a:r>
          <a:r>
            <a:rPr lang="en-US" sz="1100" u="sng">
              <a:solidFill>
                <a:schemeClr val="dk1"/>
              </a:solidFill>
              <a:effectLst/>
              <a:latin typeface="+mn-lt"/>
              <a:ea typeface="+mn-ea"/>
              <a:cs typeface="+mn-cs"/>
              <a:hlinkClick xmlns:r="http://schemas.openxmlformats.org/officeDocument/2006/relationships" r:id=""/>
            </a:rPr>
            <a:t>http://www.medicalhome.org</a:t>
          </a:r>
          <a:r>
            <a:rPr lang="en-US" sz="1100">
              <a:solidFill>
                <a:schemeClr val="dk1"/>
              </a:solidFill>
              <a:effectLst/>
              <a:latin typeface="+mn-lt"/>
              <a:ea typeface="+mn-ea"/>
              <a:cs typeface="+mn-cs"/>
            </a:rPr>
            <a:t> March 2004</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Shillcutt, S.D., Lefevre, A.E., Lee, A.C., Baqui, A.H., Black, R.E. and Darmstadt, G.L., 2013. Forecasting burden of long-term disability from neonatal conditions: results from the Projahnmo I trial, Sylhet, Bangladesh.</a:t>
          </a:r>
          <a:r>
            <a:rPr lang="en-US" sz="1100" i="1">
              <a:solidFill>
                <a:schemeClr val="dk1"/>
              </a:solidFill>
              <a:effectLst/>
              <a:latin typeface="+mn-lt"/>
              <a:ea typeface="+mn-ea"/>
              <a:cs typeface="+mn-cs"/>
            </a:rPr>
            <a:t>Health policy and planning</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28</a:t>
          </a:r>
          <a:r>
            <a:rPr lang="en-US" sz="1100">
              <a:solidFill>
                <a:schemeClr val="dk1"/>
              </a:solidFill>
              <a:effectLst/>
              <a:latin typeface="+mn-lt"/>
              <a:ea typeface="+mn-ea"/>
              <a:cs typeface="+mn-cs"/>
            </a:rPr>
            <a:t>(4), pp.435-452.</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Shibuya K, Murray CJL. 1998: Low Birth Weight. In: Murray CJL, &amp; Lopez, A.D., ed.  Health dimensions of sex and reproduction: the global burden of sexually transmitted diseases, HIV, maternal conditions, perinatal disorders, and congenital anomalies. Boston: The Harvard School of Public Health, 389-428. Global Burden of Disease and Injury Series; (</a:t>
          </a:r>
          <a:r>
            <a:rPr lang="en-US" sz="1100">
              <a:solidFill>
                <a:srgbClr val="FF0000"/>
              </a:solidFill>
              <a:effectLst/>
              <a:latin typeface="+mn-lt"/>
              <a:ea typeface="+mn-ea"/>
              <a:cs typeface="+mn-cs"/>
            </a:rPr>
            <a:t>Book reference</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Chen, Y., Li, G., Ruan, Y., Zou, L., Wang, X. and Zhang, W., 2013. An epidemiological survey on low birth weight infants in China and analysis of outcomes of full-term low birth weight infants. </a:t>
          </a:r>
          <a:r>
            <a:rPr lang="en-US" sz="1100" i="1">
              <a:solidFill>
                <a:schemeClr val="dk1"/>
              </a:solidFill>
              <a:effectLst/>
              <a:latin typeface="+mn-lt"/>
              <a:ea typeface="+mn-ea"/>
              <a:cs typeface="+mn-cs"/>
            </a:rPr>
            <a:t>BMC pregnancy and childbirth</a:t>
          </a:r>
          <a:r>
            <a:rPr lang="en-US" sz="1100">
              <a:solidFill>
                <a:schemeClr val="dk1"/>
              </a:solidFill>
              <a:effectLst/>
              <a:latin typeface="+mn-lt"/>
              <a:ea typeface="+mn-ea"/>
              <a:cs typeface="+mn-cs"/>
            </a:rPr>
            <a:t>,</a:t>
          </a:r>
          <a:r>
            <a:rPr lang="en-US" sz="1100" i="1">
              <a:solidFill>
                <a:schemeClr val="dk1"/>
              </a:solidFill>
              <a:effectLst/>
              <a:latin typeface="+mn-lt"/>
              <a:ea typeface="+mn-ea"/>
              <a:cs typeface="+mn-cs"/>
            </a:rPr>
            <a:t>13</a:t>
          </a:r>
          <a:r>
            <a:rPr lang="en-US" sz="1100">
              <a:solidFill>
                <a:schemeClr val="dk1"/>
              </a:solidFill>
              <a:effectLst/>
              <a:latin typeface="+mn-lt"/>
              <a:ea typeface="+mn-ea"/>
              <a:cs typeface="+mn-cs"/>
            </a:rPr>
            <a:t>(1), p.1.</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Thompson, J.R., Carter, R.L., Edwards, A.R., Roth, J., Ariet, M., Ross, N.L. and Resnick, M.B., 2003. A population-based study of the effects of birth weight on early developmental delay or disability in children. </a:t>
          </a:r>
          <a:r>
            <a:rPr lang="en-US" sz="1100" i="1">
              <a:solidFill>
                <a:schemeClr val="dk1"/>
              </a:solidFill>
              <a:effectLst/>
              <a:latin typeface="+mn-lt"/>
              <a:ea typeface="+mn-ea"/>
              <a:cs typeface="+mn-cs"/>
            </a:rPr>
            <a:t>American Journal of Perinatology</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20</a:t>
          </a:r>
          <a:r>
            <a:rPr lang="en-US" sz="1100">
              <a:solidFill>
                <a:schemeClr val="dk1"/>
              </a:solidFill>
              <a:effectLst/>
              <a:latin typeface="+mn-lt"/>
              <a:ea typeface="+mn-ea"/>
              <a:cs typeface="+mn-cs"/>
            </a:rPr>
            <a:t>(6), pp.321-332.</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Hack, M., 2006, April. Young adult outcomes of very-low-birth-weight children. In </a:t>
          </a:r>
          <a:r>
            <a:rPr lang="en-US" sz="1100" i="1">
              <a:solidFill>
                <a:schemeClr val="dk1"/>
              </a:solidFill>
              <a:effectLst/>
              <a:latin typeface="+mn-lt"/>
              <a:ea typeface="+mn-ea"/>
              <a:cs typeface="+mn-cs"/>
            </a:rPr>
            <a:t>Seminars in Fetal and Neonatal Medicine</a:t>
          </a:r>
          <a:r>
            <a:rPr lang="en-US" sz="1100">
              <a:solidFill>
                <a:schemeClr val="dk1"/>
              </a:solidFill>
              <a:effectLst/>
              <a:latin typeface="+mn-lt"/>
              <a:ea typeface="+mn-ea"/>
              <a:cs typeface="+mn-cs"/>
            </a:rPr>
            <a:t> (Vol. 11, No. 2, pp. 127-137). WB Saunders.</a:t>
          </a:r>
        </a:p>
        <a:p>
          <a:pPr lvl="0"/>
          <a:endParaRPr lang="en-US" sz="1100">
            <a:solidFill>
              <a:schemeClr val="dk1"/>
            </a:solidFill>
            <a:effectLst/>
            <a:latin typeface="+mn-lt"/>
            <a:ea typeface="+mn-ea"/>
            <a:cs typeface="+mn-cs"/>
          </a:endParaRPr>
        </a:p>
        <a:p>
          <a:pPr lvl="0"/>
          <a:r>
            <a:rPr lang="en-US" sz="1100" b="0" i="0">
              <a:solidFill>
                <a:schemeClr val="dk1"/>
              </a:solidFill>
              <a:effectLst/>
              <a:latin typeface="+mn-lt"/>
              <a:ea typeface="+mn-ea"/>
              <a:cs typeface="+mn-cs"/>
            </a:rPr>
            <a:t>Samuelsen, S.O., Magnus, P. and Bakketeig, L.S., 1998. Birth weight and mortality in childhood in Norway. </a:t>
          </a:r>
          <a:r>
            <a:rPr lang="en-US" sz="1100" b="0" i="1">
              <a:solidFill>
                <a:schemeClr val="dk1"/>
              </a:solidFill>
              <a:effectLst/>
              <a:latin typeface="+mn-lt"/>
              <a:ea typeface="+mn-ea"/>
              <a:cs typeface="+mn-cs"/>
            </a:rPr>
            <a:t>American journal of epidemiology</a:t>
          </a:r>
          <a:r>
            <a:rPr lang="en-US" sz="1100" b="0" i="0">
              <a:solidFill>
                <a:schemeClr val="dk1"/>
              </a:solidFill>
              <a:effectLst/>
              <a:latin typeface="+mn-lt"/>
              <a:ea typeface="+mn-ea"/>
              <a:cs typeface="+mn-cs"/>
            </a:rPr>
            <a:t>, </a:t>
          </a:r>
          <a:r>
            <a:rPr lang="en-US" sz="1100" b="0" i="1">
              <a:solidFill>
                <a:schemeClr val="dk1"/>
              </a:solidFill>
              <a:effectLst/>
              <a:latin typeface="+mn-lt"/>
              <a:ea typeface="+mn-ea"/>
              <a:cs typeface="+mn-cs"/>
            </a:rPr>
            <a:t>148</a:t>
          </a:r>
          <a:r>
            <a:rPr lang="en-US" sz="1100" b="0" i="0">
              <a:solidFill>
                <a:schemeClr val="dk1"/>
              </a:solidFill>
              <a:effectLst/>
              <a:latin typeface="+mn-lt"/>
              <a:ea typeface="+mn-ea"/>
              <a:cs typeface="+mn-cs"/>
            </a:rPr>
            <a:t>(10), pp.983-991.</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The burden of disease and injury in Australia 2003</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S’pore Burden of disease (Appendix only)</a:t>
          </a:r>
        </a:p>
        <a:p>
          <a:r>
            <a:rPr lang="en-US" sz="1100">
              <a:solidFill>
                <a:schemeClr val="dk1"/>
              </a:solidFill>
              <a:effectLst/>
              <a:latin typeface="+mn-lt"/>
              <a:ea typeface="+mn-ea"/>
              <a:cs typeface="+mn-cs"/>
            </a:rPr>
            <a:t> </a:t>
          </a:r>
        </a:p>
        <a:p>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40822</xdr:colOff>
      <xdr:row>30</xdr:row>
      <xdr:rowOff>176894</xdr:rowOff>
    </xdr:from>
    <xdr:to>
      <xdr:col>8</xdr:col>
      <xdr:colOff>966107</xdr:colOff>
      <xdr:row>36</xdr:row>
      <xdr:rowOff>58318</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1877786" y="9672736"/>
          <a:ext cx="10440566"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2009 calculation,</a:t>
          </a:r>
        </a:p>
        <a:p>
          <a:endParaRPr lang="en-US" sz="1100"/>
        </a:p>
        <a:p>
          <a:r>
            <a:rPr lang="en-US" sz="1100"/>
            <a:t>- Survival</a:t>
          </a:r>
          <a:r>
            <a:rPr lang="en-US" sz="1100" baseline="0"/>
            <a:t> rate didn't calculate seperately. They assume that the reported LBW cases are survive. </a:t>
          </a:r>
        </a:p>
        <a:p>
          <a:r>
            <a:rPr lang="en-US" sz="1100" baseline="0"/>
            <a:t>- Mental retardation, CP and other disability (mild permanent disability) proportion are difference with 2009. (2009 all the proportion are references from shibuya and murray 1998).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Users/Administrator/Desktop/YLD2009/D%20Perinatal%20conditions/_D-01-Low%20birth%20weight2004_JT_17Jun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hpp1/bod/DALY%202557/BOD%202014_Final/YLD%202014%20Templates/THBOD201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2 YLDs"/>
      <sheetName val="perinatal RR=2"/>
      <sheetName val="livebirths"/>
      <sheetName val="BW"/>
      <sheetName val="BW_govHosp"/>
      <sheetName val="NOTE"/>
      <sheetName val="Model summary"/>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sheetName val="DeathRate"/>
      <sheetName val="Death"/>
      <sheetName val="YLL(0,0)"/>
      <sheetName val="YLL(3,0)"/>
      <sheetName val="YLL(3,1)"/>
      <sheetName val="YLD(0,0)"/>
      <sheetName val="YLD(3,0)"/>
      <sheetName val="DALY(0,0)"/>
      <sheetName val="DALY(3,0)"/>
      <sheetName val="Death (2)"/>
      <sheetName val="YLL(0,0) (2)"/>
      <sheetName val="YLL(3,0) (2)"/>
      <sheetName val="YLD(0,0) (2)"/>
      <sheetName val="YLD(3,0) (2)"/>
      <sheetName val="DALY(0,0) (2)"/>
      <sheetName val="DALY(3,0) (2)"/>
      <sheetName val="Top20"/>
    </sheetNames>
    <sheetDataSet>
      <sheetData sheetId="0">
        <row r="4">
          <cell r="D4">
            <v>1966319</v>
          </cell>
          <cell r="E4">
            <v>4179206</v>
          </cell>
          <cell r="F4">
            <v>7301822</v>
          </cell>
          <cell r="G4">
            <v>7896765</v>
          </cell>
          <cell r="H4">
            <v>6554289</v>
          </cell>
          <cell r="I4">
            <v>2344057</v>
          </cell>
          <cell r="J4">
            <v>1173067</v>
          </cell>
          <cell r="K4">
            <v>506965</v>
          </cell>
          <cell r="L4">
            <v>31922490</v>
          </cell>
          <cell r="N4">
            <v>1849075</v>
          </cell>
          <cell r="O4">
            <v>3940160</v>
          </cell>
          <cell r="P4">
            <v>7026158.1752900956</v>
          </cell>
          <cell r="Q4">
            <v>8017814</v>
          </cell>
          <cell r="R4">
            <v>7162204</v>
          </cell>
          <cell r="S4">
            <v>2739970.5356088658</v>
          </cell>
          <cell r="T4">
            <v>1513246</v>
          </cell>
          <cell r="U4">
            <v>784195.44620730029</v>
          </cell>
          <cell r="V4">
            <v>33032823.157106262</v>
          </cell>
          <cell r="W4">
            <v>64955313.157106265</v>
          </cell>
        </row>
      </sheetData>
      <sheetData sheetId="1"/>
      <sheetData sheetId="2">
        <row r="71">
          <cell r="H71">
            <v>1264.2549108879027</v>
          </cell>
          <cell r="I71">
            <v>473.05192581447091</v>
          </cell>
          <cell r="K71">
            <v>1264.2549108879027</v>
          </cell>
          <cell r="L71">
            <v>0</v>
          </cell>
          <cell r="M71">
            <v>0</v>
          </cell>
          <cell r="N71">
            <v>0</v>
          </cell>
          <cell r="O71">
            <v>0</v>
          </cell>
          <cell r="P71">
            <v>0</v>
          </cell>
          <cell r="Q71">
            <v>0</v>
          </cell>
          <cell r="R71">
            <v>0</v>
          </cell>
          <cell r="T71">
            <v>473.05192581447091</v>
          </cell>
          <cell r="U71">
            <v>0</v>
          </cell>
          <cell r="V71">
            <v>0</v>
          </cell>
          <cell r="W71">
            <v>0</v>
          </cell>
          <cell r="X71">
            <v>0</v>
          </cell>
          <cell r="Y71">
            <v>0</v>
          </cell>
          <cell r="Z71">
            <v>0</v>
          </cell>
          <cell r="AA71">
            <v>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ocial.nesdb.go.th/SocialStat/StatReport_Final.aspx?reportid=214&amp;template=1R3C&amp;yeartype=O&amp;subcatid=15"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1"/>
  <sheetViews>
    <sheetView topLeftCell="A133" zoomScale="80" zoomScaleNormal="80" workbookViewId="0">
      <selection activeCell="B138" sqref="B138"/>
    </sheetView>
  </sheetViews>
  <sheetFormatPr baseColWidth="10" defaultColWidth="9.1640625" defaultRowHeight="15"/>
  <cols>
    <col min="1" max="1" width="25.83203125" style="130" customWidth="1"/>
    <col min="2" max="9" width="11.1640625" style="130" customWidth="1"/>
    <col min="10" max="10" width="12.1640625" style="130" customWidth="1"/>
    <col min="11" max="11" width="11.83203125" style="130" customWidth="1"/>
    <col min="12" max="12" width="11" style="130" customWidth="1"/>
    <col min="13" max="13" width="14.5" style="136" customWidth="1"/>
    <col min="14" max="14" width="23.5" style="133" customWidth="1"/>
    <col min="15" max="15" width="12.6640625" style="133" customWidth="1"/>
    <col min="16" max="16" width="11.1640625" style="137" customWidth="1"/>
    <col min="17" max="17" width="9.1640625" style="130"/>
    <col min="18" max="18" width="9.5" style="130" customWidth="1"/>
    <col min="19" max="16384" width="9.1640625" style="130"/>
  </cols>
  <sheetData>
    <row r="1" spans="1:11" ht="24" customHeight="1">
      <c r="A1" s="402" t="s">
        <v>242</v>
      </c>
      <c r="B1" s="402"/>
      <c r="C1" s="402"/>
      <c r="D1" s="402"/>
      <c r="E1" s="402"/>
      <c r="F1" s="132"/>
      <c r="G1" s="133"/>
      <c r="H1" s="133"/>
      <c r="I1" s="134"/>
      <c r="J1" s="135"/>
      <c r="K1" s="128"/>
    </row>
    <row r="2" spans="1:11" ht="24" customHeight="1">
      <c r="A2" s="402" t="s">
        <v>243</v>
      </c>
      <c r="B2" s="402"/>
      <c r="C2" s="402"/>
      <c r="D2" s="402"/>
      <c r="E2" s="402"/>
      <c r="F2" s="128"/>
      <c r="G2" s="128"/>
      <c r="H2" s="133"/>
      <c r="I2" s="134"/>
      <c r="J2" s="135"/>
      <c r="K2" s="128"/>
    </row>
    <row r="3" spans="1:11" ht="23.25" customHeight="1">
      <c r="A3" s="402" t="s">
        <v>244</v>
      </c>
      <c r="B3" s="402"/>
      <c r="C3" s="402"/>
      <c r="D3" s="402"/>
      <c r="E3" s="402"/>
      <c r="F3" s="128"/>
      <c r="G3" s="133"/>
      <c r="H3" s="133"/>
      <c r="I3" s="138"/>
      <c r="J3" s="128"/>
      <c r="K3" s="139"/>
    </row>
    <row r="4" spans="1:11" ht="25.5" customHeight="1">
      <c r="A4" s="402" t="s">
        <v>347</v>
      </c>
      <c r="B4" s="402"/>
      <c r="C4" s="402"/>
      <c r="D4" s="402"/>
      <c r="E4" s="402"/>
      <c r="F4" s="128"/>
      <c r="G4" s="133"/>
      <c r="H4" s="133"/>
      <c r="I4" s="138"/>
      <c r="J4" s="128"/>
      <c r="K4" s="139"/>
    </row>
    <row r="5" spans="1:11" ht="24" customHeight="1">
      <c r="A5" s="402" t="s">
        <v>245</v>
      </c>
      <c r="B5" s="402"/>
      <c r="C5" s="402"/>
      <c r="D5" s="402"/>
      <c r="E5" s="402"/>
      <c r="F5" s="128"/>
      <c r="G5" s="133"/>
      <c r="H5" s="133"/>
      <c r="I5" s="138"/>
      <c r="J5" s="128"/>
      <c r="K5" s="139"/>
    </row>
    <row r="6" spans="1:11">
      <c r="A6" s="402" t="s">
        <v>333</v>
      </c>
      <c r="B6" s="402"/>
      <c r="C6" s="402"/>
      <c r="D6" s="402"/>
      <c r="E6" s="402"/>
      <c r="F6" s="128"/>
      <c r="G6" s="133"/>
      <c r="H6" s="133"/>
      <c r="I6" s="138"/>
      <c r="J6" s="128"/>
      <c r="K6" s="139"/>
    </row>
    <row r="7" spans="1:11">
      <c r="A7" s="359"/>
      <c r="B7" s="359"/>
      <c r="C7" s="359"/>
      <c r="D7" s="359"/>
      <c r="E7" s="359"/>
      <c r="F7" s="128"/>
      <c r="G7" s="133"/>
      <c r="H7" s="133"/>
      <c r="I7" s="138"/>
      <c r="J7" s="128"/>
      <c r="K7" s="139"/>
    </row>
    <row r="8" spans="1:11">
      <c r="A8" s="136"/>
      <c r="B8" s="136"/>
      <c r="C8" s="136"/>
      <c r="D8" s="136"/>
      <c r="E8" s="136"/>
      <c r="F8" s="140"/>
      <c r="G8" s="140"/>
    </row>
    <row r="9" spans="1:11">
      <c r="A9" s="141" t="s">
        <v>1</v>
      </c>
      <c r="B9" s="142"/>
      <c r="C9" s="140"/>
      <c r="D9" s="143"/>
      <c r="E9" s="144"/>
      <c r="F9" s="140"/>
      <c r="G9" s="140"/>
    </row>
    <row r="10" spans="1:11">
      <c r="A10" s="140"/>
      <c r="B10" s="140"/>
      <c r="C10" s="140"/>
      <c r="D10" s="143"/>
      <c r="E10" s="144"/>
      <c r="F10" s="140"/>
      <c r="G10" s="140"/>
    </row>
    <row r="11" spans="1:11">
      <c r="A11" s="140"/>
      <c r="B11" s="140"/>
      <c r="C11" s="140"/>
      <c r="D11" s="143"/>
      <c r="E11" s="144"/>
      <c r="F11" s="140"/>
      <c r="G11" s="140"/>
    </row>
    <row r="12" spans="1:11">
      <c r="A12" s="140"/>
      <c r="B12" s="140"/>
      <c r="C12" s="140"/>
      <c r="D12" s="143"/>
      <c r="E12" s="144"/>
      <c r="F12" s="140"/>
      <c r="G12" s="140"/>
    </row>
    <row r="13" spans="1:11">
      <c r="A13" s="140"/>
      <c r="B13" s="140"/>
      <c r="C13" s="140"/>
      <c r="D13" s="143"/>
      <c r="E13" s="144"/>
      <c r="F13" s="140"/>
      <c r="G13" s="140"/>
    </row>
    <row r="14" spans="1:11">
      <c r="A14" s="140"/>
      <c r="B14" s="140"/>
      <c r="C14" s="140"/>
      <c r="D14" s="143"/>
      <c r="E14" s="144"/>
      <c r="F14" s="140"/>
      <c r="G14" s="140"/>
    </row>
    <row r="15" spans="1:11">
      <c r="A15" s="140"/>
      <c r="B15" s="140"/>
      <c r="C15" s="140"/>
      <c r="D15" s="143"/>
      <c r="E15" s="144"/>
      <c r="F15" s="140"/>
      <c r="G15" s="140"/>
    </row>
    <row r="16" spans="1:11">
      <c r="A16" s="140"/>
      <c r="B16" s="140"/>
      <c r="C16" s="140"/>
      <c r="D16" s="143"/>
      <c r="E16" s="144"/>
      <c r="F16" s="140"/>
      <c r="G16" s="140"/>
    </row>
    <row r="17" spans="1:18">
      <c r="A17" s="145"/>
      <c r="B17" s="146" t="s">
        <v>2</v>
      </c>
      <c r="C17" s="146"/>
      <c r="D17" s="147"/>
      <c r="E17" s="148" t="s">
        <v>3</v>
      </c>
      <c r="F17" s="147"/>
      <c r="G17" s="146" t="s">
        <v>4</v>
      </c>
      <c r="H17" s="146" t="s">
        <v>5</v>
      </c>
      <c r="I17" s="147"/>
      <c r="J17" s="147"/>
      <c r="K17" s="147"/>
    </row>
    <row r="18" spans="1:18" ht="15" customHeight="1">
      <c r="A18" s="145"/>
      <c r="B18" s="149" t="s">
        <v>0</v>
      </c>
      <c r="C18" s="150"/>
      <c r="D18" s="151"/>
      <c r="E18" s="152"/>
      <c r="F18" s="152"/>
      <c r="G18" s="152"/>
      <c r="H18" s="403" t="s">
        <v>240</v>
      </c>
      <c r="I18" s="403"/>
      <c r="J18" s="403"/>
      <c r="K18" s="403"/>
    </row>
    <row r="19" spans="1:18" ht="15" customHeight="1">
      <c r="A19" s="145"/>
      <c r="B19" s="149"/>
      <c r="C19" s="150"/>
      <c r="D19" s="151"/>
      <c r="E19" s="154" t="s">
        <v>6</v>
      </c>
      <c r="F19" s="154"/>
      <c r="G19" s="154"/>
      <c r="H19" s="153"/>
      <c r="I19" s="153"/>
      <c r="J19" s="153"/>
      <c r="K19" s="153"/>
    </row>
    <row r="20" spans="1:18" ht="16">
      <c r="A20" s="145"/>
      <c r="B20" s="149" t="s">
        <v>4</v>
      </c>
      <c r="C20" s="150"/>
      <c r="D20" s="151"/>
      <c r="E20" s="151" t="s">
        <v>7</v>
      </c>
      <c r="F20" s="154"/>
      <c r="G20" s="154"/>
      <c r="H20" s="153" t="s">
        <v>4</v>
      </c>
      <c r="I20" s="153"/>
      <c r="J20" s="153"/>
      <c r="K20" s="153"/>
    </row>
    <row r="21" spans="1:18">
      <c r="A21" s="145"/>
      <c r="B21" s="149"/>
      <c r="C21" s="150"/>
      <c r="D21" s="151"/>
      <c r="E21" s="151" t="s">
        <v>8</v>
      </c>
      <c r="F21" s="154"/>
      <c r="G21" s="154"/>
      <c r="H21" s="153"/>
      <c r="I21" s="153"/>
      <c r="J21" s="153"/>
      <c r="K21" s="153"/>
    </row>
    <row r="22" spans="1:18">
      <c r="A22" s="145"/>
      <c r="B22" s="149"/>
      <c r="C22" s="150"/>
      <c r="D22" s="151"/>
      <c r="E22" s="151" t="s">
        <v>9</v>
      </c>
      <c r="F22" s="154"/>
      <c r="G22" s="154"/>
      <c r="H22" s="153"/>
      <c r="I22" s="153"/>
      <c r="J22" s="153"/>
      <c r="K22" s="153"/>
    </row>
    <row r="23" spans="1:18" ht="15" customHeight="1">
      <c r="A23" s="145"/>
      <c r="B23" s="149" t="s">
        <v>4</v>
      </c>
      <c r="C23" s="150"/>
      <c r="D23" s="151"/>
      <c r="E23" s="151" t="s">
        <v>10</v>
      </c>
      <c r="F23" s="154"/>
      <c r="G23" s="154"/>
      <c r="H23" s="153" t="s">
        <v>4</v>
      </c>
      <c r="I23" s="153"/>
      <c r="J23" s="153"/>
      <c r="K23" s="153"/>
    </row>
    <row r="24" spans="1:18" ht="15" customHeight="1">
      <c r="A24" s="145"/>
      <c r="B24" s="149" t="s">
        <v>4</v>
      </c>
      <c r="C24" s="149"/>
      <c r="D24" s="155"/>
      <c r="E24" s="151" t="s">
        <v>11</v>
      </c>
      <c r="F24" s="156"/>
      <c r="G24" s="156"/>
      <c r="H24" s="153" t="s">
        <v>12</v>
      </c>
      <c r="I24" s="153"/>
      <c r="J24" s="153"/>
      <c r="K24" s="153"/>
    </row>
    <row r="25" spans="1:18" ht="15" customHeight="1">
      <c r="A25" s="145"/>
      <c r="B25" s="149" t="s">
        <v>4</v>
      </c>
      <c r="C25" s="149"/>
      <c r="D25" s="155"/>
      <c r="E25" s="151" t="s">
        <v>13</v>
      </c>
      <c r="F25" s="156"/>
      <c r="G25" s="156"/>
      <c r="H25" s="153" t="s">
        <v>14</v>
      </c>
      <c r="I25" s="153"/>
      <c r="J25" s="153"/>
      <c r="K25" s="153"/>
      <c r="N25" s="132"/>
    </row>
    <row r="26" spans="1:18" ht="16.5" customHeight="1">
      <c r="A26" s="145"/>
      <c r="B26" s="149" t="s">
        <v>4</v>
      </c>
      <c r="C26" s="149"/>
      <c r="D26" s="155"/>
      <c r="E26" s="151" t="s">
        <v>15</v>
      </c>
      <c r="F26" s="156"/>
      <c r="G26" s="156"/>
      <c r="H26" s="153" t="s">
        <v>16</v>
      </c>
      <c r="I26" s="153"/>
      <c r="J26" s="153"/>
      <c r="K26" s="153"/>
      <c r="N26" s="132"/>
    </row>
    <row r="27" spans="1:18" ht="16.5" customHeight="1">
      <c r="A27" s="145"/>
      <c r="B27" s="157" t="s">
        <v>4</v>
      </c>
      <c r="C27" s="157"/>
      <c r="D27" s="158"/>
      <c r="E27" s="158" t="s">
        <v>17</v>
      </c>
      <c r="F27" s="159"/>
      <c r="G27" s="159"/>
      <c r="H27" s="160" t="s">
        <v>18</v>
      </c>
      <c r="I27" s="160"/>
      <c r="J27" s="160"/>
      <c r="K27" s="160"/>
      <c r="N27" s="132"/>
      <c r="R27" s="129"/>
    </row>
    <row r="28" spans="1:18" ht="16.5" hidden="1" customHeight="1">
      <c r="A28" s="145"/>
      <c r="B28" s="150"/>
      <c r="C28" s="150"/>
      <c r="D28" s="151"/>
      <c r="E28" s="151"/>
      <c r="F28" s="156"/>
      <c r="G28" s="156"/>
      <c r="H28" s="153"/>
      <c r="I28" s="153"/>
      <c r="J28" s="153"/>
      <c r="K28" s="153"/>
      <c r="N28" s="132"/>
      <c r="R28" s="129"/>
    </row>
    <row r="29" spans="1:18" ht="7.5" hidden="1" customHeight="1">
      <c r="A29" s="145"/>
      <c r="B29" s="150"/>
      <c r="C29" s="150"/>
      <c r="D29" s="151"/>
      <c r="E29" s="151"/>
      <c r="F29" s="156"/>
      <c r="G29" s="156"/>
      <c r="H29" s="153"/>
      <c r="I29" s="153"/>
      <c r="J29" s="153"/>
      <c r="K29" s="153"/>
      <c r="N29" s="132"/>
      <c r="R29" s="129"/>
    </row>
    <row r="30" spans="1:18" ht="16.5" hidden="1" customHeight="1">
      <c r="A30" s="145"/>
      <c r="B30" s="150"/>
      <c r="C30" s="150"/>
      <c r="D30" s="151"/>
      <c r="E30" s="151"/>
      <c r="F30" s="156"/>
      <c r="G30" s="156"/>
      <c r="H30" s="153"/>
      <c r="I30" s="153"/>
      <c r="J30" s="153"/>
      <c r="K30" s="153"/>
      <c r="N30" s="132"/>
      <c r="R30" s="129"/>
    </row>
    <row r="31" spans="1:18" ht="16.5" customHeight="1">
      <c r="A31" s="145"/>
      <c r="B31" s="161"/>
      <c r="C31" s="161"/>
      <c r="D31" s="162"/>
      <c r="E31" s="162"/>
      <c r="F31" s="161"/>
      <c r="G31" s="161"/>
      <c r="H31" s="129"/>
      <c r="I31" s="129"/>
      <c r="J31" s="129"/>
      <c r="K31" s="129"/>
      <c r="N31" s="132"/>
      <c r="R31" s="129"/>
    </row>
    <row r="32" spans="1:18" ht="16.5" customHeight="1">
      <c r="A32" s="163" t="s">
        <v>19</v>
      </c>
      <c r="B32" s="146" t="s">
        <v>20</v>
      </c>
      <c r="C32" s="146"/>
      <c r="D32" s="148"/>
      <c r="E32" s="148" t="s">
        <v>21</v>
      </c>
      <c r="F32" s="146" t="s">
        <v>22</v>
      </c>
      <c r="G32" s="164"/>
      <c r="H32" s="147"/>
      <c r="I32" s="147"/>
      <c r="J32" s="147"/>
      <c r="K32" s="147"/>
      <c r="N32" s="132"/>
      <c r="R32" s="129"/>
    </row>
    <row r="33" spans="1:18" ht="16.5" customHeight="1">
      <c r="A33" s="145"/>
      <c r="B33" s="149" t="s">
        <v>6</v>
      </c>
      <c r="C33" s="149"/>
      <c r="D33" s="155"/>
      <c r="E33" s="165">
        <v>0.11</v>
      </c>
      <c r="F33" s="166" t="s">
        <v>23</v>
      </c>
      <c r="G33" s="167"/>
      <c r="H33" s="168"/>
      <c r="I33" s="168"/>
      <c r="J33" s="168"/>
      <c r="K33" s="168"/>
      <c r="R33" s="129"/>
    </row>
    <row r="34" spans="1:18" ht="16.5" customHeight="1">
      <c r="A34" s="145"/>
      <c r="B34" s="149" t="s">
        <v>24</v>
      </c>
      <c r="C34" s="149"/>
      <c r="D34" s="155"/>
      <c r="E34" s="165">
        <v>0.23</v>
      </c>
      <c r="F34" s="150" t="s">
        <v>25</v>
      </c>
      <c r="G34" s="167"/>
      <c r="H34" s="156"/>
      <c r="I34" s="156"/>
      <c r="J34" s="156"/>
      <c r="K34" s="156"/>
      <c r="R34" s="129"/>
    </row>
    <row r="35" spans="1:18" ht="16.5" customHeight="1">
      <c r="A35" s="145"/>
      <c r="B35" s="149" t="s">
        <v>26</v>
      </c>
      <c r="C35" s="149"/>
      <c r="D35" s="155"/>
      <c r="E35" s="165">
        <v>0.17</v>
      </c>
      <c r="F35" s="150" t="s">
        <v>25</v>
      </c>
      <c r="G35" s="167"/>
      <c r="H35" s="156"/>
      <c r="I35" s="156"/>
      <c r="J35" s="156"/>
      <c r="K35" s="156"/>
      <c r="R35" s="129"/>
    </row>
    <row r="36" spans="1:18" ht="16.5" customHeight="1">
      <c r="A36" s="145"/>
      <c r="B36" s="149" t="s">
        <v>9</v>
      </c>
      <c r="C36" s="149"/>
      <c r="D36" s="155"/>
      <c r="E36" s="165">
        <v>0.11</v>
      </c>
      <c r="F36" s="150" t="s">
        <v>27</v>
      </c>
      <c r="G36" s="167"/>
      <c r="H36" s="156"/>
      <c r="I36" s="156"/>
      <c r="J36" s="156"/>
      <c r="K36" s="156"/>
      <c r="R36" s="129"/>
    </row>
    <row r="37" spans="1:18" ht="16.5" customHeight="1">
      <c r="A37" s="145"/>
      <c r="B37" s="149" t="s">
        <v>10</v>
      </c>
      <c r="C37" s="149"/>
      <c r="D37" s="155"/>
      <c r="E37" s="165">
        <v>0.17</v>
      </c>
      <c r="F37" s="150" t="s">
        <v>25</v>
      </c>
      <c r="G37" s="167"/>
      <c r="H37" s="156"/>
      <c r="I37" s="156"/>
      <c r="J37" s="156"/>
      <c r="K37" s="156"/>
      <c r="R37" s="129"/>
    </row>
    <row r="38" spans="1:18" ht="16.5" customHeight="1">
      <c r="A38" s="145"/>
      <c r="B38" s="149" t="s">
        <v>11</v>
      </c>
      <c r="C38" s="169"/>
      <c r="D38" s="169"/>
      <c r="E38" s="170">
        <v>0.28999999999999998</v>
      </c>
      <c r="F38" s="169" t="s">
        <v>25</v>
      </c>
      <c r="G38" s="167"/>
      <c r="H38" s="156"/>
      <c r="I38" s="156"/>
      <c r="J38" s="156"/>
      <c r="K38" s="156"/>
      <c r="R38" s="129"/>
    </row>
    <row r="39" spans="1:18" ht="16.5" customHeight="1">
      <c r="A39" s="145"/>
      <c r="B39" s="149" t="s">
        <v>13</v>
      </c>
      <c r="C39" s="169"/>
      <c r="D39" s="169"/>
      <c r="E39" s="170">
        <v>0.43</v>
      </c>
      <c r="F39" s="169" t="s">
        <v>25</v>
      </c>
      <c r="G39" s="167"/>
      <c r="H39" s="156"/>
      <c r="I39" s="156"/>
      <c r="J39" s="156"/>
      <c r="K39" s="156"/>
      <c r="R39" s="129"/>
    </row>
    <row r="40" spans="1:18" ht="16.5" customHeight="1">
      <c r="A40" s="145"/>
      <c r="B40" s="149" t="s">
        <v>15</v>
      </c>
      <c r="C40" s="169"/>
      <c r="D40" s="169"/>
      <c r="E40" s="170">
        <v>0.82</v>
      </c>
      <c r="F40" s="169" t="s">
        <v>25</v>
      </c>
      <c r="G40" s="167"/>
      <c r="H40" s="156"/>
      <c r="I40" s="156"/>
      <c r="J40" s="156"/>
      <c r="K40" s="156"/>
      <c r="R40" s="129"/>
    </row>
    <row r="41" spans="1:18" ht="16.5" customHeight="1">
      <c r="A41" s="145"/>
      <c r="B41" s="157" t="s">
        <v>17</v>
      </c>
      <c r="C41" s="171"/>
      <c r="D41" s="171"/>
      <c r="E41" s="172">
        <v>0.76</v>
      </c>
      <c r="F41" s="171" t="s">
        <v>25</v>
      </c>
      <c r="G41" s="164"/>
      <c r="H41" s="159"/>
      <c r="I41" s="159"/>
      <c r="J41" s="159"/>
      <c r="K41" s="159"/>
      <c r="R41" s="129"/>
    </row>
    <row r="42" spans="1:18" ht="16.5" hidden="1" customHeight="1">
      <c r="A42" s="145"/>
      <c r="B42" s="150"/>
      <c r="C42" s="173"/>
      <c r="D42" s="173"/>
      <c r="E42" s="174"/>
      <c r="F42" s="173"/>
      <c r="G42" s="175"/>
      <c r="H42" s="156"/>
      <c r="I42" s="156"/>
      <c r="J42" s="156"/>
      <c r="K42" s="156"/>
      <c r="R42" s="129"/>
    </row>
    <row r="43" spans="1:18" ht="16.5" hidden="1" customHeight="1">
      <c r="A43" s="145"/>
      <c r="B43" s="150"/>
      <c r="C43" s="173"/>
      <c r="D43" s="173"/>
      <c r="E43" s="174"/>
      <c r="F43" s="173"/>
      <c r="G43" s="175"/>
      <c r="H43" s="156"/>
      <c r="I43" s="156"/>
      <c r="J43" s="156"/>
      <c r="K43" s="156"/>
      <c r="R43" s="129"/>
    </row>
    <row r="44" spans="1:18" ht="16.5" hidden="1" customHeight="1">
      <c r="A44" s="145"/>
      <c r="B44" s="157"/>
      <c r="C44" s="171"/>
      <c r="D44" s="171"/>
      <c r="E44" s="172"/>
      <c r="F44" s="171"/>
      <c r="G44" s="164"/>
      <c r="H44" s="159"/>
      <c r="I44" s="159"/>
      <c r="J44" s="159"/>
      <c r="K44" s="159"/>
      <c r="R44" s="129"/>
    </row>
    <row r="45" spans="1:18" ht="16.5" customHeight="1">
      <c r="A45" s="145"/>
      <c r="B45" s="176"/>
      <c r="C45" s="132"/>
      <c r="D45" s="132"/>
      <c r="E45" s="177"/>
      <c r="F45" s="132"/>
      <c r="G45" s="133"/>
      <c r="H45" s="178"/>
      <c r="I45" s="178"/>
      <c r="J45" s="178"/>
      <c r="K45" s="178"/>
      <c r="R45" s="129"/>
    </row>
    <row r="46" spans="1:18" ht="16.5" customHeight="1">
      <c r="A46" s="179"/>
      <c r="B46" s="180"/>
      <c r="C46" s="181"/>
      <c r="D46" s="181"/>
      <c r="E46" s="182"/>
      <c r="F46" s="181"/>
      <c r="G46" s="183"/>
      <c r="H46" s="184"/>
      <c r="I46" s="184"/>
      <c r="J46" s="184"/>
      <c r="K46" s="184"/>
      <c r="R46" s="129"/>
    </row>
    <row r="47" spans="1:18" ht="16.5" customHeight="1">
      <c r="A47" s="185" t="s">
        <v>97</v>
      </c>
      <c r="B47" s="180"/>
      <c r="C47" s="186"/>
      <c r="D47" s="181"/>
      <c r="E47" s="131">
        <v>2014</v>
      </c>
      <c r="F47" s="181"/>
      <c r="G47" s="183"/>
      <c r="H47" s="184"/>
      <c r="I47" s="184"/>
      <c r="J47" s="184"/>
      <c r="K47" s="187"/>
      <c r="R47" s="129"/>
    </row>
    <row r="48" spans="1:18" ht="16.5" customHeight="1">
      <c r="A48" s="185"/>
      <c r="B48" s="180"/>
      <c r="C48" s="186"/>
      <c r="D48" s="181"/>
      <c r="E48" s="188"/>
      <c r="F48" s="181"/>
      <c r="G48" s="183"/>
      <c r="H48" s="184"/>
      <c r="I48" s="184"/>
      <c r="J48" s="184"/>
      <c r="K48" s="187"/>
      <c r="R48" s="129"/>
    </row>
    <row r="49" spans="1:18" ht="16.5" customHeight="1">
      <c r="A49" s="179"/>
      <c r="B49" s="189" t="s">
        <v>58</v>
      </c>
      <c r="C49" s="188" t="s">
        <v>59</v>
      </c>
      <c r="D49" s="188" t="s">
        <v>80</v>
      </c>
      <c r="E49" s="190" t="s">
        <v>81</v>
      </c>
      <c r="F49" s="188" t="s">
        <v>82</v>
      </c>
      <c r="G49" s="188" t="s">
        <v>83</v>
      </c>
      <c r="H49" s="187" t="s">
        <v>84</v>
      </c>
      <c r="I49" s="187" t="s">
        <v>85</v>
      </c>
      <c r="J49" s="187" t="s">
        <v>41</v>
      </c>
      <c r="K49" s="184"/>
      <c r="R49" s="129"/>
    </row>
    <row r="50" spans="1:18" ht="16.5" customHeight="1">
      <c r="A50" s="185" t="s">
        <v>93</v>
      </c>
      <c r="B50" s="180"/>
      <c r="C50" s="181"/>
      <c r="D50" s="181"/>
      <c r="E50" s="182"/>
      <c r="F50" s="181"/>
      <c r="G50" s="183"/>
      <c r="H50" s="184"/>
      <c r="I50" s="184"/>
      <c r="J50" s="184"/>
      <c r="K50" s="184"/>
      <c r="M50" s="130"/>
      <c r="R50" s="129"/>
    </row>
    <row r="51" spans="1:18" ht="16.5" customHeight="1">
      <c r="A51" s="191" t="s">
        <v>94</v>
      </c>
      <c r="B51" s="192">
        <f>[2]Death!K71</f>
        <v>1264.2549108879027</v>
      </c>
      <c r="C51" s="192">
        <f>[2]Death!L71</f>
        <v>0</v>
      </c>
      <c r="D51" s="192">
        <f>[2]Death!M71</f>
        <v>0</v>
      </c>
      <c r="E51" s="192">
        <f>[2]Death!N71</f>
        <v>0</v>
      </c>
      <c r="F51" s="192">
        <f>[2]Death!O71</f>
        <v>0</v>
      </c>
      <c r="G51" s="192">
        <f>[2]Death!P71</f>
        <v>0</v>
      </c>
      <c r="H51" s="192">
        <f>[2]Death!Q71</f>
        <v>0</v>
      </c>
      <c r="I51" s="192">
        <f>[2]Death!R71</f>
        <v>0</v>
      </c>
      <c r="J51" s="193">
        <f>SUM(B51:I51)</f>
        <v>1264.2549108879027</v>
      </c>
      <c r="K51" s="184" t="b">
        <f>J51=[2]Death!$H$71</f>
        <v>1</v>
      </c>
      <c r="R51" s="129"/>
    </row>
    <row r="52" spans="1:18" ht="16.5" customHeight="1">
      <c r="A52" s="191" t="s">
        <v>95</v>
      </c>
      <c r="B52" s="192">
        <f>[2]Death!T71</f>
        <v>473.05192581447091</v>
      </c>
      <c r="C52" s="192">
        <f>[2]Death!U71</f>
        <v>0</v>
      </c>
      <c r="D52" s="192">
        <f>[2]Death!V71</f>
        <v>0</v>
      </c>
      <c r="E52" s="192">
        <f>[2]Death!W71</f>
        <v>0</v>
      </c>
      <c r="F52" s="192">
        <f>[2]Death!X71</f>
        <v>0</v>
      </c>
      <c r="G52" s="192">
        <f>[2]Death!Y71</f>
        <v>0</v>
      </c>
      <c r="H52" s="192">
        <f>[2]Death!Z71</f>
        <v>0</v>
      </c>
      <c r="I52" s="192">
        <f>[2]Death!AA71</f>
        <v>0</v>
      </c>
      <c r="J52" s="193">
        <f>SUM(B52:I52)</f>
        <v>473.05192581447091</v>
      </c>
      <c r="K52" s="184" t="b">
        <f>J52=[2]Death!$I$71</f>
        <v>1</v>
      </c>
      <c r="R52" s="129"/>
    </row>
    <row r="53" spans="1:18" ht="16.5" customHeight="1">
      <c r="A53" s="185" t="s">
        <v>96</v>
      </c>
      <c r="B53" s="180"/>
      <c r="C53" s="181"/>
      <c r="D53" s="181"/>
      <c r="E53" s="182"/>
      <c r="F53" s="181"/>
      <c r="G53" s="183"/>
      <c r="H53" s="184"/>
      <c r="I53" s="184"/>
      <c r="J53" s="184"/>
      <c r="K53" s="184"/>
      <c r="R53" s="129"/>
    </row>
    <row r="54" spans="1:18" ht="16.5" customHeight="1">
      <c r="A54" s="191" t="s">
        <v>94</v>
      </c>
      <c r="B54" s="194">
        <f>B51/'Pop 2557 (2014)'!S7*100000</f>
        <v>64.295514150445726</v>
      </c>
      <c r="C54" s="194">
        <f>C51/'Pop 2557 (2014)'!T7*100000</f>
        <v>0</v>
      </c>
      <c r="D54" s="194">
        <f>D51/'Pop 2557 (2014)'!U7*100000</f>
        <v>0</v>
      </c>
      <c r="E54" s="194">
        <f>E51/'Pop 2557 (2014)'!V7*100000</f>
        <v>0</v>
      </c>
      <c r="F54" s="194">
        <f>F51/'Pop 2557 (2014)'!W7*100000</f>
        <v>0</v>
      </c>
      <c r="G54" s="194">
        <f>G51/'Pop 2557 (2014)'!X7*100000</f>
        <v>0</v>
      </c>
      <c r="H54" s="194">
        <f>H51/'Pop 2557 (2014)'!Y7*100000</f>
        <v>0</v>
      </c>
      <c r="I54" s="194">
        <f>I51/'Pop 2557 (2014)'!Z7*100000</f>
        <v>0</v>
      </c>
      <c r="J54" s="194">
        <f>J51/'Pop 2557 (2014)'!AA7*100000</f>
        <v>3.9603894022299095</v>
      </c>
      <c r="K54" s="186"/>
      <c r="R54" s="129"/>
    </row>
    <row r="55" spans="1:18" ht="16.5" customHeight="1">
      <c r="A55" s="191" t="s">
        <v>95</v>
      </c>
      <c r="B55" s="194">
        <f>B52/'Pop 2557 (2014)'!S8*100000</f>
        <v>25.583165951325444</v>
      </c>
      <c r="C55" s="194">
        <f>C52/'Pop 2557 (2014)'!T8*100000</f>
        <v>0</v>
      </c>
      <c r="D55" s="194">
        <f>D52/'Pop 2557 (2014)'!U8*100000</f>
        <v>0</v>
      </c>
      <c r="E55" s="194">
        <f>E52/'Pop 2557 (2014)'!V8*100000</f>
        <v>0</v>
      </c>
      <c r="F55" s="194">
        <f>F52/'Pop 2557 (2014)'!W8*100000</f>
        <v>0</v>
      </c>
      <c r="G55" s="194">
        <f>G52/'Pop 2557 (2014)'!X8*100000</f>
        <v>0</v>
      </c>
      <c r="H55" s="194">
        <f>H52/'Pop 2557 (2014)'!Y8*100000</f>
        <v>0</v>
      </c>
      <c r="I55" s="194">
        <f>I52/'Pop 2557 (2014)'!Z8*100000</f>
        <v>0</v>
      </c>
      <c r="J55" s="194">
        <f>J52/'Pop 2557 (2014)'!AA8*100000</f>
        <v>1.4320662922590814</v>
      </c>
      <c r="K55" s="184"/>
      <c r="R55" s="129"/>
    </row>
    <row r="56" spans="1:18" ht="16.5" customHeight="1">
      <c r="A56" s="191"/>
      <c r="B56" s="194"/>
      <c r="C56" s="194"/>
      <c r="D56" s="194"/>
      <c r="E56" s="194"/>
      <c r="F56" s="194"/>
      <c r="G56" s="194"/>
      <c r="H56" s="194"/>
      <c r="I56" s="194"/>
      <c r="J56" s="194"/>
      <c r="K56" s="184"/>
      <c r="M56" s="195"/>
      <c r="R56" s="129"/>
    </row>
    <row r="57" spans="1:18" ht="16.5" customHeight="1">
      <c r="A57" s="145"/>
      <c r="B57" s="176"/>
      <c r="C57" s="132"/>
      <c r="D57" s="132"/>
      <c r="E57" s="177"/>
      <c r="F57" s="132"/>
      <c r="G57" s="133"/>
      <c r="H57" s="178"/>
      <c r="I57" s="178"/>
      <c r="J57" s="178"/>
      <c r="K57" s="178"/>
      <c r="M57" s="195"/>
      <c r="R57" s="129"/>
    </row>
    <row r="58" spans="1:18">
      <c r="A58" s="141" t="s">
        <v>154</v>
      </c>
    </row>
    <row r="59" spans="1:18">
      <c r="A59" s="140"/>
    </row>
    <row r="60" spans="1:18">
      <c r="A60" s="140"/>
    </row>
    <row r="61" spans="1:18">
      <c r="A61" s="140"/>
    </row>
    <row r="62" spans="1:18">
      <c r="A62" s="140"/>
    </row>
    <row r="63" spans="1:18">
      <c r="A63" s="140"/>
      <c r="B63" s="196"/>
      <c r="C63" s="197"/>
      <c r="D63" s="197"/>
      <c r="E63" s="197"/>
      <c r="F63" s="197"/>
      <c r="G63" s="197"/>
      <c r="H63" s="197"/>
      <c r="I63" s="197"/>
      <c r="J63" s="197"/>
      <c r="N63" s="198"/>
      <c r="O63" s="198"/>
      <c r="P63" s="199"/>
    </row>
    <row r="64" spans="1:18">
      <c r="A64" s="140"/>
      <c r="I64" s="197"/>
      <c r="J64" s="197"/>
      <c r="N64" s="198"/>
      <c r="O64" s="198"/>
      <c r="P64" s="199"/>
    </row>
    <row r="65" spans="1:22">
      <c r="A65" s="140"/>
      <c r="I65" s="197"/>
      <c r="J65" s="197"/>
      <c r="N65" s="198"/>
      <c r="O65" s="198"/>
      <c r="P65" s="199"/>
    </row>
    <row r="66" spans="1:22">
      <c r="A66" s="140"/>
      <c r="I66" s="197"/>
      <c r="J66" s="197"/>
      <c r="N66" s="198"/>
      <c r="O66" s="198"/>
      <c r="P66" s="199"/>
    </row>
    <row r="67" spans="1:22">
      <c r="A67" s="140"/>
      <c r="C67" s="200"/>
      <c r="D67" s="197"/>
      <c r="H67" s="197"/>
      <c r="I67" s="197"/>
      <c r="J67" s="197"/>
      <c r="N67" s="198"/>
      <c r="O67" s="198"/>
      <c r="P67" s="199"/>
    </row>
    <row r="68" spans="1:22">
      <c r="A68" s="140"/>
      <c r="B68" s="196"/>
      <c r="C68" s="197"/>
      <c r="D68" s="197"/>
      <c r="E68" s="197"/>
      <c r="F68" s="197"/>
      <c r="G68" s="197"/>
      <c r="H68" s="197"/>
      <c r="I68" s="197"/>
      <c r="J68" s="197"/>
      <c r="N68" s="198"/>
      <c r="O68" s="198"/>
      <c r="P68" s="199"/>
    </row>
    <row r="69" spans="1:22">
      <c r="A69" s="140"/>
      <c r="B69" s="201"/>
      <c r="C69" s="202"/>
      <c r="D69" s="167"/>
      <c r="E69" s="203"/>
      <c r="F69" s="204" t="s">
        <v>30</v>
      </c>
      <c r="G69" s="205"/>
      <c r="H69" s="204" t="s">
        <v>31</v>
      </c>
      <c r="I69" s="206" t="s">
        <v>32</v>
      </c>
      <c r="K69" s="128"/>
      <c r="L69" s="133"/>
      <c r="M69" s="133"/>
      <c r="N69" s="136"/>
      <c r="P69" s="358"/>
      <c r="Q69" s="136"/>
      <c r="R69" s="207"/>
      <c r="S69" s="208"/>
      <c r="T69" s="208"/>
      <c r="V69" s="136"/>
    </row>
    <row r="70" spans="1:22" s="197" customFormat="1">
      <c r="A70" s="130"/>
      <c r="B70" s="209"/>
      <c r="C70" s="164"/>
      <c r="D70" s="164"/>
      <c r="E70" s="336" t="s">
        <v>317</v>
      </c>
      <c r="F70" s="210" t="s">
        <v>33</v>
      </c>
      <c r="G70" s="210" t="s">
        <v>33</v>
      </c>
      <c r="H70" s="210"/>
      <c r="I70" s="210" t="s">
        <v>35</v>
      </c>
      <c r="K70" s="211"/>
      <c r="L70" s="133"/>
      <c r="M70" s="133"/>
      <c r="N70" s="133"/>
      <c r="O70" s="133"/>
      <c r="P70" s="358"/>
      <c r="Q70" s="133"/>
      <c r="R70" s="358"/>
      <c r="S70" s="358"/>
      <c r="T70" s="358"/>
      <c r="U70" s="358"/>
      <c r="V70" s="358"/>
    </row>
    <row r="71" spans="1:22" s="197" customFormat="1">
      <c r="A71" s="130"/>
      <c r="B71" s="169" t="s">
        <v>36</v>
      </c>
      <c r="C71" s="173"/>
      <c r="D71" s="173"/>
      <c r="E71" s="175"/>
      <c r="F71" s="175"/>
      <c r="G71" s="205"/>
      <c r="H71" s="175"/>
      <c r="I71" s="175"/>
      <c r="J71" s="212" t="s">
        <v>235</v>
      </c>
      <c r="K71" s="213" t="s">
        <v>122</v>
      </c>
      <c r="L71" s="339" t="s">
        <v>319</v>
      </c>
      <c r="M71" s="339" t="s">
        <v>318</v>
      </c>
      <c r="N71" s="133"/>
      <c r="O71" s="133"/>
      <c r="P71" s="214"/>
      <c r="Q71" s="215"/>
      <c r="R71" s="216"/>
      <c r="S71" s="216"/>
      <c r="T71" s="216"/>
      <c r="U71" s="217"/>
      <c r="V71" s="217"/>
    </row>
    <row r="72" spans="1:22">
      <c r="B72" s="169"/>
      <c r="C72" s="173" t="s">
        <v>28</v>
      </c>
      <c r="D72" s="173"/>
      <c r="E72" s="218">
        <f>'BW 2014'!N9</f>
        <v>2924</v>
      </c>
      <c r="F72" s="219">
        <v>0.8</v>
      </c>
      <c r="G72" s="330">
        <f>E72*F72</f>
        <v>2339.2000000000003</v>
      </c>
      <c r="H72" s="220">
        <v>0.25</v>
      </c>
      <c r="I72" s="218">
        <f>G72*H72</f>
        <v>584.80000000000007</v>
      </c>
      <c r="K72" s="221"/>
      <c r="L72" s="227">
        <f>E72-G72</f>
        <v>584.79999999999973</v>
      </c>
      <c r="M72" s="133"/>
      <c r="P72" s="214"/>
      <c r="Q72" s="215"/>
      <c r="R72" s="216"/>
      <c r="S72" s="216"/>
      <c r="T72" s="216"/>
      <c r="U72" s="217"/>
      <c r="V72" s="217"/>
    </row>
    <row r="73" spans="1:22">
      <c r="B73" s="169"/>
      <c r="C73" s="173" t="s">
        <v>29</v>
      </c>
      <c r="D73" s="173"/>
      <c r="E73" s="218">
        <f>'BW 2014'!N10</f>
        <v>32165</v>
      </c>
      <c r="F73" s="219">
        <v>0.98299999999999998</v>
      </c>
      <c r="G73" s="330">
        <f>E73*F73</f>
        <v>31618.195</v>
      </c>
      <c r="H73" s="220">
        <v>0.05</v>
      </c>
      <c r="I73" s="218">
        <f>G73*H73</f>
        <v>1580.90975</v>
      </c>
      <c r="J73" s="222">
        <f>E72+E73</f>
        <v>35089</v>
      </c>
      <c r="K73" s="223">
        <f>J73/E74</f>
        <v>9.57018838180385E-2</v>
      </c>
      <c r="L73" s="227">
        <f>E73-G73</f>
        <v>546.80500000000029</v>
      </c>
      <c r="M73" s="133"/>
      <c r="P73" s="214"/>
      <c r="Q73" s="215"/>
      <c r="R73" s="216"/>
      <c r="S73" s="216"/>
      <c r="T73" s="216"/>
      <c r="U73" s="217"/>
      <c r="V73" s="217"/>
    </row>
    <row r="74" spans="1:22">
      <c r="A74" s="397"/>
      <c r="B74" s="169"/>
      <c r="C74" s="173" t="s">
        <v>37</v>
      </c>
      <c r="D74" s="173"/>
      <c r="E74" s="224">
        <f>'BW 2014'!$D$8</f>
        <v>366649</v>
      </c>
      <c r="F74" s="225"/>
      <c r="G74" s="330">
        <f>G72+G73</f>
        <v>33957.394999999997</v>
      </c>
      <c r="H74" s="175" t="s">
        <v>4</v>
      </c>
      <c r="I74" s="218">
        <f>SUM(I72:I73)</f>
        <v>2165.70975</v>
      </c>
      <c r="K74" s="226">
        <f>I74/E74</f>
        <v>5.9067657350763266E-3</v>
      </c>
      <c r="L74" s="227">
        <f>L72+L73</f>
        <v>1131.605</v>
      </c>
      <c r="M74" s="227"/>
      <c r="P74" s="214"/>
      <c r="Q74" s="215"/>
      <c r="R74" s="216"/>
      <c r="S74" s="216"/>
      <c r="T74" s="216"/>
      <c r="U74" s="217"/>
      <c r="V74" s="217"/>
    </row>
    <row r="75" spans="1:22">
      <c r="B75" s="169" t="s">
        <v>38</v>
      </c>
      <c r="C75" s="173"/>
      <c r="D75" s="173"/>
      <c r="E75" s="218"/>
      <c r="F75" s="228"/>
      <c r="G75" s="330"/>
      <c r="H75" s="175"/>
      <c r="I75" s="218"/>
      <c r="K75" s="221"/>
      <c r="L75" s="133"/>
      <c r="M75" s="133"/>
      <c r="P75" s="214"/>
      <c r="Q75" s="215"/>
      <c r="R75" s="216"/>
      <c r="S75" s="216"/>
      <c r="T75" s="216"/>
      <c r="U75" s="217"/>
      <c r="V75" s="217"/>
    </row>
    <row r="76" spans="1:22">
      <c r="B76" s="173"/>
      <c r="C76" s="173" t="s">
        <v>28</v>
      </c>
      <c r="D76" s="173"/>
      <c r="E76" s="218">
        <f>'BW 2014'!O9</f>
        <v>2765</v>
      </c>
      <c r="F76" s="225"/>
      <c r="G76" s="330">
        <f>E76*F72</f>
        <v>2212</v>
      </c>
      <c r="H76" s="220">
        <v>0.25</v>
      </c>
      <c r="I76" s="218">
        <f>G76*H76</f>
        <v>553</v>
      </c>
      <c r="K76" s="128"/>
      <c r="L76" s="227">
        <f>E76-G76</f>
        <v>553</v>
      </c>
      <c r="M76" s="133"/>
      <c r="P76" s="214"/>
      <c r="Q76" s="215"/>
      <c r="R76" s="216"/>
      <c r="S76" s="216"/>
      <c r="T76" s="216"/>
      <c r="U76" s="217"/>
      <c r="V76" s="217"/>
    </row>
    <row r="77" spans="1:22">
      <c r="B77" s="173"/>
      <c r="C77" s="173" t="s">
        <v>29</v>
      </c>
      <c r="D77" s="173"/>
      <c r="E77" s="218">
        <f>'BW 2014'!O10</f>
        <v>36491</v>
      </c>
      <c r="F77" s="225"/>
      <c r="G77" s="331">
        <f>E77*F73</f>
        <v>35870.652999999998</v>
      </c>
      <c r="H77" s="220">
        <v>0.05</v>
      </c>
      <c r="I77" s="218">
        <f>G77*H77</f>
        <v>1793.5326500000001</v>
      </c>
      <c r="J77" s="222">
        <f>E76+E77</f>
        <v>39256</v>
      </c>
      <c r="K77" s="133">
        <f>J77/E78</f>
        <v>0.11373407966252941</v>
      </c>
      <c r="L77" s="227">
        <f>E77-G77</f>
        <v>620.34700000000157</v>
      </c>
      <c r="M77" s="133"/>
      <c r="P77" s="214"/>
      <c r="Q77" s="133"/>
      <c r="R77" s="216"/>
      <c r="S77" s="216"/>
      <c r="T77" s="216"/>
      <c r="U77" s="217"/>
      <c r="V77" s="217"/>
    </row>
    <row r="78" spans="1:22">
      <c r="A78" s="397"/>
      <c r="B78" s="171"/>
      <c r="C78" s="171" t="s">
        <v>37</v>
      </c>
      <c r="D78" s="171"/>
      <c r="E78" s="229">
        <f>'BW 2014'!$F$8</f>
        <v>345156</v>
      </c>
      <c r="F78" s="230"/>
      <c r="G78" s="337">
        <f>G76+G77</f>
        <v>38082.652999999998</v>
      </c>
      <c r="H78" s="231"/>
      <c r="I78" s="232">
        <f>SUM(I76:I77)</f>
        <v>2346.5326500000001</v>
      </c>
      <c r="J78" s="362">
        <f>J73+J77</f>
        <v>74345</v>
      </c>
      <c r="K78" s="363">
        <f>I78/E78</f>
        <v>6.7984698223412026E-3</v>
      </c>
      <c r="L78" s="364">
        <f>L76+L77</f>
        <v>1173.3470000000016</v>
      </c>
      <c r="M78" s="365"/>
    </row>
    <row r="79" spans="1:22">
      <c r="A79" s="140"/>
      <c r="B79" s="136" t="s">
        <v>241</v>
      </c>
      <c r="I79" s="222">
        <f>I74+I78</f>
        <v>4512.2424000000001</v>
      </c>
      <c r="J79" s="338">
        <f>J78/(E74+E78)</f>
        <v>0.10444574005521175</v>
      </c>
      <c r="K79" s="338">
        <f>(G74+G78)/(E74+E78)</f>
        <v>0.10120756105955984</v>
      </c>
      <c r="L79" s="222">
        <f>L74+L78</f>
        <v>2304.9520000000016</v>
      </c>
      <c r="M79" s="343">
        <f>L79/711805*1000</f>
        <v>3.2381789956519014</v>
      </c>
    </row>
    <row r="80" spans="1:22">
      <c r="A80" s="234"/>
      <c r="B80" s="137"/>
      <c r="C80" s="137"/>
      <c r="D80" s="137"/>
      <c r="E80" s="137"/>
      <c r="F80" s="137"/>
      <c r="G80" s="137"/>
      <c r="H80" s="137"/>
      <c r="I80" s="137"/>
    </row>
    <row r="81" spans="1:19">
      <c r="A81" s="140"/>
      <c r="B81" s="235"/>
      <c r="C81" s="175"/>
      <c r="D81" s="175"/>
      <c r="E81" s="167"/>
      <c r="F81" s="175"/>
      <c r="G81" s="204" t="s">
        <v>39</v>
      </c>
      <c r="H81" s="167"/>
      <c r="I81" s="236" t="s">
        <v>40</v>
      </c>
      <c r="J81" s="237"/>
      <c r="K81" s="237"/>
      <c r="L81" s="130" t="s">
        <v>89</v>
      </c>
      <c r="N81" s="401"/>
    </row>
    <row r="82" spans="1:19">
      <c r="B82" s="146" t="s">
        <v>20</v>
      </c>
      <c r="C82" s="164"/>
      <c r="D82" s="164"/>
      <c r="E82" s="164"/>
      <c r="F82" s="164"/>
      <c r="G82" s="210" t="s">
        <v>34</v>
      </c>
      <c r="H82" s="164"/>
      <c r="I82" s="210" t="s">
        <v>36</v>
      </c>
      <c r="J82" s="210" t="s">
        <v>38</v>
      </c>
      <c r="K82" s="210" t="s">
        <v>41</v>
      </c>
      <c r="L82" s="210" t="s">
        <v>36</v>
      </c>
      <c r="M82" s="210" t="s">
        <v>38</v>
      </c>
      <c r="N82" s="401"/>
      <c r="Q82" s="233">
        <f>G74+G78</f>
        <v>72040.047999999995</v>
      </c>
    </row>
    <row r="83" spans="1:19">
      <c r="B83" s="238" t="s">
        <v>42</v>
      </c>
      <c r="C83" s="167"/>
      <c r="D83" s="167"/>
      <c r="E83" s="167"/>
      <c r="F83" s="167"/>
      <c r="G83" s="356">
        <f>K83/I79</f>
        <v>4.3467710101933232E-2</v>
      </c>
      <c r="H83" s="240"/>
      <c r="I83" s="241">
        <v>109.90436092232105</v>
      </c>
      <c r="J83" s="241">
        <v>86.232483630530439</v>
      </c>
      <c r="K83" s="241">
        <v>196.13684455285147</v>
      </c>
      <c r="L83" s="242">
        <f t="shared" ref="L83:L88" si="0">I83/$E$74*1000</f>
        <v>0.29975360882566449</v>
      </c>
      <c r="M83" s="242">
        <f t="shared" ref="M83:M88" si="1">J83/$E$78*1000</f>
        <v>0.24983625847596574</v>
      </c>
      <c r="N83" s="354" t="s">
        <v>334</v>
      </c>
      <c r="O83" s="138"/>
      <c r="P83" s="348"/>
      <c r="Q83" s="247">
        <f>G74/Q82</f>
        <v>0.4713683005874732</v>
      </c>
    </row>
    <row r="84" spans="1:19">
      <c r="B84" s="238" t="s">
        <v>43</v>
      </c>
      <c r="C84" s="167"/>
      <c r="D84" s="167"/>
      <c r="E84" s="167"/>
      <c r="F84" s="167"/>
      <c r="G84" s="356">
        <f>N85/I79</f>
        <v>0.21296212942815304</v>
      </c>
      <c r="H84" s="240"/>
      <c r="I84" s="241">
        <f>P87</f>
        <v>452.95512281954956</v>
      </c>
      <c r="J84" s="241">
        <f>P88</f>
        <v>507.98162718045035</v>
      </c>
      <c r="K84" s="241">
        <f t="shared" ref="K84:K88" si="2">SUM(I84:J84)</f>
        <v>960.93674999999985</v>
      </c>
      <c r="L84" s="242">
        <f t="shared" si="0"/>
        <v>1.2353916765613695</v>
      </c>
      <c r="M84" s="242">
        <f t="shared" si="1"/>
        <v>1.4717450288578218</v>
      </c>
      <c r="N84" s="349">
        <f>711805/1000*2.25</f>
        <v>1601.56125</v>
      </c>
      <c r="O84" s="353" t="s">
        <v>335</v>
      </c>
      <c r="P84" s="350"/>
      <c r="Q84" s="247">
        <f>G78/Q82</f>
        <v>0.52863169941252675</v>
      </c>
    </row>
    <row r="85" spans="1:19">
      <c r="B85" s="238" t="s">
        <v>9</v>
      </c>
      <c r="C85" s="167"/>
      <c r="D85" s="167"/>
      <c r="E85" s="167"/>
      <c r="F85" s="167"/>
      <c r="G85" s="239">
        <v>4.2000000000000003E-2</v>
      </c>
      <c r="H85" s="240"/>
      <c r="I85" s="241">
        <f t="shared" ref="I85:I87" si="3">G85*I$74</f>
        <v>90.959809500000006</v>
      </c>
      <c r="J85" s="241">
        <f t="shared" ref="J85:J87" si="4">G85*I$78</f>
        <v>98.554371300000014</v>
      </c>
      <c r="K85" s="241">
        <f t="shared" si="2"/>
        <v>189.51418080000002</v>
      </c>
      <c r="L85" s="242">
        <f t="shared" si="0"/>
        <v>0.24808416087320573</v>
      </c>
      <c r="M85" s="242">
        <f t="shared" si="1"/>
        <v>0.28553573253833053</v>
      </c>
      <c r="N85" s="351">
        <f>N84*60%</f>
        <v>960.93674999999996</v>
      </c>
      <c r="O85" s="132" t="s">
        <v>336</v>
      </c>
      <c r="P85" s="348"/>
      <c r="R85" s="338"/>
    </row>
    <row r="86" spans="1:19">
      <c r="B86" s="238" t="s">
        <v>44</v>
      </c>
      <c r="C86" s="167"/>
      <c r="D86" s="167"/>
      <c r="E86" s="167"/>
      <c r="F86" s="167"/>
      <c r="G86" s="239">
        <v>3.5999999999999997E-2</v>
      </c>
      <c r="H86" s="240"/>
      <c r="I86" s="241">
        <f t="shared" si="3"/>
        <v>77.965550999999991</v>
      </c>
      <c r="J86" s="241">
        <f t="shared" si="4"/>
        <v>84.475175399999998</v>
      </c>
      <c r="K86" s="241">
        <f t="shared" si="2"/>
        <v>162.44072639999999</v>
      </c>
      <c r="L86" s="242">
        <f t="shared" si="0"/>
        <v>0.21264356646274774</v>
      </c>
      <c r="M86" s="242">
        <f t="shared" si="1"/>
        <v>0.2447449136042833</v>
      </c>
      <c r="N86" s="347"/>
      <c r="O86" s="259" t="s">
        <v>337</v>
      </c>
      <c r="P86" s="348"/>
    </row>
    <row r="87" spans="1:19">
      <c r="B87" s="238" t="s">
        <v>8</v>
      </c>
      <c r="C87" s="167"/>
      <c r="D87" s="167"/>
      <c r="E87" s="167"/>
      <c r="F87" s="167"/>
      <c r="G87" s="239">
        <v>4.8000000000000001E-2</v>
      </c>
      <c r="H87" s="240"/>
      <c r="I87" s="241">
        <f t="shared" si="3"/>
        <v>103.95406800000001</v>
      </c>
      <c r="J87" s="241">
        <f t="shared" si="4"/>
        <v>112.6335672</v>
      </c>
      <c r="K87" s="241">
        <f t="shared" si="2"/>
        <v>216.58763520000002</v>
      </c>
      <c r="L87" s="242">
        <f t="shared" si="0"/>
        <v>0.28352475528366367</v>
      </c>
      <c r="M87" s="242">
        <f t="shared" si="1"/>
        <v>0.32632655147237771</v>
      </c>
      <c r="N87" s="347" t="s">
        <v>159</v>
      </c>
      <c r="O87" s="346">
        <v>0.4713683005874732</v>
      </c>
      <c r="P87" s="352">
        <f>N85*O87</f>
        <v>452.95512281954956</v>
      </c>
      <c r="Q87" s="338">
        <f>P87/I74</f>
        <v>0.20914858180767279</v>
      </c>
    </row>
    <row r="88" spans="1:19">
      <c r="B88" s="209" t="s">
        <v>340</v>
      </c>
      <c r="C88" s="164"/>
      <c r="D88" s="164"/>
      <c r="E88" s="164"/>
      <c r="F88" s="164"/>
      <c r="G88" s="243">
        <f>1-SUM(G83:G87)</f>
        <v>0.61757016046991375</v>
      </c>
      <c r="H88" s="244"/>
      <c r="I88" s="232">
        <f>I74-(SUM(I83:I87))</f>
        <v>1329.9708377581294</v>
      </c>
      <c r="J88" s="232">
        <f>I78-SUM(J83:J87)</f>
        <v>1456.6554252890191</v>
      </c>
      <c r="K88" s="232">
        <f t="shared" si="2"/>
        <v>2786.6262630471483</v>
      </c>
      <c r="L88" s="242">
        <f t="shared" si="0"/>
        <v>3.6273679670696755</v>
      </c>
      <c r="M88" s="242">
        <f t="shared" si="1"/>
        <v>4.2202813373924233</v>
      </c>
      <c r="N88" s="138" t="s">
        <v>134</v>
      </c>
      <c r="O88" s="346">
        <v>0.52863169941252675</v>
      </c>
      <c r="P88" s="352">
        <f>N85*O88</f>
        <v>507.98162718045035</v>
      </c>
      <c r="Q88" s="338">
        <f>P88/I78</f>
        <v>0.21648180654143054</v>
      </c>
    </row>
    <row r="89" spans="1:19">
      <c r="B89" s="164" t="s">
        <v>41</v>
      </c>
      <c r="C89" s="164"/>
      <c r="D89" s="164"/>
      <c r="E89" s="164"/>
      <c r="F89" s="164"/>
      <c r="G89" s="243">
        <f>SUM(G83:G88)</f>
        <v>1</v>
      </c>
      <c r="H89" s="164"/>
      <c r="I89" s="232">
        <f>SUM(I83:I88)</f>
        <v>2165.70975</v>
      </c>
      <c r="J89" s="232">
        <f>SUM(J83:J88)</f>
        <v>2346.5326500000001</v>
      </c>
      <c r="K89" s="232">
        <f>SUM(I89:J89)</f>
        <v>4512.2424000000001</v>
      </c>
      <c r="L89" s="245">
        <f>SUM(L83:L88)</f>
        <v>5.906765735076327</v>
      </c>
      <c r="M89" s="245">
        <f>SUM(M83:M88)</f>
        <v>6.7984698223412021</v>
      </c>
      <c r="N89" s="136"/>
      <c r="O89" s="246"/>
      <c r="P89" s="357">
        <f>N85/I79</f>
        <v>0.21296212942815304</v>
      </c>
      <c r="Q89" s="355">
        <v>0.1</v>
      </c>
    </row>
    <row r="90" spans="1:19">
      <c r="O90" s="215"/>
    </row>
    <row r="91" spans="1:19">
      <c r="A91" s="140"/>
      <c r="N91" s="128"/>
      <c r="R91" s="247"/>
      <c r="S91" s="247"/>
    </row>
    <row r="92" spans="1:19">
      <c r="A92" s="141" t="s">
        <v>155</v>
      </c>
      <c r="N92" s="128"/>
      <c r="R92" s="247"/>
      <c r="S92" s="247"/>
    </row>
    <row r="93" spans="1:19">
      <c r="A93" s="140"/>
      <c r="N93" s="128"/>
      <c r="R93" s="247"/>
      <c r="S93" s="247"/>
    </row>
    <row r="94" spans="1:19">
      <c r="A94" s="140"/>
      <c r="N94" s="128"/>
      <c r="R94" s="247"/>
      <c r="S94" s="247"/>
    </row>
    <row r="95" spans="1:19">
      <c r="A95" s="140"/>
      <c r="N95" s="128"/>
      <c r="R95" s="247"/>
      <c r="S95" s="247"/>
    </row>
    <row r="96" spans="1:19">
      <c r="A96" s="140"/>
      <c r="N96" s="128"/>
      <c r="R96" s="247"/>
      <c r="S96" s="247"/>
    </row>
    <row r="97" spans="1:16">
      <c r="A97" s="140"/>
      <c r="N97" s="128"/>
    </row>
    <row r="98" spans="1:16">
      <c r="B98" s="235" t="s">
        <v>46</v>
      </c>
      <c r="C98" s="235"/>
      <c r="D98" s="235"/>
      <c r="E98" s="248"/>
      <c r="F98" s="248"/>
      <c r="G98" s="235"/>
      <c r="H98" s="167"/>
      <c r="I98" s="167"/>
      <c r="J98" s="249" t="s">
        <v>47</v>
      </c>
      <c r="K98" s="250"/>
      <c r="N98" s="128"/>
    </row>
    <row r="99" spans="1:16">
      <c r="A99" s="140"/>
      <c r="B99" s="251" t="s">
        <v>20</v>
      </c>
      <c r="C99" s="209"/>
      <c r="D99" s="209"/>
      <c r="E99" s="252"/>
      <c r="F99" s="252"/>
      <c r="G99" s="209"/>
      <c r="H99" s="210"/>
      <c r="I99" s="210"/>
      <c r="J99" s="210" t="s">
        <v>36</v>
      </c>
      <c r="K99" s="210" t="s">
        <v>38</v>
      </c>
      <c r="N99" s="128"/>
    </row>
    <row r="100" spans="1:16">
      <c r="A100" s="140"/>
      <c r="B100" s="253" t="str">
        <f>B38</f>
        <v>Mild intellectual disability</v>
      </c>
      <c r="C100" s="235"/>
      <c r="D100" s="235"/>
      <c r="E100" s="248"/>
      <c r="F100" s="248"/>
      <c r="G100" s="235"/>
      <c r="H100" s="204"/>
      <c r="I100" s="204"/>
      <c r="J100" s="254">
        <f>'From MR worksheet2014'!G6</f>
        <v>61.853915557477947</v>
      </c>
      <c r="K100" s="254">
        <f>'From MR worksheet2014'!G9</f>
        <v>67.986318494958795</v>
      </c>
      <c r="N100" s="128"/>
    </row>
    <row r="101" spans="1:16">
      <c r="A101" s="140"/>
      <c r="B101" s="253" t="str">
        <f>B39</f>
        <v>Moderate intellectual disability</v>
      </c>
      <c r="C101" s="235"/>
      <c r="D101" s="235"/>
      <c r="E101" s="248"/>
      <c r="F101" s="248"/>
      <c r="G101" s="235"/>
      <c r="H101" s="204"/>
      <c r="I101" s="204"/>
      <c r="J101" s="254">
        <f>'From MR worksheet2014'!H6</f>
        <v>49.89414924765974</v>
      </c>
      <c r="K101" s="254">
        <f>'From MR worksheet2014'!H9</f>
        <v>54.823116118077522</v>
      </c>
      <c r="N101" s="128"/>
    </row>
    <row r="102" spans="1:16">
      <c r="A102" s="140"/>
      <c r="B102" s="253" t="str">
        <f>B40</f>
        <v>Severe intellectual disability</v>
      </c>
      <c r="C102" s="235"/>
      <c r="D102" s="235"/>
      <c r="E102" s="248"/>
      <c r="F102" s="248"/>
      <c r="G102" s="235"/>
      <c r="H102" s="204"/>
      <c r="I102" s="204"/>
      <c r="J102" s="254">
        <f>'From MR worksheet2014'!I6</f>
        <v>43.91426609275063</v>
      </c>
      <c r="K102" s="254">
        <f>'From MR worksheet2014'!I9</f>
        <v>48.241514929636892</v>
      </c>
      <c r="N102" s="128"/>
    </row>
    <row r="103" spans="1:16">
      <c r="A103" s="140"/>
      <c r="B103" s="253" t="str">
        <f>B41</f>
        <v>Profound intellectual disability</v>
      </c>
      <c r="C103" s="169"/>
      <c r="D103" s="235"/>
      <c r="E103" s="248"/>
      <c r="F103" s="248"/>
      <c r="G103" s="235"/>
      <c r="H103" s="254"/>
      <c r="I103" s="254"/>
      <c r="J103" s="254">
        <f>'From MR worksheet2014'!J6</f>
        <v>30.682184218058126</v>
      </c>
      <c r="K103" s="254">
        <f>'From MR worksheet2014'!J9</f>
        <v>33.677971874364005</v>
      </c>
      <c r="N103" s="128"/>
    </row>
    <row r="104" spans="1:16">
      <c r="A104" s="140"/>
      <c r="B104" s="171" t="s">
        <v>48</v>
      </c>
      <c r="C104" s="171"/>
      <c r="D104" s="209"/>
      <c r="E104" s="252"/>
      <c r="F104" s="252"/>
      <c r="G104" s="209"/>
      <c r="H104" s="255"/>
      <c r="I104" s="255"/>
      <c r="J104" s="345">
        <f>'Dismod 2014'!I8</f>
        <v>59.8797</v>
      </c>
      <c r="K104" s="345">
        <f>'Dismod 2014'!I38</f>
        <v>68.957099999999997</v>
      </c>
      <c r="N104" s="128"/>
    </row>
    <row r="105" spans="1:16">
      <c r="A105" s="140"/>
      <c r="B105" s="173"/>
      <c r="C105" s="173"/>
      <c r="D105" s="235"/>
      <c r="E105" s="248"/>
      <c r="F105" s="248"/>
      <c r="G105" s="235"/>
      <c r="H105" s="256"/>
      <c r="I105" s="256"/>
      <c r="J105" s="254"/>
      <c r="K105" s="254"/>
      <c r="N105" s="128"/>
    </row>
    <row r="106" spans="1:16">
      <c r="A106" s="140"/>
      <c r="B106" s="132"/>
      <c r="C106" s="132"/>
      <c r="D106" s="128"/>
      <c r="E106" s="257"/>
      <c r="F106" s="257"/>
      <c r="G106" s="128"/>
      <c r="H106" s="258"/>
      <c r="I106" s="258"/>
      <c r="J106" s="259"/>
      <c r="K106" s="259"/>
      <c r="N106" s="128"/>
    </row>
    <row r="107" spans="1:16">
      <c r="A107" s="140"/>
      <c r="B107" s="132"/>
      <c r="C107" s="132"/>
      <c r="D107" s="128"/>
      <c r="E107" s="257"/>
      <c r="F107" s="257"/>
      <c r="G107" s="128"/>
      <c r="H107" s="258"/>
      <c r="I107" s="258"/>
      <c r="J107" s="259"/>
      <c r="K107" s="259"/>
      <c r="N107" s="128"/>
    </row>
    <row r="108" spans="1:16">
      <c r="A108" s="260" t="s">
        <v>156</v>
      </c>
    </row>
    <row r="109" spans="1:16">
      <c r="A109" s="145"/>
      <c r="B109" s="235" t="s">
        <v>49</v>
      </c>
      <c r="C109" s="167"/>
      <c r="D109" s="167"/>
      <c r="E109" s="206" t="s">
        <v>50</v>
      </c>
      <c r="F109" s="319" t="s">
        <v>47</v>
      </c>
      <c r="G109" s="236"/>
      <c r="H109" s="261" t="s">
        <v>51</v>
      </c>
      <c r="I109" s="237"/>
      <c r="J109" s="262" t="s">
        <v>52</v>
      </c>
      <c r="K109" s="262"/>
      <c r="M109" s="208" t="s">
        <v>53</v>
      </c>
      <c r="N109" s="208"/>
      <c r="O109" s="263" t="s">
        <v>54</v>
      </c>
      <c r="P109" s="263"/>
    </row>
    <row r="110" spans="1:16">
      <c r="B110" s="264" t="s">
        <v>55</v>
      </c>
      <c r="C110" s="164"/>
      <c r="D110" s="164"/>
      <c r="E110" s="210" t="s">
        <v>21</v>
      </c>
      <c r="F110" s="210" t="s">
        <v>36</v>
      </c>
      <c r="G110" s="210" t="s">
        <v>38</v>
      </c>
      <c r="H110" s="210" t="s">
        <v>36</v>
      </c>
      <c r="I110" s="210" t="s">
        <v>38</v>
      </c>
      <c r="J110" s="265" t="s">
        <v>36</v>
      </c>
      <c r="K110" s="265" t="s">
        <v>38</v>
      </c>
      <c r="M110" s="266" t="s">
        <v>36</v>
      </c>
      <c r="N110" s="266" t="s">
        <v>38</v>
      </c>
      <c r="O110" s="267" t="s">
        <v>36</v>
      </c>
      <c r="P110" s="267" t="s">
        <v>38</v>
      </c>
    </row>
    <row r="111" spans="1:16" ht="12.75" customHeight="1">
      <c r="B111" s="268" t="str">
        <f t="shared" ref="B111:B119" si="5">B33</f>
        <v>Mild permanent disability</v>
      </c>
      <c r="C111" s="167"/>
      <c r="D111" s="167"/>
      <c r="E111" s="269">
        <f t="shared" ref="E111:E119" si="6">E33</f>
        <v>0.11</v>
      </c>
      <c r="F111" s="270">
        <f>J$104</f>
        <v>59.8797</v>
      </c>
      <c r="G111" s="270">
        <f>K$104</f>
        <v>68.957099999999997</v>
      </c>
      <c r="H111" s="241">
        <f>I88</f>
        <v>1329.9708377581294</v>
      </c>
      <c r="I111" s="271">
        <f>J88</f>
        <v>1456.6554252890191</v>
      </c>
      <c r="J111" s="272">
        <f t="shared" ref="J111:J119" si="7">H111*E111*(1-EXP(-0.03*F111))/0.03</f>
        <v>4067.5554009412745</v>
      </c>
      <c r="K111" s="272">
        <f t="shared" ref="K111:K119" si="8">I111*E111*(1-EXP(-0.03*G111))/0.03</f>
        <v>4666.2348591314667</v>
      </c>
      <c r="L111" s="273"/>
      <c r="M111" s="274">
        <f>H111*((0.1658*E111*EXP(0.03*0))/(-0.07^2))*((EXP(-0.07*(F111))*(-0.07*(F111)-1))-(EXP(-0.07*(0))*(-0.07*(0)-1)))</f>
        <v>4561.5696898827255</v>
      </c>
      <c r="N111" s="274">
        <f t="shared" ref="N111:N119" si="9">I111*((0.1658*E111*EXP(0.03*0))/(-0.07^2))*((EXP(-0.07*(G111))*(-0.07*(G111)-1))-(EXP(-0.07*(0))*(-0.07*(0)-1)))</f>
        <v>5168.6586580542325</v>
      </c>
      <c r="O111" s="275">
        <f>H111*F111*$E111</f>
        <v>8760.2080251076004</v>
      </c>
      <c r="P111" s="275">
        <f>I111*G111*$E111</f>
        <v>11049.140720991716</v>
      </c>
    </row>
    <row r="112" spans="1:16" ht="12.75" customHeight="1">
      <c r="B112" s="268" t="str">
        <f t="shared" si="5"/>
        <v>Severe hearing loss (congenital or early acquired)</v>
      </c>
      <c r="C112" s="167"/>
      <c r="D112" s="167"/>
      <c r="E112" s="269">
        <f t="shared" si="6"/>
        <v>0.23</v>
      </c>
      <c r="F112" s="270">
        <f t="shared" ref="F112:G115" si="10">J$104</f>
        <v>59.8797</v>
      </c>
      <c r="G112" s="270">
        <f t="shared" si="10"/>
        <v>68.957099999999997</v>
      </c>
      <c r="H112" s="241">
        <f>I86</f>
        <v>77.965550999999991</v>
      </c>
      <c r="I112" s="271">
        <f>J86</f>
        <v>84.475175399999998</v>
      </c>
      <c r="J112" s="272">
        <f t="shared" si="7"/>
        <v>498.57358100324268</v>
      </c>
      <c r="K112" s="272">
        <f t="shared" si="8"/>
        <v>565.81442609149599</v>
      </c>
      <c r="L112" s="273"/>
      <c r="M112" s="274">
        <f t="shared" ref="M112:M117" si="11">H112*((0.1658*E112*EXP(0.03*0))/(-0.07^2))*((EXP(-0.07*(F112))*(-0.07*(F112)-1))-(EXP(-0.07*(0))*(-0.07*(0)-1)))</f>
        <v>559.12652959917637</v>
      </c>
      <c r="N112" s="274">
        <f t="shared" si="9"/>
        <v>626.73691328390169</v>
      </c>
      <c r="O112" s="275">
        <f t="shared" ref="O112:P119" si="12">H112*F112*$E112</f>
        <v>1073.7673749693809</v>
      </c>
      <c r="P112" s="275">
        <f t="shared" si="12"/>
        <v>1339.7875170423281</v>
      </c>
    </row>
    <row r="113" spans="1:16" ht="12.75" customHeight="1">
      <c r="B113" s="268" t="str">
        <f t="shared" si="5"/>
        <v>Moderate vision loss</v>
      </c>
      <c r="C113" s="167"/>
      <c r="D113" s="167"/>
      <c r="E113" s="269">
        <f t="shared" si="6"/>
        <v>0.17</v>
      </c>
      <c r="F113" s="270">
        <f t="shared" si="10"/>
        <v>59.8797</v>
      </c>
      <c r="G113" s="270">
        <f t="shared" si="10"/>
        <v>68.957099999999997</v>
      </c>
      <c r="H113" s="241">
        <f>I87</f>
        <v>103.95406800000001</v>
      </c>
      <c r="I113" s="271">
        <f>J87</f>
        <v>112.6335672</v>
      </c>
      <c r="J113" s="272">
        <f t="shared" si="7"/>
        <v>491.34787693073196</v>
      </c>
      <c r="K113" s="272">
        <f t="shared" si="8"/>
        <v>557.61421701770621</v>
      </c>
      <c r="L113" s="273"/>
      <c r="M113" s="274">
        <f t="shared" si="11"/>
        <v>551.02324656150734</v>
      </c>
      <c r="N113" s="274">
        <f t="shared" si="9"/>
        <v>617.65376961312063</v>
      </c>
      <c r="O113" s="275">
        <f t="shared" si="12"/>
        <v>1058.2055289553323</v>
      </c>
      <c r="P113" s="275">
        <f t="shared" si="12"/>
        <v>1320.3703066504104</v>
      </c>
    </row>
    <row r="114" spans="1:16" ht="12.75" customHeight="1">
      <c r="B114" s="268" t="str">
        <f t="shared" si="5"/>
        <v>Epilepsy</v>
      </c>
      <c r="C114" s="167"/>
      <c r="D114" s="167"/>
      <c r="E114" s="269">
        <f t="shared" si="6"/>
        <v>0.11</v>
      </c>
      <c r="F114" s="270">
        <f t="shared" si="10"/>
        <v>59.8797</v>
      </c>
      <c r="G114" s="270">
        <f t="shared" si="10"/>
        <v>68.957099999999997</v>
      </c>
      <c r="H114" s="241">
        <f>I85</f>
        <v>90.959809500000006</v>
      </c>
      <c r="I114" s="271">
        <f>J85</f>
        <v>98.554371300000014</v>
      </c>
      <c r="J114" s="272">
        <f t="shared" si="7"/>
        <v>278.18960679166446</v>
      </c>
      <c r="K114" s="272">
        <f t="shared" si="8"/>
        <v>315.70804934090722</v>
      </c>
      <c r="L114" s="273"/>
      <c r="M114" s="274">
        <f t="shared" si="11"/>
        <v>311.9763969502651</v>
      </c>
      <c r="N114" s="274">
        <f t="shared" si="9"/>
        <v>349.70103132507563</v>
      </c>
      <c r="O114" s="275">
        <f t="shared" si="12"/>
        <v>599.13107154088652</v>
      </c>
      <c r="P114" s="275">
        <f t="shared" si="12"/>
        <v>747.56260008883544</v>
      </c>
    </row>
    <row r="115" spans="1:16" ht="12.75" customHeight="1">
      <c r="B115" s="268" t="str">
        <f t="shared" si="5"/>
        <v>Cerebral palsy without ID</v>
      </c>
      <c r="C115" s="167"/>
      <c r="D115" s="167"/>
      <c r="E115" s="269">
        <f t="shared" si="6"/>
        <v>0.17</v>
      </c>
      <c r="F115" s="270">
        <f t="shared" si="10"/>
        <v>59.8797</v>
      </c>
      <c r="G115" s="270">
        <f t="shared" si="10"/>
        <v>68.957099999999997</v>
      </c>
      <c r="H115" s="276">
        <f>I84</f>
        <v>452.95512281954956</v>
      </c>
      <c r="I115" s="276">
        <f>J84</f>
        <v>507.98162718045035</v>
      </c>
      <c r="J115" s="272">
        <f t="shared" si="7"/>
        <v>2140.9314923806987</v>
      </c>
      <c r="K115" s="272">
        <f t="shared" si="8"/>
        <v>2514.8611052745487</v>
      </c>
      <c r="L115" s="273"/>
      <c r="M115" s="274">
        <f t="shared" si="11"/>
        <v>2400.9527200291423</v>
      </c>
      <c r="N115" s="274">
        <f t="shared" si="9"/>
        <v>2785.6417471452683</v>
      </c>
      <c r="O115" s="275">
        <f t="shared" si="12"/>
        <v>4610.8788675426231</v>
      </c>
      <c r="P115" s="275">
        <f t="shared" si="12"/>
        <v>5954.9197768196555</v>
      </c>
    </row>
    <row r="116" spans="1:16">
      <c r="B116" s="268" t="str">
        <f t="shared" si="5"/>
        <v>Mild intellectual disability</v>
      </c>
      <c r="C116" s="167"/>
      <c r="D116" s="167"/>
      <c r="E116" s="269">
        <f t="shared" si="6"/>
        <v>0.28999999999999998</v>
      </c>
      <c r="F116" s="270">
        <f t="shared" ref="F116:G119" si="13">J100</f>
        <v>61.853915557477947</v>
      </c>
      <c r="G116" s="270">
        <f t="shared" si="13"/>
        <v>67.986318494958795</v>
      </c>
      <c r="H116" s="366">
        <f>I83*'From MR worksheet2014'!C31</f>
        <v>68.642724255411252</v>
      </c>
      <c r="I116" s="366">
        <f>J83*'From MR worksheet2014'!G31</f>
        <v>53.858032074754519</v>
      </c>
      <c r="J116" s="272">
        <f t="shared" si="7"/>
        <v>559.79663960650544</v>
      </c>
      <c r="K116" s="272">
        <f t="shared" si="8"/>
        <v>452.90331065153504</v>
      </c>
      <c r="L116" s="273"/>
      <c r="M116" s="274">
        <f t="shared" si="11"/>
        <v>626.28557328361944</v>
      </c>
      <c r="N116" s="274">
        <f t="shared" si="9"/>
        <v>502.39493792798146</v>
      </c>
      <c r="O116" s="275">
        <f t="shared" si="12"/>
        <v>1231.2881682215407</v>
      </c>
      <c r="P116" s="275">
        <f t="shared" si="12"/>
        <v>1061.8667034223304</v>
      </c>
    </row>
    <row r="117" spans="1:16">
      <c r="B117" s="268" t="str">
        <f t="shared" si="5"/>
        <v>Moderate intellectual disability</v>
      </c>
      <c r="C117" s="167"/>
      <c r="D117" s="167"/>
      <c r="E117" s="269">
        <f t="shared" si="6"/>
        <v>0.43</v>
      </c>
      <c r="F117" s="270">
        <f t="shared" si="13"/>
        <v>49.89414924765974</v>
      </c>
      <c r="G117" s="270">
        <f t="shared" si="13"/>
        <v>54.823116118077522</v>
      </c>
      <c r="H117" s="366">
        <f>I83*'From MR worksheet2014'!D31</f>
        <v>23.97802679553903</v>
      </c>
      <c r="I117" s="366">
        <f>J83*'From MR worksheet2014'!H31</f>
        <v>18.813491892283977</v>
      </c>
      <c r="J117" s="272">
        <f t="shared" si="7"/>
        <v>266.75464355104413</v>
      </c>
      <c r="K117" s="272">
        <f t="shared" si="8"/>
        <v>217.59631708882898</v>
      </c>
      <c r="L117" s="273"/>
      <c r="M117" s="274">
        <f t="shared" si="11"/>
        <v>301.19340188396643</v>
      </c>
      <c r="N117" s="274">
        <f t="shared" si="9"/>
        <v>245.20248416539076</v>
      </c>
      <c r="O117" s="275">
        <f t="shared" si="12"/>
        <v>514.43619646843376</v>
      </c>
      <c r="P117" s="275">
        <f t="shared" si="12"/>
        <v>443.50812775679361</v>
      </c>
    </row>
    <row r="118" spans="1:16">
      <c r="B118" s="268" t="str">
        <f t="shared" si="5"/>
        <v>Severe intellectual disability</v>
      </c>
      <c r="C118" s="167"/>
      <c r="D118" s="167"/>
      <c r="E118" s="269">
        <f t="shared" si="6"/>
        <v>0.82</v>
      </c>
      <c r="F118" s="270">
        <f t="shared" si="13"/>
        <v>43.91426609275063</v>
      </c>
      <c r="G118" s="270">
        <f t="shared" si="13"/>
        <v>48.241514929636892</v>
      </c>
      <c r="H118" s="366">
        <f>I83*'From MR worksheet2014'!E31</f>
        <v>11.989013397769515</v>
      </c>
      <c r="I118" s="366">
        <f>J83*'From MR worksheet2014'!I31</f>
        <v>9.4067459461419887</v>
      </c>
      <c r="J118" s="272">
        <f t="shared" si="7"/>
        <v>239.93409675506177</v>
      </c>
      <c r="K118" s="272">
        <f t="shared" si="8"/>
        <v>196.63918222130039</v>
      </c>
      <c r="L118" s="273"/>
      <c r="M118" s="274">
        <f>H118*((0.1658*E118*EXP(0.03*0))/(-0.07^2))*((EXP(-0.07*(F118))*(-0.07*(F118)-1))-(EXP(-0.07*(0))*(-0.07*(0)-1)))</f>
        <v>269.98926991441311</v>
      </c>
      <c r="N118" s="274">
        <f t="shared" si="9"/>
        <v>221.98521594033633</v>
      </c>
      <c r="O118" s="275">
        <f t="shared" si="12"/>
        <v>431.72075412214633</v>
      </c>
      <c r="P118" s="275">
        <f t="shared" si="12"/>
        <v>372.11245350009023</v>
      </c>
    </row>
    <row r="119" spans="1:16">
      <c r="B119" s="268" t="str">
        <f t="shared" si="5"/>
        <v>Profound intellectual disability</v>
      </c>
      <c r="C119" s="167"/>
      <c r="D119" s="167"/>
      <c r="E119" s="269">
        <f t="shared" si="6"/>
        <v>0.76</v>
      </c>
      <c r="F119" s="270">
        <f t="shared" si="13"/>
        <v>30.682184218058126</v>
      </c>
      <c r="G119" s="270">
        <f t="shared" si="13"/>
        <v>33.677971874364005</v>
      </c>
      <c r="H119" s="366">
        <f>I83*'From MR worksheet2014'!F31</f>
        <v>5.2945964736012616</v>
      </c>
      <c r="I119" s="366">
        <f>J83*'From MR worksheet2014'!J31</f>
        <v>4.1542137173499407</v>
      </c>
      <c r="J119" s="272">
        <f t="shared" si="7"/>
        <v>80.701385213188061</v>
      </c>
      <c r="K119" s="272">
        <f t="shared" si="8"/>
        <v>66.922643787680059</v>
      </c>
      <c r="L119" s="273"/>
      <c r="M119" s="274">
        <f>H119*((0.1658*E119*EXP(0.03*0))/(-0.07^2))*((EXP(-0.07*(F119))*(-0.07*(F119)-1))-(EXP(-0.07*(0))*(-0.07*(0)-1)))</f>
        <v>86.119903597790923</v>
      </c>
      <c r="N119" s="274">
        <f t="shared" si="9"/>
        <v>72.87702290702002</v>
      </c>
      <c r="O119" s="275">
        <f t="shared" si="12"/>
        <v>123.46183611611929</v>
      </c>
      <c r="P119" s="275">
        <f t="shared" si="12"/>
        <v>106.32817447708641</v>
      </c>
    </row>
    <row r="120" spans="1:16">
      <c r="A120" s="277"/>
      <c r="B120" s="278" t="s">
        <v>41</v>
      </c>
      <c r="C120" s="279"/>
      <c r="D120" s="279"/>
      <c r="E120" s="280"/>
      <c r="F120" s="281"/>
      <c r="G120" s="280"/>
      <c r="H120" s="282">
        <f>SUM(H111:H119)</f>
        <v>2165.7097500000004</v>
      </c>
      <c r="I120" s="283">
        <f>SUM(I111:I119)</f>
        <v>2346.5326500000001</v>
      </c>
      <c r="J120" s="284">
        <f>SUM(J111:J119)</f>
        <v>8623.7847231734122</v>
      </c>
      <c r="K120" s="284">
        <f>SUM(K111:K119)</f>
        <v>9554.2941106054695</v>
      </c>
      <c r="L120" s="273"/>
      <c r="M120" s="285">
        <f>SUM(M111:M119)</f>
        <v>9668.2367317026055</v>
      </c>
      <c r="N120" s="285">
        <f>SUM(N111:N119)</f>
        <v>10590.851780362329</v>
      </c>
      <c r="O120" s="286">
        <f>SUM(O111:O119)</f>
        <v>18403.097823044063</v>
      </c>
      <c r="P120" s="286">
        <f>SUM(P111:P119)</f>
        <v>22395.596380749244</v>
      </c>
    </row>
    <row r="121" spans="1:16" s="133" customFormat="1">
      <c r="A121" s="138"/>
      <c r="B121" s="287"/>
      <c r="F121" s="288"/>
      <c r="G121" s="289"/>
      <c r="H121" s="290"/>
      <c r="I121" s="291"/>
      <c r="J121" s="128"/>
    </row>
    <row r="122" spans="1:16" s="133" customFormat="1">
      <c r="A122" s="138"/>
      <c r="B122" s="287"/>
      <c r="F122" s="288"/>
      <c r="G122" s="289"/>
      <c r="H122" s="290"/>
      <c r="I122" s="291"/>
      <c r="J122" s="128"/>
    </row>
    <row r="125" spans="1:16">
      <c r="F125" s="335"/>
      <c r="G125" s="335"/>
    </row>
    <row r="126" spans="1:16">
      <c r="F126" s="335"/>
      <c r="G126" s="335"/>
    </row>
    <row r="127" spans="1:16">
      <c r="F127" s="335"/>
      <c r="G127" s="335"/>
    </row>
    <row r="128" spans="1:16">
      <c r="F128" s="335"/>
      <c r="G128" s="335"/>
    </row>
    <row r="129" spans="1:16">
      <c r="F129" s="335"/>
      <c r="G129" s="335"/>
    </row>
    <row r="130" spans="1:16">
      <c r="F130" s="335"/>
      <c r="G130" s="335"/>
    </row>
    <row r="131" spans="1:16">
      <c r="F131" s="335"/>
      <c r="G131" s="335"/>
    </row>
    <row r="132" spans="1:16">
      <c r="A132" s="140"/>
      <c r="F132" s="335"/>
      <c r="G132" s="335"/>
    </row>
    <row r="133" spans="1:16">
      <c r="F133" s="335"/>
      <c r="G133" s="335"/>
    </row>
    <row r="136" spans="1:16">
      <c r="A136" s="292" t="s">
        <v>56</v>
      </c>
      <c r="B136" s="292"/>
      <c r="C136" s="293"/>
      <c r="D136" s="293"/>
      <c r="E136" s="293"/>
      <c r="F136" s="294"/>
      <c r="G136" s="295"/>
      <c r="H136" s="296"/>
      <c r="I136" s="297"/>
      <c r="J136" s="128"/>
    </row>
    <row r="137" spans="1:16">
      <c r="A137" s="298" t="s">
        <v>57</v>
      </c>
      <c r="B137" s="299" t="s">
        <v>58</v>
      </c>
      <c r="C137" s="300" t="s">
        <v>59</v>
      </c>
      <c r="D137" s="299" t="s">
        <v>80</v>
      </c>
      <c r="E137" s="299" t="s">
        <v>81</v>
      </c>
      <c r="F137" s="299" t="s">
        <v>82</v>
      </c>
      <c r="G137" s="299" t="s">
        <v>83</v>
      </c>
      <c r="H137" s="299" t="s">
        <v>84</v>
      </c>
      <c r="I137" s="299" t="s">
        <v>85</v>
      </c>
      <c r="J137" s="301"/>
      <c r="K137" s="302" t="s">
        <v>238</v>
      </c>
    </row>
    <row r="138" spans="1:16">
      <c r="A138" s="303" t="s">
        <v>6</v>
      </c>
      <c r="B138" s="304">
        <f t="array" ref="B138:I138">$L$88*TRANSPOSE('Dismod 2014'!$F$23:$F$30)</f>
        <v>36.273679670696751</v>
      </c>
      <c r="C138" s="304">
        <v>195.87787022176246</v>
      </c>
      <c r="D138" s="304">
        <v>362.73679670696754</v>
      </c>
      <c r="E138" s="304">
        <v>373.61890060817655</v>
      </c>
      <c r="F138" s="304">
        <v>282.93470143143469</v>
      </c>
      <c r="G138" s="304">
        <v>87.056831209672211</v>
      </c>
      <c r="H138" s="304">
        <v>32.646311703627077</v>
      </c>
      <c r="I138" s="304">
        <v>7.2547359341393509</v>
      </c>
      <c r="J138" s="233"/>
      <c r="M138" s="130"/>
      <c r="N138" s="130"/>
      <c r="O138" s="130"/>
      <c r="P138" s="130"/>
    </row>
    <row r="139" spans="1:16">
      <c r="A139" s="303" t="s">
        <v>24</v>
      </c>
      <c r="B139" s="304">
        <f t="array" ref="B139:I139">$L$86*TRANSPOSE('Dismod 2014'!$F$23:$F$30)</f>
        <v>2.1264356646274774</v>
      </c>
      <c r="C139" s="304">
        <v>11.482752588988378</v>
      </c>
      <c r="D139" s="304">
        <v>21.264356646274774</v>
      </c>
      <c r="E139" s="304">
        <v>21.902287345663016</v>
      </c>
      <c r="F139" s="304">
        <v>16.586198184094322</v>
      </c>
      <c r="G139" s="304">
        <v>5.1034455951059456</v>
      </c>
      <c r="H139" s="304">
        <v>1.9137920981647296</v>
      </c>
      <c r="I139" s="304">
        <v>0.42528713292549547</v>
      </c>
      <c r="J139" s="233"/>
      <c r="M139" s="130"/>
      <c r="N139" s="130"/>
      <c r="O139" s="130"/>
      <c r="P139" s="130"/>
    </row>
    <row r="140" spans="1:16">
      <c r="A140" s="303" t="s">
        <v>26</v>
      </c>
      <c r="B140" s="304">
        <f t="array" ref="B140:I140">$L$87*TRANSPOSE('Dismod 2014'!$F$23:$F$30)</f>
        <v>2.8352475528366368</v>
      </c>
      <c r="C140" s="304">
        <v>15.310336785317839</v>
      </c>
      <c r="D140" s="304">
        <v>28.352475528366366</v>
      </c>
      <c r="E140" s="304">
        <v>29.203049794217357</v>
      </c>
      <c r="F140" s="304">
        <v>22.114930912125764</v>
      </c>
      <c r="G140" s="304">
        <v>6.8045941268079275</v>
      </c>
      <c r="H140" s="304">
        <v>2.5517227975529728</v>
      </c>
      <c r="I140" s="304">
        <v>0.56704951056732733</v>
      </c>
      <c r="J140" s="233"/>
      <c r="M140" s="130"/>
      <c r="N140" s="130"/>
      <c r="O140" s="130"/>
      <c r="P140" s="130"/>
    </row>
    <row r="141" spans="1:16">
      <c r="A141" s="303" t="s">
        <v>9</v>
      </c>
      <c r="B141" s="304">
        <f t="array" ref="B141:I141">$L$85*TRANSPOSE('Dismod 2014'!$F$23:$F$30)</f>
        <v>2.4808416087320575</v>
      </c>
      <c r="C141" s="304">
        <v>13.39654468715311</v>
      </c>
      <c r="D141" s="304">
        <v>24.808416087320573</v>
      </c>
      <c r="E141" s="304">
        <v>25.552668569940192</v>
      </c>
      <c r="F141" s="304">
        <v>19.350564548110047</v>
      </c>
      <c r="G141" s="304">
        <v>5.9540198609569375</v>
      </c>
      <c r="H141" s="304">
        <v>2.2327574478588517</v>
      </c>
      <c r="I141" s="304">
        <v>0.49616832174641146</v>
      </c>
      <c r="J141" s="233"/>
      <c r="M141" s="130"/>
      <c r="N141" s="130"/>
      <c r="O141" s="130"/>
      <c r="P141" s="130"/>
    </row>
    <row r="142" spans="1:16">
      <c r="A142" s="303" t="s">
        <v>10</v>
      </c>
      <c r="B142" s="304">
        <f t="array" ref="B142:I142">$L$84*TRANSPOSE('Dismod 2014'!$F$23:$F$30)</f>
        <v>12.353916765613695</v>
      </c>
      <c r="C142" s="304">
        <v>66.711150534313958</v>
      </c>
      <c r="D142" s="304">
        <v>123.53916765613695</v>
      </c>
      <c r="E142" s="304">
        <v>127.24534268582106</v>
      </c>
      <c r="F142" s="304">
        <v>96.360550771786819</v>
      </c>
      <c r="G142" s="304">
        <v>29.649400237472868</v>
      </c>
      <c r="H142" s="304">
        <v>11.118525089052326</v>
      </c>
      <c r="I142" s="304">
        <v>2.470783353122739</v>
      </c>
      <c r="J142" s="233"/>
      <c r="M142" s="130"/>
      <c r="N142" s="130"/>
      <c r="O142" s="130"/>
      <c r="P142" s="130"/>
    </row>
    <row r="143" spans="1:16">
      <c r="A143" s="303" t="s">
        <v>11</v>
      </c>
      <c r="B143" s="314">
        <f t="array" ref="B143:I146">L83*TRANSPOSE('Dismod 2014'!F23:F30)*TRANSPOSE('From MR worksheet2014'!C31:F31)</f>
        <v>1.8721645021645021</v>
      </c>
      <c r="C143" s="314">
        <v>10.109688311688313</v>
      </c>
      <c r="D143" s="314">
        <v>18.721645021645024</v>
      </c>
      <c r="E143" s="314">
        <v>19.283294372294375</v>
      </c>
      <c r="F143" s="314">
        <v>14.602883116883117</v>
      </c>
      <c r="G143" s="314">
        <v>4.493194805194805</v>
      </c>
      <c r="H143" s="314">
        <v>1.684948051948052</v>
      </c>
      <c r="I143" s="314">
        <v>0.37443290043290045</v>
      </c>
      <c r="J143" s="233"/>
      <c r="K143" s="233"/>
      <c r="M143" s="130"/>
      <c r="N143" s="130"/>
      <c r="O143" s="130"/>
      <c r="P143" s="130"/>
    </row>
    <row r="144" spans="1:16">
      <c r="A144" s="303" t="s">
        <v>13</v>
      </c>
      <c r="B144" s="314">
        <v>0.65397769516728621</v>
      </c>
      <c r="C144" s="314">
        <v>3.5314795539033454</v>
      </c>
      <c r="D144" s="314">
        <v>6.5397769516728621</v>
      </c>
      <c r="E144" s="314">
        <v>6.7359702602230485</v>
      </c>
      <c r="F144" s="314">
        <v>5.1010260223048327</v>
      </c>
      <c r="G144" s="314">
        <v>1.569546468401487</v>
      </c>
      <c r="H144" s="314">
        <v>0.58857992565055761</v>
      </c>
      <c r="I144" s="314">
        <v>0.13079553903345725</v>
      </c>
      <c r="J144" s="215"/>
      <c r="M144" s="130"/>
      <c r="N144" s="130"/>
      <c r="O144" s="130"/>
      <c r="P144" s="130"/>
    </row>
    <row r="145" spans="1:16">
      <c r="A145" s="303" t="s">
        <v>15</v>
      </c>
      <c r="B145" s="314">
        <v>0.32698884758364311</v>
      </c>
      <c r="C145" s="314">
        <v>1.7657397769516727</v>
      </c>
      <c r="D145" s="314">
        <v>3.2698884758364311</v>
      </c>
      <c r="E145" s="314">
        <v>3.3679851301115242</v>
      </c>
      <c r="F145" s="314">
        <v>2.5505130111524164</v>
      </c>
      <c r="G145" s="314">
        <v>0.78477323420074352</v>
      </c>
      <c r="H145" s="314">
        <v>0.29428996282527881</v>
      </c>
      <c r="I145" s="314">
        <v>6.5397769516728627E-2</v>
      </c>
      <c r="J145" s="215"/>
      <c r="M145" s="130"/>
      <c r="N145" s="130"/>
      <c r="O145" s="130"/>
      <c r="P145" s="130"/>
    </row>
    <row r="146" spans="1:16">
      <c r="A146" s="303" t="s">
        <v>17</v>
      </c>
      <c r="B146" s="314">
        <v>0.1444050433412136</v>
      </c>
      <c r="C146" s="314">
        <v>0.77978723404255346</v>
      </c>
      <c r="D146" s="314">
        <v>1.444050433412136</v>
      </c>
      <c r="E146" s="314">
        <v>1.4873719464145001</v>
      </c>
      <c r="F146" s="314">
        <v>1.126359338061466</v>
      </c>
      <c r="G146" s="314">
        <v>0.34657210401891264</v>
      </c>
      <c r="H146" s="314">
        <v>0.12996453900709223</v>
      </c>
      <c r="I146" s="314">
        <v>2.8881008668242718E-2</v>
      </c>
      <c r="J146" s="215"/>
      <c r="M146" s="130"/>
      <c r="N146" s="130"/>
      <c r="O146" s="130"/>
      <c r="P146" s="130"/>
    </row>
    <row r="147" spans="1:16">
      <c r="A147" s="298"/>
      <c r="B147" s="321">
        <f>SUM(B138:B146)</f>
        <v>59.067657350763263</v>
      </c>
      <c r="C147" s="321">
        <f t="shared" ref="C147:I147" si="14">SUM(C138:C146)</f>
        <v>318.96534969412164</v>
      </c>
      <c r="D147" s="321">
        <f t="shared" si="14"/>
        <v>590.67657350763261</v>
      </c>
      <c r="E147" s="321">
        <f t="shared" si="14"/>
        <v>608.39687071286164</v>
      </c>
      <c r="F147" s="321">
        <f t="shared" si="14"/>
        <v>460.72772733595349</v>
      </c>
      <c r="G147" s="321">
        <f t="shared" si="14"/>
        <v>141.76237764183185</v>
      </c>
      <c r="H147" s="321">
        <f t="shared" si="14"/>
        <v>53.160891615686943</v>
      </c>
      <c r="I147" s="321">
        <f t="shared" si="14"/>
        <v>11.813531470152654</v>
      </c>
      <c r="J147" s="305">
        <f>SUM(B147:I147)</f>
        <v>2244.5709793290043</v>
      </c>
      <c r="M147" s="130"/>
      <c r="N147" s="130"/>
      <c r="O147" s="130"/>
      <c r="P147" s="130"/>
    </row>
    <row r="148" spans="1:16">
      <c r="A148" s="298" t="s">
        <v>38</v>
      </c>
      <c r="B148" s="299" t="s">
        <v>58</v>
      </c>
      <c r="C148" s="300" t="s">
        <v>59</v>
      </c>
      <c r="D148" s="299" t="s">
        <v>80</v>
      </c>
      <c r="E148" s="299" t="s">
        <v>81</v>
      </c>
      <c r="F148" s="299" t="s">
        <v>82</v>
      </c>
      <c r="G148" s="299" t="s">
        <v>83</v>
      </c>
      <c r="H148" s="299" t="s">
        <v>84</v>
      </c>
      <c r="I148" s="299" t="s">
        <v>85</v>
      </c>
      <c r="J148" s="301"/>
      <c r="M148" s="130"/>
      <c r="N148" s="130"/>
      <c r="O148" s="130"/>
      <c r="P148" s="130"/>
    </row>
    <row r="149" spans="1:16">
      <c r="A149" s="303" t="s">
        <v>6</v>
      </c>
      <c r="B149" s="304">
        <f t="array" ref="B149:I149">$M$88*TRANSPOSE('Dismod 2014'!$F$53:$F$60)</f>
        <v>33.762250699139386</v>
      </c>
      <c r="C149" s="304">
        <v>181.4720975078742</v>
      </c>
      <c r="D149" s="304">
        <v>341.8427883287863</v>
      </c>
      <c r="E149" s="304">
        <v>388.26588304010295</v>
      </c>
      <c r="F149" s="304">
        <v>333.40222565400143</v>
      </c>
      <c r="G149" s="304">
        <v>118.16787744698786</v>
      </c>
      <c r="H149" s="304">
        <v>54.863657386101501</v>
      </c>
      <c r="I149" s="304">
        <v>16.881125349569693</v>
      </c>
      <c r="J149" s="233"/>
      <c r="M149" s="130"/>
      <c r="N149" s="130"/>
      <c r="O149" s="130"/>
      <c r="P149" s="130"/>
    </row>
    <row r="150" spans="1:16">
      <c r="A150" s="303" t="s">
        <v>24</v>
      </c>
      <c r="B150" s="304">
        <f t="array" ref="B150:I150">$M$86*TRANSPOSE('Dismod 2014'!$F$53:$F$60)</f>
        <v>1.9579593088342664</v>
      </c>
      <c r="C150" s="304">
        <v>10.524031284984181</v>
      </c>
      <c r="D150" s="304">
        <v>19.824338001946948</v>
      </c>
      <c r="E150" s="304">
        <v>22.516532051594062</v>
      </c>
      <c r="F150" s="304">
        <v>19.334848174738379</v>
      </c>
      <c r="G150" s="304">
        <v>6.8528575809199328</v>
      </c>
      <c r="H150" s="304">
        <v>3.1816838768556828</v>
      </c>
      <c r="I150" s="304">
        <v>0.97897965441713319</v>
      </c>
      <c r="J150" s="233"/>
    </row>
    <row r="151" spans="1:16">
      <c r="A151" s="303" t="s">
        <v>26</v>
      </c>
      <c r="B151" s="304">
        <f t="array" ref="B151:I151">$M$87*TRANSPOSE('Dismod 2014'!$F$53:$F$60)</f>
        <v>2.6106124117790217</v>
      </c>
      <c r="C151" s="304">
        <v>14.032041713312241</v>
      </c>
      <c r="D151" s="304">
        <v>26.432450669262593</v>
      </c>
      <c r="E151" s="304">
        <v>30.022042735458751</v>
      </c>
      <c r="F151" s="304">
        <v>25.779797566317839</v>
      </c>
      <c r="G151" s="304">
        <v>9.1371434412265753</v>
      </c>
      <c r="H151" s="304">
        <v>4.2422451691409107</v>
      </c>
      <c r="I151" s="304">
        <v>1.3053062058895109</v>
      </c>
      <c r="J151" s="233"/>
    </row>
    <row r="152" spans="1:16">
      <c r="A152" s="303" t="s">
        <v>9</v>
      </c>
      <c r="B152" s="304">
        <f t="array" ref="B152:I152">$M$85*TRANSPOSE('Dismod 2014'!$F$53:$F$60)</f>
        <v>2.2842858603066443</v>
      </c>
      <c r="C152" s="304">
        <v>12.278036499148213</v>
      </c>
      <c r="D152" s="304">
        <v>23.128394335604774</v>
      </c>
      <c r="E152" s="304">
        <v>26.269287393526408</v>
      </c>
      <c r="F152" s="304">
        <v>22.557322870528111</v>
      </c>
      <c r="G152" s="304">
        <v>7.9950005110732549</v>
      </c>
      <c r="H152" s="304">
        <v>3.7119645229982972</v>
      </c>
      <c r="I152" s="304">
        <v>1.1421429301533221</v>
      </c>
      <c r="J152" s="233"/>
    </row>
    <row r="153" spans="1:16">
      <c r="A153" s="303" t="s">
        <v>10</v>
      </c>
      <c r="B153" s="304">
        <f t="array" ref="B153:I153">$M$84*TRANSPOSE('Dismod 2014'!$F$53:$F$60)</f>
        <v>11.773960230862574</v>
      </c>
      <c r="C153" s="304">
        <v>63.285036240886335</v>
      </c>
      <c r="D153" s="304">
        <v>119.21134733748356</v>
      </c>
      <c r="E153" s="304">
        <v>135.4005426549196</v>
      </c>
      <c r="F153" s="304">
        <v>116.26785727976792</v>
      </c>
      <c r="G153" s="304">
        <v>41.208860808019011</v>
      </c>
      <c r="H153" s="304">
        <v>19.132685375151684</v>
      </c>
      <c r="I153" s="304">
        <v>5.8869801154312871</v>
      </c>
      <c r="J153" s="233"/>
    </row>
    <row r="154" spans="1:16">
      <c r="A154" s="303" t="s">
        <v>11</v>
      </c>
      <c r="B154" s="314">
        <f t="array" ref="B154:I157">M83*TRANSPOSE('Dismod 2014'!F53:F60)*TRANSPOSE('From MR worksheet2014'!G31:J31)</f>
        <v>1.2483174465981648</v>
      </c>
      <c r="C154" s="314">
        <v>6.7097062754651358</v>
      </c>
      <c r="D154" s="314">
        <v>12.639214146806417</v>
      </c>
      <c r="E154" s="314">
        <v>14.355650635878895</v>
      </c>
      <c r="F154" s="314">
        <v>12.327134785156876</v>
      </c>
      <c r="G154" s="314">
        <v>4.3691110630935768</v>
      </c>
      <c r="H154" s="314">
        <v>2.0285158507220178</v>
      </c>
      <c r="I154" s="314">
        <v>0.6241587232990824</v>
      </c>
      <c r="J154" s="233"/>
    </row>
    <row r="155" spans="1:16">
      <c r="A155" s="303" t="s">
        <v>13</v>
      </c>
      <c r="B155" s="314">
        <v>0.43605771053747233</v>
      </c>
      <c r="C155" s="314">
        <v>2.3438101941389138</v>
      </c>
      <c r="D155" s="314">
        <v>4.4150843191919069</v>
      </c>
      <c r="E155" s="314">
        <v>5.0146636711809318</v>
      </c>
      <c r="F155" s="314">
        <v>4.3060698915575388</v>
      </c>
      <c r="G155" s="314">
        <v>1.5262019868811532</v>
      </c>
      <c r="H155" s="314">
        <v>0.70859377962339254</v>
      </c>
      <c r="I155" s="314">
        <v>0.21802885526873617</v>
      </c>
      <c r="J155" s="305"/>
    </row>
    <row r="156" spans="1:16">
      <c r="A156" s="303" t="s">
        <v>15</v>
      </c>
      <c r="B156" s="314">
        <v>0.21802885526873617</v>
      </c>
      <c r="C156" s="314">
        <v>1.1719050970694569</v>
      </c>
      <c r="D156" s="314">
        <v>2.2075421595959535</v>
      </c>
      <c r="E156" s="314">
        <v>2.5073318355904659</v>
      </c>
      <c r="F156" s="314">
        <v>2.1530349457787694</v>
      </c>
      <c r="G156" s="314">
        <v>0.76310099344057658</v>
      </c>
      <c r="H156" s="314">
        <v>0.35429688981169627</v>
      </c>
      <c r="I156" s="314">
        <v>0.10901442763436808</v>
      </c>
      <c r="J156" s="305"/>
    </row>
    <row r="157" spans="1:16">
      <c r="A157" s="303" t="s">
        <v>17</v>
      </c>
      <c r="B157" s="314">
        <v>9.6286055403352458E-2</v>
      </c>
      <c r="C157" s="314">
        <v>0.51753754779301953</v>
      </c>
      <c r="D157" s="314">
        <v>0.97489631095894369</v>
      </c>
      <c r="E157" s="314">
        <v>1.1072896371385532</v>
      </c>
      <c r="F157" s="314">
        <v>0.95082479710810552</v>
      </c>
      <c r="G157" s="314">
        <v>0.33700119391173361</v>
      </c>
      <c r="H157" s="314">
        <v>0.15646484003044775</v>
      </c>
      <c r="I157" s="314">
        <v>4.8143027701676229E-2</v>
      </c>
      <c r="J157" s="305"/>
    </row>
    <row r="158" spans="1:16">
      <c r="A158" s="298"/>
      <c r="B158" s="321">
        <f>SUM(B149:B157)</f>
        <v>54.387758578729624</v>
      </c>
      <c r="C158" s="321">
        <f t="shared" ref="C158:I158" si="15">SUM(C149:C157)</f>
        <v>292.33420236067172</v>
      </c>
      <c r="D158" s="321">
        <f t="shared" si="15"/>
        <v>550.67605560963739</v>
      </c>
      <c r="E158" s="321">
        <f t="shared" si="15"/>
        <v>625.45922365539059</v>
      </c>
      <c r="F158" s="321">
        <f t="shared" si="15"/>
        <v>537.07911596495501</v>
      </c>
      <c r="G158" s="321">
        <f t="shared" si="15"/>
        <v>190.35715502555368</v>
      </c>
      <c r="H158" s="321">
        <f t="shared" si="15"/>
        <v>88.380107690435622</v>
      </c>
      <c r="I158" s="321">
        <f t="shared" si="15"/>
        <v>27.193879289364812</v>
      </c>
      <c r="J158" s="305">
        <f>SUM(B158:I158)</f>
        <v>2365.8674981747386</v>
      </c>
    </row>
    <row r="159" spans="1:16">
      <c r="A159" s="292" t="s">
        <v>66</v>
      </c>
      <c r="B159" s="306"/>
      <c r="C159" s="293"/>
      <c r="D159" s="293"/>
      <c r="E159" s="293"/>
      <c r="F159" s="294"/>
      <c r="G159" s="295"/>
      <c r="H159" s="296"/>
      <c r="I159" s="297"/>
      <c r="J159" s="128"/>
    </row>
    <row r="160" spans="1:16">
      <c r="A160" s="298" t="s">
        <v>57</v>
      </c>
      <c r="B160" s="307" t="s">
        <v>58</v>
      </c>
      <c r="C160" s="308" t="s">
        <v>59</v>
      </c>
      <c r="D160" s="309" t="s">
        <v>60</v>
      </c>
      <c r="E160" s="309" t="s">
        <v>61</v>
      </c>
      <c r="F160" s="309" t="s">
        <v>62</v>
      </c>
      <c r="G160" s="310" t="s">
        <v>63</v>
      </c>
      <c r="H160" s="310" t="s">
        <v>64</v>
      </c>
      <c r="I160" s="310" t="s">
        <v>65</v>
      </c>
      <c r="J160" s="301"/>
    </row>
    <row r="161" spans="1:10">
      <c r="A161" s="303" t="s">
        <v>6</v>
      </c>
      <c r="B161" s="311">
        <f t="shared" ref="B161:I169" si="16">$E111*B138</f>
        <v>3.9901047637766425</v>
      </c>
      <c r="C161" s="311">
        <f t="shared" si="16"/>
        <v>21.546565724393872</v>
      </c>
      <c r="D161" s="311">
        <f t="shared" si="16"/>
        <v>39.901047637766432</v>
      </c>
      <c r="E161" s="311">
        <f t="shared" si="16"/>
        <v>41.098079066899423</v>
      </c>
      <c r="F161" s="311">
        <f t="shared" si="16"/>
        <v>31.122817157457817</v>
      </c>
      <c r="G161" s="311">
        <f t="shared" si="16"/>
        <v>9.576251433063943</v>
      </c>
      <c r="H161" s="311">
        <f t="shared" si="16"/>
        <v>3.5910942873989784</v>
      </c>
      <c r="I161" s="311">
        <f t="shared" si="16"/>
        <v>0.79802095275532858</v>
      </c>
      <c r="J161" s="312"/>
    </row>
    <row r="162" spans="1:10">
      <c r="A162" s="303" t="s">
        <v>24</v>
      </c>
      <c r="B162" s="311">
        <f t="shared" si="16"/>
        <v>0.4890802028643198</v>
      </c>
      <c r="C162" s="311">
        <f t="shared" si="16"/>
        <v>2.6410330954673271</v>
      </c>
      <c r="D162" s="311">
        <f t="shared" si="16"/>
        <v>4.8908020286431979</v>
      </c>
      <c r="E162" s="311">
        <f t="shared" si="16"/>
        <v>5.037526089502494</v>
      </c>
      <c r="F162" s="311">
        <f t="shared" si="16"/>
        <v>3.8148255823416943</v>
      </c>
      <c r="G162" s="311">
        <f t="shared" si="16"/>
        <v>1.1737924868743677</v>
      </c>
      <c r="H162" s="311">
        <f t="shared" si="16"/>
        <v>0.44017218257788782</v>
      </c>
      <c r="I162" s="311">
        <f t="shared" si="16"/>
        <v>9.7816040572863958E-2</v>
      </c>
      <c r="J162" s="312"/>
    </row>
    <row r="163" spans="1:10">
      <c r="A163" s="303" t="s">
        <v>26</v>
      </c>
      <c r="B163" s="311">
        <f t="shared" si="16"/>
        <v>0.48199208398222826</v>
      </c>
      <c r="C163" s="311">
        <f t="shared" si="16"/>
        <v>2.6027572535040329</v>
      </c>
      <c r="D163" s="311">
        <f t="shared" si="16"/>
        <v>4.8199208398222826</v>
      </c>
      <c r="E163" s="311">
        <f t="shared" si="16"/>
        <v>4.9645184650169512</v>
      </c>
      <c r="F163" s="311">
        <f t="shared" si="16"/>
        <v>3.7595382550613801</v>
      </c>
      <c r="G163" s="311">
        <f t="shared" si="16"/>
        <v>1.1567810015573479</v>
      </c>
      <c r="H163" s="311">
        <f t="shared" si="16"/>
        <v>0.43379287558400542</v>
      </c>
      <c r="I163" s="311">
        <f t="shared" si="16"/>
        <v>9.6398416796445646E-2</v>
      </c>
      <c r="J163" s="312"/>
    </row>
    <row r="164" spans="1:10">
      <c r="A164" s="303" t="s">
        <v>9</v>
      </c>
      <c r="B164" s="311">
        <f t="shared" si="16"/>
        <v>0.27289257696052632</v>
      </c>
      <c r="C164" s="311">
        <f t="shared" si="16"/>
        <v>1.4736199155868421</v>
      </c>
      <c r="D164" s="311">
        <f t="shared" si="16"/>
        <v>2.7289257696052629</v>
      </c>
      <c r="E164" s="311">
        <f t="shared" si="16"/>
        <v>2.8107935426934212</v>
      </c>
      <c r="F164" s="311">
        <f t="shared" si="16"/>
        <v>2.1285621002921054</v>
      </c>
      <c r="G164" s="311">
        <f t="shared" si="16"/>
        <v>0.65494218470526311</v>
      </c>
      <c r="H164" s="311">
        <f t="shared" si="16"/>
        <v>0.24560331926447368</v>
      </c>
      <c r="I164" s="311">
        <f t="shared" si="16"/>
        <v>5.4578515392105259E-2</v>
      </c>
      <c r="J164" s="312"/>
    </row>
    <row r="165" spans="1:10">
      <c r="A165" s="303" t="s">
        <v>10</v>
      </c>
      <c r="B165" s="311">
        <f t="shared" si="16"/>
        <v>2.1001658501543283</v>
      </c>
      <c r="C165" s="311">
        <f t="shared" si="16"/>
        <v>11.340895590833373</v>
      </c>
      <c r="D165" s="311">
        <f t="shared" si="16"/>
        <v>21.001658501543282</v>
      </c>
      <c r="E165" s="311">
        <f t="shared" si="16"/>
        <v>21.631708256589583</v>
      </c>
      <c r="F165" s="311">
        <f t="shared" si="16"/>
        <v>16.381293631203761</v>
      </c>
      <c r="G165" s="311">
        <f t="shared" si="16"/>
        <v>5.0403980403703876</v>
      </c>
      <c r="H165" s="311">
        <f t="shared" si="16"/>
        <v>1.8901492651388956</v>
      </c>
      <c r="I165" s="311">
        <f t="shared" si="16"/>
        <v>0.42003317003086565</v>
      </c>
      <c r="J165" s="312"/>
    </row>
    <row r="166" spans="1:10">
      <c r="A166" s="303" t="s">
        <v>11</v>
      </c>
      <c r="B166" s="311">
        <f t="shared" si="16"/>
        <v>0.54292770562770554</v>
      </c>
      <c r="C166" s="311">
        <f t="shared" si="16"/>
        <v>2.9318096103896103</v>
      </c>
      <c r="D166" s="311">
        <f t="shared" si="16"/>
        <v>5.4292770562770567</v>
      </c>
      <c r="E166" s="311">
        <f t="shared" si="16"/>
        <v>5.5921553679653684</v>
      </c>
      <c r="F166" s="311">
        <f t="shared" si="16"/>
        <v>4.2348361038961038</v>
      </c>
      <c r="G166" s="311">
        <f t="shared" si="16"/>
        <v>1.3030264935064932</v>
      </c>
      <c r="H166" s="311">
        <f t="shared" si="16"/>
        <v>0.48863493506493505</v>
      </c>
      <c r="I166" s="311">
        <f t="shared" si="16"/>
        <v>0.10858554112554113</v>
      </c>
      <c r="J166" s="312"/>
    </row>
    <row r="167" spans="1:10">
      <c r="A167" s="303" t="s">
        <v>13</v>
      </c>
      <c r="B167" s="311">
        <f t="shared" si="16"/>
        <v>0.28121040892193305</v>
      </c>
      <c r="C167" s="311">
        <f t="shared" si="16"/>
        <v>1.5185362081784386</v>
      </c>
      <c r="D167" s="311">
        <f t="shared" si="16"/>
        <v>2.8121040892193307</v>
      </c>
      <c r="E167" s="311">
        <f t="shared" si="16"/>
        <v>2.8964672118959109</v>
      </c>
      <c r="F167" s="311">
        <f t="shared" si="16"/>
        <v>2.1934411895910779</v>
      </c>
      <c r="G167" s="311">
        <f t="shared" si="16"/>
        <v>0.67490498141263944</v>
      </c>
      <c r="H167" s="311">
        <f t="shared" si="16"/>
        <v>0.25308936802973975</v>
      </c>
      <c r="I167" s="311">
        <f t="shared" si="16"/>
        <v>5.6242081784386617E-2</v>
      </c>
      <c r="J167" s="312"/>
    </row>
    <row r="168" spans="1:10">
      <c r="A168" s="303" t="s">
        <v>15</v>
      </c>
      <c r="B168" s="311">
        <f t="shared" si="16"/>
        <v>0.26813085501858736</v>
      </c>
      <c r="C168" s="311">
        <f t="shared" si="16"/>
        <v>1.4479066171003716</v>
      </c>
      <c r="D168" s="311">
        <f t="shared" si="16"/>
        <v>2.6813085501858733</v>
      </c>
      <c r="E168" s="311">
        <f t="shared" si="16"/>
        <v>2.7617478066914498</v>
      </c>
      <c r="F168" s="311">
        <f t="shared" si="16"/>
        <v>2.0914206691449815</v>
      </c>
      <c r="G168" s="311">
        <f t="shared" si="16"/>
        <v>0.64351405204460965</v>
      </c>
      <c r="H168" s="311">
        <f t="shared" si="16"/>
        <v>0.24131776951672862</v>
      </c>
      <c r="I168" s="311">
        <f t="shared" si="16"/>
        <v>5.3626171003717471E-2</v>
      </c>
      <c r="J168" s="312"/>
    </row>
    <row r="169" spans="1:10">
      <c r="A169" s="303" t="s">
        <v>17</v>
      </c>
      <c r="B169" s="311">
        <f t="shared" si="16"/>
        <v>0.10974783293932233</v>
      </c>
      <c r="C169" s="311">
        <f t="shared" si="16"/>
        <v>0.59263829787234068</v>
      </c>
      <c r="D169" s="311">
        <f t="shared" si="16"/>
        <v>1.0974783293932233</v>
      </c>
      <c r="E169" s="311">
        <f t="shared" si="16"/>
        <v>1.1304026792750201</v>
      </c>
      <c r="F169" s="311">
        <f t="shared" si="16"/>
        <v>0.85603309692671425</v>
      </c>
      <c r="G169" s="311">
        <f t="shared" si="16"/>
        <v>0.26339479905437363</v>
      </c>
      <c r="H169" s="311">
        <f t="shared" si="16"/>
        <v>9.8773049645390104E-2</v>
      </c>
      <c r="I169" s="311">
        <f t="shared" si="16"/>
        <v>2.1949566587864466E-2</v>
      </c>
      <c r="J169" s="312"/>
    </row>
    <row r="170" spans="1:10">
      <c r="A170" s="298"/>
      <c r="B170" s="311">
        <f t="shared" ref="B170:I170" si="17">SUM(B161:B169)</f>
        <v>8.5362522802455914</v>
      </c>
      <c r="C170" s="311">
        <f t="shared" si="17"/>
        <v>46.095762313326212</v>
      </c>
      <c r="D170" s="311">
        <f t="shared" si="17"/>
        <v>85.362522802455942</v>
      </c>
      <c r="E170" s="311">
        <f t="shared" si="17"/>
        <v>87.923398486529635</v>
      </c>
      <c r="F170" s="311">
        <f t="shared" si="17"/>
        <v>66.582767785915635</v>
      </c>
      <c r="G170" s="311">
        <f t="shared" si="17"/>
        <v>20.487005472589424</v>
      </c>
      <c r="H170" s="311">
        <f t="shared" si="17"/>
        <v>7.6826270522210356</v>
      </c>
      <c r="I170" s="311">
        <f t="shared" si="17"/>
        <v>1.7072504560491191</v>
      </c>
      <c r="J170" s="322">
        <f>SUM(B170:I170)</f>
        <v>324.37758664933261</v>
      </c>
    </row>
    <row r="171" spans="1:10">
      <c r="A171" s="298" t="s">
        <v>38</v>
      </c>
      <c r="B171" s="307" t="s">
        <v>58</v>
      </c>
      <c r="C171" s="308" t="s">
        <v>59</v>
      </c>
      <c r="D171" s="309" t="s">
        <v>60</v>
      </c>
      <c r="E171" s="309" t="s">
        <v>61</v>
      </c>
      <c r="F171" s="309" t="s">
        <v>62</v>
      </c>
      <c r="G171" s="310" t="s">
        <v>63</v>
      </c>
      <c r="H171" s="310" t="s">
        <v>64</v>
      </c>
      <c r="I171" s="310" t="s">
        <v>65</v>
      </c>
    </row>
    <row r="172" spans="1:10">
      <c r="A172" s="303" t="s">
        <v>6</v>
      </c>
      <c r="B172" s="311">
        <f t="shared" ref="B172:I180" si="18">$E111*B149</f>
        <v>3.7138475769053323</v>
      </c>
      <c r="C172" s="311">
        <f t="shared" si="18"/>
        <v>19.961930725866161</v>
      </c>
      <c r="D172" s="311">
        <f t="shared" si="18"/>
        <v>37.602706716166495</v>
      </c>
      <c r="E172" s="311">
        <f t="shared" si="18"/>
        <v>42.709247134411328</v>
      </c>
      <c r="F172" s="311">
        <f t="shared" si="18"/>
        <v>36.674244821940157</v>
      </c>
      <c r="G172" s="311">
        <f t="shared" si="18"/>
        <v>12.998466519168664</v>
      </c>
      <c r="H172" s="311">
        <f t="shared" si="18"/>
        <v>6.0350023124711649</v>
      </c>
      <c r="I172" s="311">
        <f t="shared" si="18"/>
        <v>1.8569237884526661</v>
      </c>
      <c r="J172" s="312"/>
    </row>
    <row r="173" spans="1:10">
      <c r="A173" s="303" t="s">
        <v>24</v>
      </c>
      <c r="B173" s="311">
        <f t="shared" si="18"/>
        <v>0.45033064103188131</v>
      </c>
      <c r="C173" s="311">
        <f t="shared" si="18"/>
        <v>2.4205271955463616</v>
      </c>
      <c r="D173" s="311">
        <f t="shared" si="18"/>
        <v>4.5595977404477983</v>
      </c>
      <c r="E173" s="311">
        <f t="shared" si="18"/>
        <v>5.1788023718666345</v>
      </c>
      <c r="F173" s="311">
        <f t="shared" si="18"/>
        <v>4.4470150801898276</v>
      </c>
      <c r="G173" s="311">
        <f t="shared" si="18"/>
        <v>1.5761572436115847</v>
      </c>
      <c r="H173" s="311">
        <f t="shared" si="18"/>
        <v>0.73178729167680712</v>
      </c>
      <c r="I173" s="311">
        <f t="shared" si="18"/>
        <v>0.22516532051594065</v>
      </c>
      <c r="J173" s="312"/>
    </row>
    <row r="174" spans="1:10">
      <c r="A174" s="303" t="s">
        <v>26</v>
      </c>
      <c r="B174" s="311">
        <f t="shared" si="18"/>
        <v>0.44380411000243369</v>
      </c>
      <c r="C174" s="311">
        <f t="shared" si="18"/>
        <v>2.3854470912630812</v>
      </c>
      <c r="D174" s="311">
        <f t="shared" si="18"/>
        <v>4.4935166137746414</v>
      </c>
      <c r="E174" s="311">
        <f t="shared" si="18"/>
        <v>5.1037472650279883</v>
      </c>
      <c r="F174" s="311">
        <f t="shared" si="18"/>
        <v>4.3825655862740334</v>
      </c>
      <c r="G174" s="311">
        <f t="shared" si="18"/>
        <v>1.5533143850085178</v>
      </c>
      <c r="H174" s="311">
        <f t="shared" si="18"/>
        <v>0.72118167875395489</v>
      </c>
      <c r="I174" s="311">
        <f t="shared" si="18"/>
        <v>0.22190205500121685</v>
      </c>
      <c r="J174" s="312"/>
    </row>
    <row r="175" spans="1:10">
      <c r="A175" s="303" t="s">
        <v>9</v>
      </c>
      <c r="B175" s="311">
        <f t="shared" si="18"/>
        <v>0.25127144463373086</v>
      </c>
      <c r="C175" s="311">
        <f t="shared" si="18"/>
        <v>1.3505840149063033</v>
      </c>
      <c r="D175" s="311">
        <f t="shared" si="18"/>
        <v>2.544123376916525</v>
      </c>
      <c r="E175" s="311">
        <f t="shared" si="18"/>
        <v>2.8896216132879049</v>
      </c>
      <c r="F175" s="311">
        <f t="shared" si="18"/>
        <v>2.4813055157580921</v>
      </c>
      <c r="G175" s="311">
        <f t="shared" si="18"/>
        <v>0.87945005621805805</v>
      </c>
      <c r="H175" s="311">
        <f t="shared" si="18"/>
        <v>0.40831609752981268</v>
      </c>
      <c r="I175" s="311">
        <f t="shared" si="18"/>
        <v>0.12563572231686543</v>
      </c>
      <c r="J175" s="312"/>
    </row>
    <row r="176" spans="1:10">
      <c r="A176" s="303" t="s">
        <v>10</v>
      </c>
      <c r="B176" s="311">
        <f t="shared" si="18"/>
        <v>2.0015732392466377</v>
      </c>
      <c r="C176" s="311">
        <f t="shared" si="18"/>
        <v>10.758456160950677</v>
      </c>
      <c r="D176" s="311">
        <f t="shared" si="18"/>
        <v>20.265929047372207</v>
      </c>
      <c r="E176" s="311">
        <f t="shared" si="18"/>
        <v>23.018092251336334</v>
      </c>
      <c r="F176" s="311">
        <f t="shared" si="18"/>
        <v>19.765535737560548</v>
      </c>
      <c r="G176" s="311">
        <f t="shared" si="18"/>
        <v>7.005506337363232</v>
      </c>
      <c r="H176" s="311">
        <f t="shared" si="18"/>
        <v>3.2525565137757866</v>
      </c>
      <c r="I176" s="311">
        <f t="shared" si="18"/>
        <v>1.0007866196233188</v>
      </c>
      <c r="J176" s="312"/>
    </row>
    <row r="177" spans="1:10">
      <c r="A177" s="303" t="s">
        <v>11</v>
      </c>
      <c r="B177" s="311">
        <f t="shared" si="18"/>
        <v>0.36201205951346777</v>
      </c>
      <c r="C177" s="311">
        <f t="shared" si="18"/>
        <v>1.9458148198848892</v>
      </c>
      <c r="D177" s="311">
        <f t="shared" si="18"/>
        <v>3.6653721025738606</v>
      </c>
      <c r="E177" s="311">
        <f t="shared" si="18"/>
        <v>4.1631386844048794</v>
      </c>
      <c r="F177" s="311">
        <f t="shared" si="18"/>
        <v>3.5748690876954936</v>
      </c>
      <c r="G177" s="311">
        <f t="shared" si="18"/>
        <v>1.2670422082971371</v>
      </c>
      <c r="H177" s="311">
        <f t="shared" si="18"/>
        <v>0.58826959670938517</v>
      </c>
      <c r="I177" s="311">
        <f t="shared" si="18"/>
        <v>0.18100602975673388</v>
      </c>
      <c r="J177" s="312"/>
    </row>
    <row r="178" spans="1:10">
      <c r="A178" s="303" t="s">
        <v>13</v>
      </c>
      <c r="B178" s="311">
        <f t="shared" si="18"/>
        <v>0.18750481553111309</v>
      </c>
      <c r="C178" s="311">
        <f t="shared" si="18"/>
        <v>1.0078383834797329</v>
      </c>
      <c r="D178" s="311">
        <f t="shared" si="18"/>
        <v>1.8984862572525198</v>
      </c>
      <c r="E178" s="311">
        <f t="shared" si="18"/>
        <v>2.1563053786078008</v>
      </c>
      <c r="F178" s="311">
        <f t="shared" si="18"/>
        <v>1.8516100533697417</v>
      </c>
      <c r="G178" s="311">
        <f t="shared" si="18"/>
        <v>0.65626685435889587</v>
      </c>
      <c r="H178" s="311">
        <f t="shared" si="18"/>
        <v>0.30469532523805881</v>
      </c>
      <c r="I178" s="311">
        <f t="shared" si="18"/>
        <v>9.3752407765556545E-2</v>
      </c>
      <c r="J178" s="312"/>
    </row>
    <row r="179" spans="1:10">
      <c r="A179" s="303" t="s">
        <v>15</v>
      </c>
      <c r="B179" s="311">
        <f t="shared" si="18"/>
        <v>0.17878366132036363</v>
      </c>
      <c r="C179" s="311">
        <f t="shared" si="18"/>
        <v>0.96096217959695462</v>
      </c>
      <c r="D179" s="311">
        <f t="shared" si="18"/>
        <v>1.8101845708686817</v>
      </c>
      <c r="E179" s="311">
        <f t="shared" si="18"/>
        <v>2.0560121051841818</v>
      </c>
      <c r="F179" s="311">
        <f t="shared" si="18"/>
        <v>1.7654886555385909</v>
      </c>
      <c r="G179" s="311">
        <f t="shared" si="18"/>
        <v>0.62574281462127279</v>
      </c>
      <c r="H179" s="311">
        <f t="shared" si="18"/>
        <v>0.2905234496455909</v>
      </c>
      <c r="I179" s="311">
        <f t="shared" si="18"/>
        <v>8.9391830660181817E-2</v>
      </c>
      <c r="J179" s="312"/>
    </row>
    <row r="180" spans="1:10">
      <c r="A180" s="303" t="s">
        <v>17</v>
      </c>
      <c r="B180" s="311">
        <f t="shared" si="18"/>
        <v>7.317740210654787E-2</v>
      </c>
      <c r="C180" s="311">
        <f t="shared" si="18"/>
        <v>0.39332853632269482</v>
      </c>
      <c r="D180" s="311">
        <f t="shared" si="18"/>
        <v>0.74092119632879716</v>
      </c>
      <c r="E180" s="311">
        <f t="shared" si="18"/>
        <v>0.84154012422530045</v>
      </c>
      <c r="F180" s="311">
        <f t="shared" si="18"/>
        <v>0.72262684580216019</v>
      </c>
      <c r="G180" s="311">
        <f t="shared" si="18"/>
        <v>0.25612090737291754</v>
      </c>
      <c r="H180" s="311">
        <f t="shared" si="18"/>
        <v>0.1189132784231403</v>
      </c>
      <c r="I180" s="311">
        <f t="shared" si="18"/>
        <v>3.6588701053273935E-2</v>
      </c>
      <c r="J180" s="312"/>
    </row>
    <row r="181" spans="1:10">
      <c r="A181" s="313"/>
      <c r="B181" s="311">
        <f>SUM(B172:B180)</f>
        <v>7.6623049502915084</v>
      </c>
      <c r="C181" s="311">
        <f t="shared" ref="C181:I181" si="19">SUM(C172:C180)</f>
        <v>41.184889107816858</v>
      </c>
      <c r="D181" s="311">
        <f t="shared" si="19"/>
        <v>77.580837621701519</v>
      </c>
      <c r="E181" s="311">
        <f t="shared" si="19"/>
        <v>88.116506928352365</v>
      </c>
      <c r="F181" s="311">
        <f t="shared" si="19"/>
        <v>75.665261384128627</v>
      </c>
      <c r="G181" s="311">
        <f t="shared" si="19"/>
        <v>26.818067326020284</v>
      </c>
      <c r="H181" s="311">
        <f t="shared" si="19"/>
        <v>12.451245544223701</v>
      </c>
      <c r="I181" s="311">
        <f t="shared" si="19"/>
        <v>3.8311524751457542</v>
      </c>
      <c r="J181" s="312">
        <f>SUM(B181:I181)</f>
        <v>333.31026533768062</v>
      </c>
    </row>
  </sheetData>
  <mergeCells count="8">
    <mergeCell ref="N81:N82"/>
    <mergeCell ref="A6:E6"/>
    <mergeCell ref="A1:E1"/>
    <mergeCell ref="A2:E2"/>
    <mergeCell ref="A3:E3"/>
    <mergeCell ref="A4:E4"/>
    <mergeCell ref="A5:E5"/>
    <mergeCell ref="H18:K18"/>
  </mergeCells>
  <pageMargins left="0.75" right="0.75" top="1" bottom="1" header="0.5" footer="0.5"/>
  <pageSetup paperSize="9" scale="63" orientation="portrait" horizontalDpi="300" verticalDpi="300" r:id="rId1"/>
  <headerFooter alignWithMargins="0">
    <oddHeader>&amp;C&amp;A</oddHeader>
    <oddFooter>&amp;L&amp;D&amp;RPage &amp;P</oddFooter>
  </headerFooter>
  <colBreaks count="1" manualBreakCount="1">
    <brk id="12" max="1048575" man="1"/>
  </colBreaks>
  <ignoredErrors>
    <ignoredError sqref="K89" formula="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1"/>
  <sheetViews>
    <sheetView zoomScale="106" zoomScaleNormal="106" workbookViewId="0">
      <selection activeCell="M36" sqref="M36"/>
    </sheetView>
  </sheetViews>
  <sheetFormatPr baseColWidth="10" defaultColWidth="8.83203125" defaultRowHeight="13"/>
  <sheetData>
    <row r="1" spans="1:11">
      <c r="A1" s="29" t="s">
        <v>74</v>
      </c>
    </row>
    <row r="2" spans="1:11">
      <c r="A2" s="21"/>
      <c r="B2" s="21"/>
      <c r="C2" s="21"/>
      <c r="D2" s="315"/>
      <c r="E2" s="315"/>
      <c r="F2" s="3"/>
      <c r="G2" s="4" t="s">
        <v>98</v>
      </c>
      <c r="H2" s="5"/>
      <c r="I2" s="5"/>
      <c r="J2" s="5"/>
      <c r="K2" s="6" t="s">
        <v>99</v>
      </c>
    </row>
    <row r="3" spans="1:11">
      <c r="A3" s="25" t="s">
        <v>100</v>
      </c>
      <c r="B3" s="9"/>
      <c r="C3" s="9"/>
      <c r="D3" s="316"/>
      <c r="E3" s="316"/>
      <c r="F3" s="7"/>
      <c r="G3" s="8" t="s">
        <v>101</v>
      </c>
      <c r="H3" s="8" t="s">
        <v>102</v>
      </c>
      <c r="I3" s="8" t="s">
        <v>103</v>
      </c>
      <c r="J3" s="8" t="s">
        <v>104</v>
      </c>
      <c r="K3" s="9" t="s">
        <v>105</v>
      </c>
    </row>
    <row r="4" spans="1:11" ht="14" thickBot="1">
      <c r="A4" s="10" t="s">
        <v>36</v>
      </c>
      <c r="B4" s="317"/>
      <c r="C4" s="21"/>
      <c r="D4" s="315"/>
      <c r="E4" s="315"/>
      <c r="F4" s="3"/>
      <c r="G4" s="11"/>
      <c r="H4" s="11"/>
      <c r="I4" s="11"/>
      <c r="J4" s="11"/>
      <c r="K4" s="6"/>
    </row>
    <row r="5" spans="1:11">
      <c r="A5" s="10"/>
      <c r="B5" s="317" t="s">
        <v>106</v>
      </c>
      <c r="C5" s="21"/>
      <c r="D5" s="315"/>
      <c r="E5" s="315"/>
      <c r="F5" s="3"/>
      <c r="G5" s="12">
        <v>51.081643774875729</v>
      </c>
      <c r="H5" s="31">
        <v>44.720065950504335</v>
      </c>
      <c r="I5" s="31">
        <v>41.539277038318637</v>
      </c>
      <c r="J5" s="31">
        <v>36.534835816479806</v>
      </c>
      <c r="K5" s="32">
        <v>54</v>
      </c>
    </row>
    <row r="6" spans="1:11" ht="17" thickBot="1">
      <c r="A6" s="14"/>
      <c r="B6" s="317" t="s">
        <v>48</v>
      </c>
      <c r="C6" s="21"/>
      <c r="D6" s="315"/>
      <c r="E6" s="315"/>
      <c r="F6" s="3"/>
      <c r="G6" s="13">
        <v>61.853915557477947</v>
      </c>
      <c r="H6" s="33">
        <v>49.89414924765974</v>
      </c>
      <c r="I6" s="33">
        <v>43.91426609275063</v>
      </c>
      <c r="J6" s="33">
        <v>30.682184218058126</v>
      </c>
      <c r="K6" s="34"/>
    </row>
    <row r="7" spans="1:11" ht="14" thickBot="1">
      <c r="A7" s="15" t="s">
        <v>38</v>
      </c>
      <c r="B7" s="317"/>
      <c r="C7" s="21"/>
      <c r="D7" s="315"/>
      <c r="E7" s="315"/>
      <c r="F7" s="3"/>
      <c r="G7" s="16"/>
      <c r="H7" s="17"/>
      <c r="I7" s="17"/>
      <c r="J7" s="17"/>
      <c r="K7" s="18"/>
    </row>
    <row r="8" spans="1:11">
      <c r="A8" s="10"/>
      <c r="B8" s="317" t="s">
        <v>106</v>
      </c>
      <c r="C8" s="21"/>
      <c r="D8" s="315"/>
      <c r="E8" s="315"/>
      <c r="F8" s="3"/>
      <c r="G8" s="12">
        <v>56.130100751243035</v>
      </c>
      <c r="H8" s="31">
        <v>49.128397359284918</v>
      </c>
      <c r="I8" s="31">
        <v>45.62754566330586</v>
      </c>
      <c r="J8" s="31">
        <v>40.119538994965467</v>
      </c>
      <c r="K8" s="32">
        <v>59.4</v>
      </c>
    </row>
    <row r="9" spans="1:11" ht="17" thickBot="1">
      <c r="A9" s="19"/>
      <c r="B9" s="318" t="s">
        <v>48</v>
      </c>
      <c r="C9" s="9"/>
      <c r="D9" s="316"/>
      <c r="E9" s="316"/>
      <c r="F9" s="7"/>
      <c r="G9" s="13">
        <v>67.986318494958795</v>
      </c>
      <c r="H9" s="33">
        <v>54.823116118077522</v>
      </c>
      <c r="I9" s="33">
        <v>48.241514929636892</v>
      </c>
      <c r="J9" s="33">
        <v>33.677971874364005</v>
      </c>
      <c r="K9" s="34"/>
    </row>
    <row r="10" spans="1:11" ht="16">
      <c r="A10" s="20"/>
      <c r="B10" s="317"/>
      <c r="C10" s="21"/>
      <c r="D10" s="315"/>
      <c r="E10" s="315"/>
      <c r="F10" s="3"/>
      <c r="G10" s="16"/>
      <c r="H10" s="17"/>
      <c r="I10" s="17"/>
      <c r="J10" s="17"/>
      <c r="K10" s="21"/>
    </row>
    <row r="13" spans="1:11">
      <c r="A13" s="29" t="s">
        <v>70</v>
      </c>
    </row>
    <row r="14" spans="1:11">
      <c r="A14" s="22"/>
      <c r="B14" s="21"/>
      <c r="C14" s="23" t="s">
        <v>107</v>
      </c>
      <c r="D14" s="23"/>
      <c r="E14" s="23"/>
      <c r="F14" s="23"/>
      <c r="G14" s="24" t="s">
        <v>108</v>
      </c>
      <c r="H14" s="23"/>
      <c r="I14" s="23"/>
      <c r="J14" s="23"/>
    </row>
    <row r="15" spans="1:11">
      <c r="A15" s="25" t="s">
        <v>100</v>
      </c>
      <c r="B15" s="9"/>
      <c r="C15" s="8" t="s">
        <v>101</v>
      </c>
      <c r="D15" s="8" t="s">
        <v>102</v>
      </c>
      <c r="E15" s="8" t="s">
        <v>103</v>
      </c>
      <c r="F15" s="8" t="s">
        <v>104</v>
      </c>
      <c r="G15" s="26" t="s">
        <v>101</v>
      </c>
      <c r="H15" s="8" t="s">
        <v>102</v>
      </c>
      <c r="I15" s="8" t="s">
        <v>103</v>
      </c>
      <c r="J15" s="8" t="s">
        <v>104</v>
      </c>
    </row>
    <row r="16" spans="1:11">
      <c r="A16" s="6" t="s">
        <v>109</v>
      </c>
      <c r="B16" s="6"/>
      <c r="C16" s="27">
        <v>303.52941176470591</v>
      </c>
      <c r="D16" s="27">
        <v>125.20588235294117</v>
      </c>
      <c r="E16" s="27">
        <v>60.705882352941174</v>
      </c>
      <c r="F16" s="27">
        <v>26.558823529411764</v>
      </c>
      <c r="G16" s="27">
        <v>219.2413793103448</v>
      </c>
      <c r="H16" s="27">
        <v>90.275862068965523</v>
      </c>
      <c r="I16" s="27">
        <v>45.137931034482762</v>
      </c>
      <c r="J16" s="27">
        <v>19.344827586206897</v>
      </c>
    </row>
    <row r="17" spans="1:17">
      <c r="A17" s="6" t="s">
        <v>110</v>
      </c>
      <c r="B17" s="6"/>
      <c r="C17" s="27">
        <v>600.26645759820894</v>
      </c>
      <c r="D17" s="27">
        <v>197.1653667870836</v>
      </c>
      <c r="E17" s="27">
        <v>100.47974221707121</v>
      </c>
      <c r="F17" s="27">
        <v>44.035796118605049</v>
      </c>
      <c r="G17" s="27">
        <v>489.88937634058982</v>
      </c>
      <c r="H17" s="27">
        <v>162.66108448285243</v>
      </c>
      <c r="I17" s="27">
        <v>81.330542241426215</v>
      </c>
      <c r="J17" s="27">
        <v>36.044688645125639</v>
      </c>
    </row>
    <row r="18" spans="1:17">
      <c r="A18" s="6" t="s">
        <v>111</v>
      </c>
      <c r="B18" s="6"/>
      <c r="C18" s="27">
        <v>91.523632340548346</v>
      </c>
      <c r="D18" s="27">
        <v>26.64225199504337</v>
      </c>
      <c r="E18" s="27">
        <v>13.321125997521685</v>
      </c>
      <c r="F18" s="27">
        <v>6.3535157683215129</v>
      </c>
      <c r="G18" s="27">
        <v>71.810709433006039</v>
      </c>
      <c r="H18" s="27">
        <v>20.903879880315532</v>
      </c>
      <c r="I18" s="27">
        <v>10.451939940157766</v>
      </c>
      <c r="J18" s="27">
        <v>4.9850564608199281</v>
      </c>
    </row>
    <row r="19" spans="1:17">
      <c r="A19" s="6" t="s">
        <v>112</v>
      </c>
      <c r="B19" s="6"/>
      <c r="C19" s="27">
        <v>80.083178297979799</v>
      </c>
      <c r="D19" s="27">
        <v>21.313801596034693</v>
      </c>
      <c r="E19" s="27">
        <v>10.656900798017347</v>
      </c>
      <c r="F19" s="27">
        <v>5.2945964736012616</v>
      </c>
      <c r="G19" s="27">
        <v>62.834370753880279</v>
      </c>
      <c r="H19" s="27">
        <v>16.723103904252426</v>
      </c>
      <c r="I19" s="27">
        <v>8.3615519521262129</v>
      </c>
      <c r="J19" s="27">
        <v>4.1542137173499407</v>
      </c>
      <c r="L19" s="360"/>
      <c r="M19" s="360"/>
      <c r="N19" s="334"/>
      <c r="P19" s="334"/>
      <c r="Q19" s="334"/>
    </row>
    <row r="20" spans="1:17">
      <c r="A20" s="116" t="s">
        <v>0</v>
      </c>
      <c r="B20" s="116"/>
      <c r="C20" s="117">
        <v>68.642724255411252</v>
      </c>
      <c r="D20" s="117">
        <v>23.97802679553903</v>
      </c>
      <c r="E20" s="117">
        <v>11.989013397769515</v>
      </c>
      <c r="F20" s="117">
        <v>5.2945964736012616</v>
      </c>
      <c r="G20" s="117">
        <v>53.858032074754519</v>
      </c>
      <c r="H20" s="117">
        <v>18.813491892283977</v>
      </c>
      <c r="I20" s="117">
        <v>9.4067459461419887</v>
      </c>
      <c r="J20" s="117">
        <v>4.1542137173499407</v>
      </c>
      <c r="L20" s="334"/>
      <c r="M20" s="334"/>
      <c r="N20" s="334"/>
      <c r="P20" s="334"/>
      <c r="Q20" s="334"/>
    </row>
    <row r="21" spans="1:17">
      <c r="A21" s="6" t="s">
        <v>113</v>
      </c>
      <c r="B21" s="6"/>
      <c r="C21" s="27">
        <v>0</v>
      </c>
      <c r="D21" s="27">
        <v>2.6642251995043367</v>
      </c>
      <c r="E21" s="27">
        <v>1.3321125997521683</v>
      </c>
      <c r="F21" s="27">
        <v>0.35297309824008405</v>
      </c>
      <c r="G21" s="27">
        <v>0</v>
      </c>
      <c r="H21" s="27">
        <v>2.0903879880315532</v>
      </c>
      <c r="I21" s="27">
        <v>1.0451939940157766</v>
      </c>
      <c r="J21" s="27">
        <v>0.27694758115666268</v>
      </c>
      <c r="P21" s="334"/>
      <c r="Q21" s="334"/>
    </row>
    <row r="22" spans="1:17">
      <c r="A22" s="6" t="s">
        <v>114</v>
      </c>
      <c r="B22" s="6"/>
      <c r="C22" s="27">
        <v>34.321362127705633</v>
      </c>
      <c r="D22" s="27">
        <v>45.291828391573731</v>
      </c>
      <c r="E22" s="27">
        <v>22.645914195786865</v>
      </c>
      <c r="F22" s="27">
        <v>7.059461964801681</v>
      </c>
      <c r="G22" s="27">
        <v>26.92901603737727</v>
      </c>
      <c r="H22" s="27">
        <v>35.53659579653641</v>
      </c>
      <c r="I22" s="27">
        <v>17.768297898268205</v>
      </c>
      <c r="J22" s="27">
        <v>5.5389516231332534</v>
      </c>
      <c r="N22" s="334"/>
      <c r="P22" s="334"/>
      <c r="Q22" s="334"/>
    </row>
    <row r="23" spans="1:17">
      <c r="A23" s="6" t="s">
        <v>115</v>
      </c>
      <c r="B23" s="6"/>
      <c r="C23" s="27">
        <v>0</v>
      </c>
      <c r="D23" s="27">
        <v>10.656900798017347</v>
      </c>
      <c r="E23" s="27">
        <v>5.3284503990086733</v>
      </c>
      <c r="F23" s="27">
        <v>1.4118923929603362</v>
      </c>
      <c r="G23" s="27">
        <v>0</v>
      </c>
      <c r="H23" s="27">
        <v>8.3615519521262129</v>
      </c>
      <c r="I23" s="27">
        <v>4.1807759760631065</v>
      </c>
      <c r="J23" s="27">
        <v>1.1077903246266507</v>
      </c>
      <c r="P23" s="334"/>
      <c r="Q23" s="334"/>
    </row>
    <row r="24" spans="1:17">
      <c r="A24" s="6" t="s">
        <v>116</v>
      </c>
      <c r="B24" s="6"/>
      <c r="C24" s="27">
        <v>0</v>
      </c>
      <c r="D24" s="27">
        <v>21.313801596034693</v>
      </c>
      <c r="E24" s="27">
        <v>10.656900798017347</v>
      </c>
      <c r="F24" s="27">
        <v>2.8237847859206724</v>
      </c>
      <c r="G24" s="27">
        <v>0</v>
      </c>
      <c r="H24" s="27">
        <v>16.723103904252426</v>
      </c>
      <c r="I24" s="27">
        <v>8.3615519521262129</v>
      </c>
      <c r="J24" s="27">
        <v>2.2155806492533014</v>
      </c>
    </row>
    <row r="25" spans="1:17">
      <c r="A25" s="6" t="s">
        <v>117</v>
      </c>
      <c r="B25" s="6"/>
      <c r="C25" s="27">
        <v>0</v>
      </c>
      <c r="D25" s="27">
        <v>50.620278790582404</v>
      </c>
      <c r="E25" s="27">
        <v>25.310139395291202</v>
      </c>
      <c r="F25" s="27">
        <v>6.7064888665615978</v>
      </c>
      <c r="G25" s="27">
        <v>0</v>
      </c>
      <c r="H25" s="27">
        <v>39.717371772599513</v>
      </c>
      <c r="I25" s="27">
        <v>19.858685886299757</v>
      </c>
      <c r="J25" s="27">
        <v>5.2620040419765912</v>
      </c>
    </row>
    <row r="26" spans="1:17">
      <c r="A26" s="6" t="s">
        <v>118</v>
      </c>
      <c r="B26" s="6"/>
      <c r="C26" s="27">
        <v>114.40454042568541</v>
      </c>
      <c r="D26" s="27">
        <v>31.97070239405204</v>
      </c>
      <c r="E26" s="27">
        <v>15.98535119702602</v>
      </c>
      <c r="F26" s="27">
        <v>7.7654081612818491</v>
      </c>
      <c r="G26" s="27">
        <v>89.763386791257531</v>
      </c>
      <c r="H26" s="27">
        <v>25.084655856378639</v>
      </c>
      <c r="I26" s="27">
        <v>12.542327928189319</v>
      </c>
      <c r="J26" s="27">
        <v>6.0928467854465787</v>
      </c>
    </row>
    <row r="27" spans="1:17">
      <c r="A27" s="6" t="s">
        <v>119</v>
      </c>
      <c r="B27" s="6"/>
      <c r="C27" s="27">
        <v>45.761816170274173</v>
      </c>
      <c r="D27" s="27">
        <v>55.948729189591077</v>
      </c>
      <c r="E27" s="27">
        <v>27.974364594795539</v>
      </c>
      <c r="F27" s="27">
        <v>8.8243274560021021</v>
      </c>
      <c r="G27" s="27">
        <v>35.90535471650302</v>
      </c>
      <c r="H27" s="27">
        <v>43.898147748662616</v>
      </c>
      <c r="I27" s="27">
        <v>21.949073874331308</v>
      </c>
      <c r="J27" s="27">
        <v>6.923689528916567</v>
      </c>
    </row>
    <row r="28" spans="1:17">
      <c r="A28" s="6" t="s">
        <v>120</v>
      </c>
      <c r="B28" s="9"/>
      <c r="C28" s="27">
        <v>423.29679957503606</v>
      </c>
      <c r="D28" s="27">
        <v>103.90478278066908</v>
      </c>
      <c r="E28" s="27">
        <v>51.95239139033454</v>
      </c>
      <c r="F28" s="27">
        <v>26.825955466246395</v>
      </c>
      <c r="G28" s="27">
        <v>332.12453112765292</v>
      </c>
      <c r="H28" s="27">
        <v>81.525131533230521</v>
      </c>
      <c r="I28" s="27">
        <v>40.762565766615261</v>
      </c>
      <c r="J28" s="27">
        <v>21.048016167906368</v>
      </c>
    </row>
    <row r="29" spans="1:17">
      <c r="A29" s="28" t="s">
        <v>41</v>
      </c>
      <c r="B29" s="7"/>
      <c r="C29" s="30">
        <v>1761.8299225555556</v>
      </c>
      <c r="D29" s="30">
        <v>716.7050055817175</v>
      </c>
      <c r="E29" s="30">
        <v>358.33828933333331</v>
      </c>
      <c r="F29" s="30">
        <v>149.32997579143125</v>
      </c>
      <c r="G29" s="30">
        <v>1382.3561565853663</v>
      </c>
      <c r="H29" s="30">
        <v>562.34614003848583</v>
      </c>
      <c r="I29" s="30">
        <v>281.15718439024386</v>
      </c>
      <c r="J29" s="30">
        <v>117.17006430335023</v>
      </c>
    </row>
    <row r="31" spans="1:17">
      <c r="A31" s="6" t="s">
        <v>121</v>
      </c>
      <c r="C31" s="320">
        <f>C20/($C20+$D20+$E20+$F20)</f>
        <v>0.62456779402891049</v>
      </c>
      <c r="D31" s="320">
        <f t="shared" ref="D31:F31" si="0">D20/($C20+$D20+$E20+$F20)</f>
        <v>0.21817175036836239</v>
      </c>
      <c r="E31" s="320">
        <f t="shared" si="0"/>
        <v>0.1090858751841812</v>
      </c>
      <c r="F31" s="320">
        <f t="shared" si="0"/>
        <v>4.8174580418546019E-2</v>
      </c>
      <c r="G31" s="320">
        <f>G20/($G20+$H20+$I20+$J20)</f>
        <v>0.62456779402891038</v>
      </c>
      <c r="H31" s="320">
        <f t="shared" ref="H31:J31" si="1">H20/($G20+$H20+$I20+$J20)</f>
        <v>0.21817175036836231</v>
      </c>
      <c r="I31" s="320">
        <f t="shared" si="1"/>
        <v>0.10908587518418116</v>
      </c>
      <c r="J31" s="320">
        <f t="shared" si="1"/>
        <v>4.8174580418546005E-2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61"/>
  <sheetViews>
    <sheetView workbookViewId="0">
      <selection activeCell="I7" sqref="I7"/>
    </sheetView>
  </sheetViews>
  <sheetFormatPr baseColWidth="10" defaultColWidth="8.83203125" defaultRowHeight="13"/>
  <sheetData>
    <row r="1" spans="1:29" ht="15">
      <c r="A1" s="120" t="s">
        <v>250</v>
      </c>
      <c r="B1" s="120"/>
      <c r="C1" s="120"/>
      <c r="D1" s="120"/>
      <c r="E1" s="120"/>
      <c r="R1" s="398" t="s">
        <v>367</v>
      </c>
      <c r="S1" s="398"/>
      <c r="T1" s="398"/>
      <c r="U1" s="398"/>
      <c r="V1" s="398"/>
      <c r="W1" s="398"/>
      <c r="X1" s="398"/>
      <c r="Y1" s="398"/>
      <c r="Z1" s="398"/>
      <c r="AA1" s="398"/>
      <c r="AB1" s="398"/>
      <c r="AC1" s="398"/>
    </row>
    <row r="2" spans="1:29">
      <c r="R2" s="398"/>
      <c r="S2" s="398"/>
      <c r="T2" s="398"/>
      <c r="U2" s="398"/>
      <c r="V2" s="398"/>
      <c r="W2" s="398"/>
      <c r="X2" s="398"/>
      <c r="Y2" s="398"/>
      <c r="Z2" s="398"/>
      <c r="AA2" s="398"/>
      <c r="AB2" s="398"/>
      <c r="AC2" s="398"/>
    </row>
    <row r="3" spans="1:29">
      <c r="A3" t="s">
        <v>236</v>
      </c>
      <c r="R3" s="398" t="s">
        <v>368</v>
      </c>
      <c r="S3" s="398"/>
      <c r="T3" s="398"/>
      <c r="U3" s="398"/>
      <c r="V3" s="398"/>
      <c r="W3" s="398"/>
      <c r="X3" s="398"/>
      <c r="Y3" s="398"/>
      <c r="Z3" s="398"/>
      <c r="AA3" s="398"/>
      <c r="AB3" s="398"/>
      <c r="AC3" s="398"/>
    </row>
    <row r="4" spans="1:29">
      <c r="B4" t="s">
        <v>36</v>
      </c>
      <c r="R4" s="398"/>
      <c r="S4" s="398" t="s">
        <v>36</v>
      </c>
      <c r="T4" s="398"/>
      <c r="U4" s="398"/>
      <c r="V4" s="398"/>
      <c r="W4" s="398"/>
      <c r="X4" s="398"/>
      <c r="Y4" s="398"/>
      <c r="Z4" s="398"/>
      <c r="AA4" s="398"/>
      <c r="AB4" s="398"/>
      <c r="AC4" s="398"/>
    </row>
    <row r="5" spans="1:29">
      <c r="B5" t="s">
        <v>67</v>
      </c>
      <c r="C5" t="s">
        <v>67</v>
      </c>
      <c r="D5" t="s">
        <v>67</v>
      </c>
      <c r="E5" t="s">
        <v>68</v>
      </c>
      <c r="F5" t="s">
        <v>68</v>
      </c>
      <c r="G5" t="s">
        <v>68</v>
      </c>
      <c r="H5" t="s">
        <v>68</v>
      </c>
      <c r="I5" t="s">
        <v>68</v>
      </c>
      <c r="J5" t="s">
        <v>68</v>
      </c>
      <c r="K5" t="s">
        <v>68</v>
      </c>
      <c r="L5" t="s">
        <v>68</v>
      </c>
      <c r="R5" s="398"/>
      <c r="S5" s="398" t="s">
        <v>67</v>
      </c>
      <c r="T5" s="398" t="s">
        <v>67</v>
      </c>
      <c r="U5" s="398" t="s">
        <v>67</v>
      </c>
      <c r="V5" s="398" t="s">
        <v>68</v>
      </c>
      <c r="W5" s="398" t="s">
        <v>68</v>
      </c>
      <c r="X5" s="398" t="s">
        <v>68</v>
      </c>
      <c r="Y5" s="398" t="s">
        <v>68</v>
      </c>
      <c r="Z5" s="398" t="s">
        <v>68</v>
      </c>
      <c r="AA5" s="398" t="s">
        <v>68</v>
      </c>
      <c r="AB5" s="398" t="s">
        <v>68</v>
      </c>
      <c r="AC5" s="398" t="s">
        <v>68</v>
      </c>
    </row>
    <row r="6" spans="1:29">
      <c r="A6" t="s">
        <v>69</v>
      </c>
      <c r="B6" t="s">
        <v>70</v>
      </c>
      <c r="C6" t="s">
        <v>71</v>
      </c>
      <c r="D6" t="s">
        <v>72</v>
      </c>
      <c r="E6" t="s">
        <v>70</v>
      </c>
      <c r="F6" t="s">
        <v>56</v>
      </c>
      <c r="G6" t="s">
        <v>71</v>
      </c>
      <c r="H6" t="s">
        <v>73</v>
      </c>
      <c r="I6" t="s">
        <v>74</v>
      </c>
      <c r="J6" t="s">
        <v>75</v>
      </c>
      <c r="K6" t="s">
        <v>76</v>
      </c>
      <c r="L6" t="s">
        <v>77</v>
      </c>
      <c r="R6" s="398" t="s">
        <v>69</v>
      </c>
      <c r="S6" s="398" t="s">
        <v>70</v>
      </c>
      <c r="T6" s="398" t="s">
        <v>71</v>
      </c>
      <c r="U6" s="398" t="s">
        <v>72</v>
      </c>
      <c r="V6" s="398" t="s">
        <v>70</v>
      </c>
      <c r="W6" s="398" t="s">
        <v>56</v>
      </c>
      <c r="X6" s="398" t="s">
        <v>71</v>
      </c>
      <c r="Y6" s="398" t="s">
        <v>73</v>
      </c>
      <c r="Z6" s="398" t="s">
        <v>74</v>
      </c>
      <c r="AA6" s="398" t="s">
        <v>75</v>
      </c>
      <c r="AB6" s="398" t="s">
        <v>76</v>
      </c>
      <c r="AC6" s="398" t="s">
        <v>77</v>
      </c>
    </row>
    <row r="7" spans="1:29">
      <c r="B7" t="s">
        <v>237</v>
      </c>
      <c r="C7" t="s">
        <v>237</v>
      </c>
      <c r="D7" t="s">
        <v>237</v>
      </c>
      <c r="E7" t="s">
        <v>237</v>
      </c>
      <c r="F7" t="s">
        <v>237</v>
      </c>
      <c r="G7" t="s">
        <v>237</v>
      </c>
      <c r="H7" t="s">
        <v>237</v>
      </c>
      <c r="I7" t="s">
        <v>78</v>
      </c>
      <c r="J7" t="s">
        <v>237</v>
      </c>
      <c r="K7" t="s">
        <v>79</v>
      </c>
      <c r="L7" t="s">
        <v>78</v>
      </c>
      <c r="R7" s="398"/>
      <c r="S7" s="398" t="s">
        <v>369</v>
      </c>
      <c r="T7" s="398" t="s">
        <v>369</v>
      </c>
      <c r="U7" s="398" t="s">
        <v>369</v>
      </c>
      <c r="V7" s="398" t="s">
        <v>369</v>
      </c>
      <c r="W7" s="398" t="s">
        <v>369</v>
      </c>
      <c r="X7" s="398" t="s">
        <v>369</v>
      </c>
      <c r="Y7" s="398" t="s">
        <v>369</v>
      </c>
      <c r="Z7" s="398" t="s">
        <v>78</v>
      </c>
      <c r="AA7" s="398" t="s">
        <v>369</v>
      </c>
      <c r="AB7" s="398" t="s">
        <v>79</v>
      </c>
      <c r="AC7" s="398" t="s">
        <v>78</v>
      </c>
    </row>
    <row r="8" spans="1:29">
      <c r="A8" t="s">
        <v>58</v>
      </c>
      <c r="B8">
        <v>1.9099999999999999E-2</v>
      </c>
      <c r="C8">
        <v>0</v>
      </c>
      <c r="D8">
        <v>2</v>
      </c>
      <c r="E8">
        <v>0</v>
      </c>
      <c r="F8">
        <v>0</v>
      </c>
      <c r="G8">
        <v>0</v>
      </c>
      <c r="H8" s="121">
        <v>4.0000000000000002E-4</v>
      </c>
      <c r="I8">
        <v>59.8797</v>
      </c>
      <c r="J8">
        <v>0</v>
      </c>
      <c r="K8">
        <v>1.6758999999999999</v>
      </c>
      <c r="L8">
        <v>2.4083999999999999</v>
      </c>
      <c r="R8" s="398" t="s">
        <v>58</v>
      </c>
      <c r="S8" s="399">
        <v>0.2</v>
      </c>
      <c r="T8" s="398">
        <v>0</v>
      </c>
      <c r="U8" s="398">
        <v>2</v>
      </c>
      <c r="V8" s="398">
        <v>0.19389999999999999</v>
      </c>
      <c r="W8" s="398">
        <v>0.90069999999999995</v>
      </c>
      <c r="X8" s="398">
        <v>0</v>
      </c>
      <c r="Y8" s="398">
        <v>0.90090000000000003</v>
      </c>
      <c r="Z8" s="398">
        <v>56.240699999999997</v>
      </c>
      <c r="AA8" s="398">
        <v>8.0000000000000004E-4</v>
      </c>
      <c r="AB8" s="398">
        <v>1.6099000000000001</v>
      </c>
      <c r="AC8" s="398">
        <v>0.5</v>
      </c>
    </row>
    <row r="9" spans="1:29">
      <c r="A9" t="s">
        <v>59</v>
      </c>
      <c r="B9">
        <v>0</v>
      </c>
      <c r="C9">
        <v>0</v>
      </c>
      <c r="D9">
        <v>2</v>
      </c>
      <c r="E9">
        <v>0</v>
      </c>
      <c r="F9">
        <v>0</v>
      </c>
      <c r="G9">
        <v>0</v>
      </c>
      <c r="H9">
        <v>5.9999999999999995E-4</v>
      </c>
      <c r="I9">
        <v>55.549300000000002</v>
      </c>
      <c r="J9">
        <v>0</v>
      </c>
      <c r="K9">
        <v>2.0398000000000001</v>
      </c>
      <c r="L9">
        <v>7.1590999999999996</v>
      </c>
      <c r="R9" s="398" t="s">
        <v>59</v>
      </c>
      <c r="S9" s="398">
        <v>0</v>
      </c>
      <c r="T9" s="398">
        <v>0</v>
      </c>
      <c r="U9" s="398">
        <v>2</v>
      </c>
      <c r="V9" s="398">
        <v>0</v>
      </c>
      <c r="W9" s="398">
        <v>0.99239999999999995</v>
      </c>
      <c r="X9" s="398">
        <v>0</v>
      </c>
      <c r="Y9" s="398">
        <v>0.59889999999999999</v>
      </c>
      <c r="Z9" s="398">
        <v>0</v>
      </c>
      <c r="AA9" s="398">
        <v>5.9999999999999995E-4</v>
      </c>
      <c r="AB9" s="398">
        <v>2.0350000000000001</v>
      </c>
      <c r="AC9" s="398">
        <v>0</v>
      </c>
    </row>
    <row r="10" spans="1:29">
      <c r="A10" t="s">
        <v>80</v>
      </c>
      <c r="B10">
        <v>0</v>
      </c>
      <c r="C10">
        <v>0</v>
      </c>
      <c r="D10">
        <v>2</v>
      </c>
      <c r="E10">
        <v>0</v>
      </c>
      <c r="F10">
        <v>0</v>
      </c>
      <c r="G10">
        <v>0</v>
      </c>
      <c r="H10">
        <v>1.8E-3</v>
      </c>
      <c r="I10">
        <v>45.739699999999999</v>
      </c>
      <c r="J10">
        <v>0</v>
      </c>
      <c r="K10">
        <v>1.9406000000000001</v>
      </c>
      <c r="L10">
        <v>17.7834</v>
      </c>
      <c r="R10" s="398" t="s">
        <v>80</v>
      </c>
      <c r="S10" s="398">
        <v>0</v>
      </c>
      <c r="T10" s="398">
        <v>0</v>
      </c>
      <c r="U10" s="398">
        <v>2</v>
      </c>
      <c r="V10" s="398">
        <v>0</v>
      </c>
      <c r="W10" s="398">
        <v>0.97199999999999998</v>
      </c>
      <c r="X10" s="398">
        <v>0</v>
      </c>
      <c r="Y10" s="398">
        <v>3.4790000000000001</v>
      </c>
      <c r="Z10" s="398">
        <v>0</v>
      </c>
      <c r="AA10" s="398">
        <v>3.3999999999999998E-3</v>
      </c>
      <c r="AB10" s="398">
        <v>1.9480999999999999</v>
      </c>
      <c r="AC10" s="398">
        <v>0</v>
      </c>
    </row>
    <row r="11" spans="1:29">
      <c r="A11" t="s">
        <v>81</v>
      </c>
      <c r="B11">
        <v>0</v>
      </c>
      <c r="C11">
        <v>0</v>
      </c>
      <c r="D11">
        <v>2</v>
      </c>
      <c r="E11">
        <v>0</v>
      </c>
      <c r="F11">
        <v>0</v>
      </c>
      <c r="G11">
        <v>0</v>
      </c>
      <c r="H11">
        <v>4.1000000000000003E-3</v>
      </c>
      <c r="I11">
        <v>27.668399999999998</v>
      </c>
      <c r="J11">
        <v>0</v>
      </c>
      <c r="K11">
        <v>1.9722</v>
      </c>
      <c r="L11">
        <v>40.016300000000001</v>
      </c>
      <c r="R11" s="398" t="s">
        <v>81</v>
      </c>
      <c r="S11" s="398">
        <v>0</v>
      </c>
      <c r="T11" s="398">
        <v>0</v>
      </c>
      <c r="U11" s="398">
        <v>2</v>
      </c>
      <c r="V11" s="398">
        <v>0</v>
      </c>
      <c r="W11" s="398">
        <v>0.89300000000000002</v>
      </c>
      <c r="X11" s="398">
        <v>0</v>
      </c>
      <c r="Y11" s="398">
        <v>6.5814000000000004</v>
      </c>
      <c r="Z11" s="398">
        <v>0</v>
      </c>
      <c r="AA11" s="398">
        <v>5.8999999999999999E-3</v>
      </c>
      <c r="AB11" s="398">
        <v>2.0055000000000001</v>
      </c>
      <c r="AC11" s="398">
        <v>0</v>
      </c>
    </row>
    <row r="12" spans="1:29">
      <c r="A12" t="s">
        <v>82</v>
      </c>
      <c r="B12">
        <v>0</v>
      </c>
      <c r="C12">
        <v>0</v>
      </c>
      <c r="D12">
        <v>2</v>
      </c>
      <c r="E12">
        <v>0</v>
      </c>
      <c r="F12">
        <v>0</v>
      </c>
      <c r="G12">
        <v>0</v>
      </c>
      <c r="H12">
        <v>9.1999999999999998E-3</v>
      </c>
      <c r="I12">
        <v>19.445499999999999</v>
      </c>
      <c r="J12">
        <v>0</v>
      </c>
      <c r="K12">
        <v>1.9730000000000001</v>
      </c>
      <c r="L12">
        <v>51.912300000000002</v>
      </c>
      <c r="R12" s="398" t="s">
        <v>82</v>
      </c>
      <c r="S12" s="398">
        <v>0</v>
      </c>
      <c r="T12" s="398">
        <v>0</v>
      </c>
      <c r="U12" s="398">
        <v>2</v>
      </c>
      <c r="V12" s="398">
        <v>0</v>
      </c>
      <c r="W12" s="398">
        <v>0.80879999999999996</v>
      </c>
      <c r="X12" s="398">
        <v>0</v>
      </c>
      <c r="Y12" s="398">
        <v>8.5366999999999997</v>
      </c>
      <c r="Z12" s="398">
        <v>0</v>
      </c>
      <c r="AA12" s="398">
        <v>6.8999999999999999E-3</v>
      </c>
      <c r="AB12" s="398">
        <v>1.9891000000000001</v>
      </c>
      <c r="AC12" s="398">
        <v>0</v>
      </c>
    </row>
    <row r="13" spans="1:29">
      <c r="A13" t="s">
        <v>83</v>
      </c>
      <c r="B13">
        <v>0</v>
      </c>
      <c r="C13">
        <v>0</v>
      </c>
      <c r="D13">
        <v>2</v>
      </c>
      <c r="E13">
        <v>0</v>
      </c>
      <c r="F13">
        <v>0</v>
      </c>
      <c r="G13">
        <v>0</v>
      </c>
      <c r="H13">
        <v>1.9599999999999999E-2</v>
      </c>
      <c r="I13">
        <v>11.899800000000001</v>
      </c>
      <c r="J13">
        <v>0</v>
      </c>
      <c r="K13">
        <v>1.9857</v>
      </c>
      <c r="L13">
        <v>64.647000000000006</v>
      </c>
      <c r="R13" s="398" t="s">
        <v>83</v>
      </c>
      <c r="S13" s="398">
        <v>0</v>
      </c>
      <c r="T13" s="398">
        <v>0</v>
      </c>
      <c r="U13" s="398">
        <v>2</v>
      </c>
      <c r="V13" s="398">
        <v>0</v>
      </c>
      <c r="W13" s="398">
        <v>0.67569999999999997</v>
      </c>
      <c r="X13" s="398">
        <v>0</v>
      </c>
      <c r="Y13" s="398">
        <v>22.262899999999998</v>
      </c>
      <c r="Z13" s="398">
        <v>0</v>
      </c>
      <c r="AA13" s="398">
        <v>1.4999999999999999E-2</v>
      </c>
      <c r="AB13" s="398">
        <v>2.0253999999999999</v>
      </c>
      <c r="AC13" s="398">
        <v>0</v>
      </c>
    </row>
    <row r="14" spans="1:29">
      <c r="A14" t="s">
        <v>84</v>
      </c>
      <c r="B14">
        <v>0</v>
      </c>
      <c r="C14">
        <v>0</v>
      </c>
      <c r="D14">
        <v>2</v>
      </c>
      <c r="E14">
        <v>0</v>
      </c>
      <c r="F14">
        <v>0</v>
      </c>
      <c r="G14">
        <v>0</v>
      </c>
      <c r="H14">
        <v>4.2099999999999999E-2</v>
      </c>
      <c r="I14">
        <v>7.0891000000000002</v>
      </c>
      <c r="J14">
        <v>0</v>
      </c>
      <c r="K14">
        <v>1.9624999999999999</v>
      </c>
      <c r="L14">
        <v>75.078900000000004</v>
      </c>
      <c r="R14" s="398" t="s">
        <v>84</v>
      </c>
      <c r="S14" s="398">
        <v>0</v>
      </c>
      <c r="T14" s="398">
        <v>0</v>
      </c>
      <c r="U14" s="398">
        <v>2</v>
      </c>
      <c r="V14" s="398">
        <v>0</v>
      </c>
      <c r="W14" s="398">
        <v>0.50690000000000002</v>
      </c>
      <c r="X14" s="398">
        <v>0</v>
      </c>
      <c r="Y14" s="398">
        <v>43.492699999999999</v>
      </c>
      <c r="Z14" s="398">
        <v>0</v>
      </c>
      <c r="AA14" s="398">
        <v>2.1999999999999999E-2</v>
      </c>
      <c r="AB14" s="398">
        <v>2.0028000000000001</v>
      </c>
      <c r="AC14" s="398">
        <v>0</v>
      </c>
    </row>
    <row r="15" spans="1:29">
      <c r="A15" t="s">
        <v>85</v>
      </c>
      <c r="B15">
        <v>0</v>
      </c>
      <c r="C15">
        <v>0</v>
      </c>
      <c r="D15">
        <v>2</v>
      </c>
      <c r="E15">
        <v>0</v>
      </c>
      <c r="F15">
        <v>0</v>
      </c>
      <c r="G15">
        <v>0</v>
      </c>
      <c r="H15">
        <v>8.77E-2</v>
      </c>
      <c r="I15">
        <v>3.8226</v>
      </c>
      <c r="J15">
        <v>0</v>
      </c>
      <c r="K15">
        <v>1.9619</v>
      </c>
      <c r="L15">
        <v>90.349000000000004</v>
      </c>
      <c r="R15" s="398" t="s">
        <v>85</v>
      </c>
      <c r="S15" s="398">
        <v>0</v>
      </c>
      <c r="T15" s="398">
        <v>0</v>
      </c>
      <c r="U15" s="398">
        <v>2</v>
      </c>
      <c r="V15" s="398">
        <v>0</v>
      </c>
      <c r="W15" s="398">
        <v>0.23569999999999999</v>
      </c>
      <c r="X15" s="398">
        <v>0</v>
      </c>
      <c r="Y15" s="398">
        <v>96.562799999999996</v>
      </c>
      <c r="Z15" s="398">
        <v>0</v>
      </c>
      <c r="AA15" s="398">
        <v>2.2700000000000001E-2</v>
      </c>
      <c r="AB15" s="398">
        <v>1.9634</v>
      </c>
      <c r="AC15" s="398">
        <v>0</v>
      </c>
    </row>
    <row r="16" spans="1:29">
      <c r="A16" t="s">
        <v>86</v>
      </c>
      <c r="B16" t="s">
        <v>87</v>
      </c>
      <c r="C16" t="s">
        <v>87</v>
      </c>
      <c r="D16" t="s">
        <v>87</v>
      </c>
      <c r="E16">
        <v>0</v>
      </c>
      <c r="F16">
        <v>0</v>
      </c>
      <c r="G16">
        <v>0</v>
      </c>
      <c r="H16">
        <v>6.1999999999999998E-3</v>
      </c>
      <c r="I16">
        <v>58.406100000000002</v>
      </c>
      <c r="J16">
        <v>0</v>
      </c>
      <c r="K16">
        <v>1.9709000000000001</v>
      </c>
      <c r="L16">
        <v>4.0347</v>
      </c>
      <c r="R16" s="398" t="s">
        <v>86</v>
      </c>
      <c r="S16" s="398" t="s">
        <v>87</v>
      </c>
      <c r="T16" s="398" t="s">
        <v>87</v>
      </c>
      <c r="U16" s="398" t="s">
        <v>87</v>
      </c>
      <c r="V16" s="398">
        <v>1.7399999999999999E-2</v>
      </c>
      <c r="W16" s="398">
        <v>0.89419999999999999</v>
      </c>
      <c r="X16" s="398">
        <v>0</v>
      </c>
      <c r="Y16" s="398">
        <v>5.5750000000000002</v>
      </c>
      <c r="Z16" s="398">
        <v>56.240699999999997</v>
      </c>
      <c r="AA16" s="398">
        <v>5.0000000000000001E-3</v>
      </c>
      <c r="AB16" s="398">
        <v>1.9883999999999999</v>
      </c>
      <c r="AC16" s="398">
        <v>0.5</v>
      </c>
    </row>
    <row r="17" spans="1:29">
      <c r="R17" s="398"/>
      <c r="S17" s="398"/>
      <c r="T17" s="398"/>
      <c r="U17" s="398"/>
      <c r="V17" s="398"/>
      <c r="W17" s="398"/>
      <c r="X17" s="398"/>
      <c r="Y17" s="398"/>
      <c r="Z17" s="398"/>
      <c r="AA17" s="398"/>
      <c r="AB17" s="398"/>
      <c r="AC17" s="398"/>
    </row>
    <row r="18" spans="1:29">
      <c r="A18" t="s">
        <v>236</v>
      </c>
      <c r="R18" s="398" t="s">
        <v>370</v>
      </c>
      <c r="S18" s="398"/>
      <c r="T18" s="398"/>
      <c r="U18" s="398"/>
      <c r="V18" s="398"/>
      <c r="W18" s="398"/>
      <c r="X18" s="398"/>
      <c r="Y18" s="398"/>
      <c r="Z18" s="398"/>
      <c r="AA18" s="398"/>
      <c r="AB18" s="398"/>
      <c r="AC18" s="398"/>
    </row>
    <row r="19" spans="1:29">
      <c r="B19" t="s">
        <v>36</v>
      </c>
      <c r="R19" s="398"/>
      <c r="S19" s="398" t="s">
        <v>36</v>
      </c>
      <c r="T19" s="398"/>
      <c r="U19" s="398"/>
      <c r="V19" s="398"/>
      <c r="W19" s="398"/>
      <c r="X19" s="398"/>
      <c r="Y19" s="398"/>
      <c r="Z19" s="398"/>
      <c r="AA19" s="398"/>
      <c r="AB19" s="398"/>
      <c r="AC19" s="398"/>
    </row>
    <row r="20" spans="1:29">
      <c r="B20" t="s">
        <v>67</v>
      </c>
      <c r="C20" t="s">
        <v>67</v>
      </c>
      <c r="D20" t="s">
        <v>67</v>
      </c>
      <c r="E20" t="s">
        <v>68</v>
      </c>
      <c r="F20" t="s">
        <v>68</v>
      </c>
      <c r="G20" t="s">
        <v>68</v>
      </c>
      <c r="H20" t="s">
        <v>68</v>
      </c>
      <c r="I20" t="s">
        <v>68</v>
      </c>
      <c r="J20" t="s">
        <v>68</v>
      </c>
      <c r="K20" t="s">
        <v>68</v>
      </c>
      <c r="L20" t="s">
        <v>68</v>
      </c>
      <c r="R20" s="398"/>
      <c r="S20" s="398" t="s">
        <v>67</v>
      </c>
      <c r="T20" s="398" t="s">
        <v>67</v>
      </c>
      <c r="U20" s="398" t="s">
        <v>67</v>
      </c>
      <c r="V20" s="398" t="s">
        <v>68</v>
      </c>
      <c r="W20" s="398" t="s">
        <v>68</v>
      </c>
      <c r="X20" s="398" t="s">
        <v>68</v>
      </c>
      <c r="Y20" s="398" t="s">
        <v>68</v>
      </c>
      <c r="Z20" s="398" t="s">
        <v>68</v>
      </c>
      <c r="AA20" s="398" t="s">
        <v>68</v>
      </c>
      <c r="AB20" s="398" t="s">
        <v>68</v>
      </c>
      <c r="AC20" s="398" t="s">
        <v>68</v>
      </c>
    </row>
    <row r="21" spans="1:29">
      <c r="A21" t="s">
        <v>69</v>
      </c>
      <c r="B21" t="s">
        <v>70</v>
      </c>
      <c r="C21" t="s">
        <v>71</v>
      </c>
      <c r="D21" t="s">
        <v>72</v>
      </c>
      <c r="E21" t="s">
        <v>70</v>
      </c>
      <c r="F21" t="s">
        <v>56</v>
      </c>
      <c r="G21" t="s">
        <v>71</v>
      </c>
      <c r="H21" t="s">
        <v>73</v>
      </c>
      <c r="I21" t="s">
        <v>74</v>
      </c>
      <c r="J21" t="s">
        <v>75</v>
      </c>
      <c r="K21" t="s">
        <v>76</v>
      </c>
      <c r="L21" t="s">
        <v>77</v>
      </c>
      <c r="R21" s="398" t="s">
        <v>69</v>
      </c>
      <c r="S21" s="398" t="s">
        <v>70</v>
      </c>
      <c r="T21" s="398" t="s">
        <v>71</v>
      </c>
      <c r="U21" s="398" t="s">
        <v>72</v>
      </c>
      <c r="V21" s="398" t="s">
        <v>70</v>
      </c>
      <c r="W21" s="398" t="s">
        <v>56</v>
      </c>
      <c r="X21" s="398" t="s">
        <v>71</v>
      </c>
      <c r="Y21" s="398" t="s">
        <v>73</v>
      </c>
      <c r="Z21" s="398" t="s">
        <v>74</v>
      </c>
      <c r="AA21" s="398" t="s">
        <v>75</v>
      </c>
      <c r="AB21" s="398" t="s">
        <v>76</v>
      </c>
      <c r="AC21" s="398" t="s">
        <v>77</v>
      </c>
    </row>
    <row r="22" spans="1:29">
      <c r="B22" t="s">
        <v>237</v>
      </c>
      <c r="C22" t="s">
        <v>237</v>
      </c>
      <c r="D22" t="s">
        <v>237</v>
      </c>
      <c r="E22" t="s">
        <v>88</v>
      </c>
      <c r="F22" t="s">
        <v>88</v>
      </c>
      <c r="G22" t="s">
        <v>88</v>
      </c>
      <c r="H22" t="s">
        <v>88</v>
      </c>
      <c r="I22" t="s">
        <v>78</v>
      </c>
      <c r="J22" t="s">
        <v>88</v>
      </c>
      <c r="K22" t="s">
        <v>79</v>
      </c>
      <c r="L22" t="s">
        <v>78</v>
      </c>
      <c r="R22" s="398"/>
      <c r="S22" s="398" t="s">
        <v>369</v>
      </c>
      <c r="T22" s="398" t="s">
        <v>369</v>
      </c>
      <c r="U22" s="398" t="s">
        <v>369</v>
      </c>
      <c r="V22" s="398" t="s">
        <v>88</v>
      </c>
      <c r="W22" s="398" t="s">
        <v>88</v>
      </c>
      <c r="X22" s="398" t="s">
        <v>88</v>
      </c>
      <c r="Y22" s="398" t="s">
        <v>88</v>
      </c>
      <c r="Z22" s="398" t="s">
        <v>78</v>
      </c>
      <c r="AA22" s="398" t="s">
        <v>88</v>
      </c>
      <c r="AB22" s="398" t="s">
        <v>79</v>
      </c>
      <c r="AC22" s="398" t="s">
        <v>78</v>
      </c>
    </row>
    <row r="23" spans="1:29">
      <c r="A23" t="s">
        <v>58</v>
      </c>
      <c r="B23">
        <v>1.9099999999999999E-2</v>
      </c>
      <c r="C23">
        <v>0</v>
      </c>
      <c r="D23">
        <v>2</v>
      </c>
      <c r="E23">
        <v>4</v>
      </c>
      <c r="F23">
        <v>10</v>
      </c>
      <c r="G23">
        <v>0</v>
      </c>
      <c r="H23">
        <v>0</v>
      </c>
      <c r="I23">
        <v>59.8797</v>
      </c>
      <c r="J23">
        <v>0</v>
      </c>
      <c r="K23">
        <v>1.6758999999999999</v>
      </c>
      <c r="L23">
        <v>2.4083999999999999</v>
      </c>
      <c r="R23" s="398" t="s">
        <v>58</v>
      </c>
      <c r="S23" s="400">
        <v>0.2</v>
      </c>
      <c r="T23" s="398">
        <v>0</v>
      </c>
      <c r="U23" s="398">
        <v>2</v>
      </c>
      <c r="V23" s="398">
        <v>530</v>
      </c>
      <c r="W23" s="398">
        <v>2465</v>
      </c>
      <c r="X23" s="398">
        <v>0</v>
      </c>
      <c r="Y23" s="398">
        <v>2</v>
      </c>
      <c r="Z23" s="398">
        <v>56.240699999999997</v>
      </c>
      <c r="AA23" s="398">
        <v>2</v>
      </c>
      <c r="AB23" s="398">
        <v>1.6099000000000001</v>
      </c>
      <c r="AC23" s="398">
        <v>0.5</v>
      </c>
    </row>
    <row r="24" spans="1:29">
      <c r="A24" t="s">
        <v>59</v>
      </c>
      <c r="B24">
        <v>0</v>
      </c>
      <c r="C24">
        <v>0</v>
      </c>
      <c r="D24">
        <v>2</v>
      </c>
      <c r="E24">
        <v>2</v>
      </c>
      <c r="F24">
        <v>54</v>
      </c>
      <c r="G24">
        <v>0</v>
      </c>
      <c r="H24">
        <v>0</v>
      </c>
      <c r="I24">
        <v>55.549300000000002</v>
      </c>
      <c r="J24">
        <v>0</v>
      </c>
      <c r="K24">
        <v>2.0398000000000001</v>
      </c>
      <c r="L24">
        <v>7.1590999999999996</v>
      </c>
      <c r="R24" s="398" t="s">
        <v>59</v>
      </c>
      <c r="S24" s="398">
        <v>0</v>
      </c>
      <c r="T24" s="398">
        <v>0</v>
      </c>
      <c r="U24" s="398">
        <v>2</v>
      </c>
      <c r="V24" s="398">
        <v>0</v>
      </c>
      <c r="W24" s="398">
        <v>5281</v>
      </c>
      <c r="X24" s="398">
        <v>0</v>
      </c>
      <c r="Y24" s="398">
        <v>3</v>
      </c>
      <c r="Z24" s="398">
        <v>0</v>
      </c>
      <c r="AA24" s="398">
        <v>3</v>
      </c>
      <c r="AB24" s="398">
        <v>2.0350000000000001</v>
      </c>
      <c r="AC24" s="398">
        <v>0</v>
      </c>
    </row>
    <row r="25" spans="1:29">
      <c r="A25" t="s">
        <v>80</v>
      </c>
      <c r="B25">
        <v>0</v>
      </c>
      <c r="C25">
        <v>0</v>
      </c>
      <c r="D25">
        <v>2</v>
      </c>
      <c r="E25">
        <v>0</v>
      </c>
      <c r="F25">
        <v>100</v>
      </c>
      <c r="G25">
        <v>0</v>
      </c>
      <c r="H25">
        <v>0</v>
      </c>
      <c r="I25">
        <v>45.739699999999999</v>
      </c>
      <c r="J25">
        <v>0</v>
      </c>
      <c r="K25">
        <v>1.9406000000000001</v>
      </c>
      <c r="L25">
        <v>17.7834</v>
      </c>
      <c r="R25" s="398" t="s">
        <v>80</v>
      </c>
      <c r="S25" s="398">
        <v>0</v>
      </c>
      <c r="T25" s="398">
        <v>0</v>
      </c>
      <c r="U25" s="398">
        <v>2</v>
      </c>
      <c r="V25" s="398">
        <v>0</v>
      </c>
      <c r="W25" s="398">
        <v>7689</v>
      </c>
      <c r="X25" s="398">
        <v>0</v>
      </c>
      <c r="Y25" s="398">
        <v>27</v>
      </c>
      <c r="Z25" s="398">
        <v>0</v>
      </c>
      <c r="AA25" s="398">
        <v>27</v>
      </c>
      <c r="AB25" s="398">
        <v>1.9480999999999999</v>
      </c>
      <c r="AC25" s="398">
        <v>0</v>
      </c>
    </row>
    <row r="26" spans="1:29">
      <c r="A26" t="s">
        <v>81</v>
      </c>
      <c r="B26">
        <v>0</v>
      </c>
      <c r="C26">
        <v>0</v>
      </c>
      <c r="D26">
        <v>2</v>
      </c>
      <c r="E26">
        <v>0</v>
      </c>
      <c r="F26">
        <v>103</v>
      </c>
      <c r="G26">
        <v>0</v>
      </c>
      <c r="H26">
        <v>0</v>
      </c>
      <c r="I26">
        <v>27.668399999999998</v>
      </c>
      <c r="J26">
        <v>0</v>
      </c>
      <c r="K26">
        <v>1.9722</v>
      </c>
      <c r="L26">
        <v>40.016300000000001</v>
      </c>
      <c r="R26" s="398" t="s">
        <v>81</v>
      </c>
      <c r="S26" s="398">
        <v>0</v>
      </c>
      <c r="T26" s="398">
        <v>0</v>
      </c>
      <c r="U26" s="398">
        <v>2</v>
      </c>
      <c r="V26" s="398">
        <v>0</v>
      </c>
      <c r="W26" s="398">
        <v>6735</v>
      </c>
      <c r="X26" s="398">
        <v>0</v>
      </c>
      <c r="Y26" s="398">
        <v>44</v>
      </c>
      <c r="Z26" s="398">
        <v>0</v>
      </c>
      <c r="AA26" s="398">
        <v>44</v>
      </c>
      <c r="AB26" s="398">
        <v>2.0055000000000001</v>
      </c>
      <c r="AC26" s="398">
        <v>0</v>
      </c>
    </row>
    <row r="27" spans="1:29">
      <c r="A27" t="s">
        <v>82</v>
      </c>
      <c r="B27">
        <v>0</v>
      </c>
      <c r="C27">
        <v>0</v>
      </c>
      <c r="D27">
        <v>2</v>
      </c>
      <c r="E27">
        <v>0</v>
      </c>
      <c r="F27">
        <v>78</v>
      </c>
      <c r="G27">
        <v>0</v>
      </c>
      <c r="H27">
        <v>1</v>
      </c>
      <c r="I27">
        <v>19.445499999999999</v>
      </c>
      <c r="J27">
        <v>1</v>
      </c>
      <c r="K27">
        <v>1.9730000000000001</v>
      </c>
      <c r="L27">
        <v>51.912300000000002</v>
      </c>
      <c r="R27" s="398" t="s">
        <v>82</v>
      </c>
      <c r="S27" s="398">
        <v>0</v>
      </c>
      <c r="T27" s="398">
        <v>0</v>
      </c>
      <c r="U27" s="398">
        <v>2</v>
      </c>
      <c r="V27" s="398">
        <v>0</v>
      </c>
      <c r="W27" s="398">
        <v>3543</v>
      </c>
      <c r="X27" s="398">
        <v>0</v>
      </c>
      <c r="Y27" s="398">
        <v>30</v>
      </c>
      <c r="Z27" s="398">
        <v>0</v>
      </c>
      <c r="AA27" s="398">
        <v>30</v>
      </c>
      <c r="AB27" s="398">
        <v>1.9891000000000001</v>
      </c>
      <c r="AC27" s="398">
        <v>0</v>
      </c>
    </row>
    <row r="28" spans="1:29">
      <c r="A28" t="s">
        <v>83</v>
      </c>
      <c r="B28">
        <v>0</v>
      </c>
      <c r="C28">
        <v>0</v>
      </c>
      <c r="D28">
        <v>2</v>
      </c>
      <c r="E28">
        <v>0</v>
      </c>
      <c r="F28">
        <v>24</v>
      </c>
      <c r="G28">
        <v>0</v>
      </c>
      <c r="H28">
        <v>0</v>
      </c>
      <c r="I28">
        <v>11.899800000000001</v>
      </c>
      <c r="J28">
        <v>0</v>
      </c>
      <c r="K28">
        <v>1.9857</v>
      </c>
      <c r="L28">
        <v>64.647000000000006</v>
      </c>
      <c r="R28" s="398" t="s">
        <v>83</v>
      </c>
      <c r="S28" s="398">
        <v>0</v>
      </c>
      <c r="T28" s="398">
        <v>0</v>
      </c>
      <c r="U28" s="398">
        <v>2</v>
      </c>
      <c r="V28" s="398">
        <v>0</v>
      </c>
      <c r="W28" s="398">
        <v>1068</v>
      </c>
      <c r="X28" s="398">
        <v>0</v>
      </c>
      <c r="Y28" s="398">
        <v>24</v>
      </c>
      <c r="Z28" s="398">
        <v>0</v>
      </c>
      <c r="AA28" s="398">
        <v>24</v>
      </c>
      <c r="AB28" s="398">
        <v>2.0253999999999999</v>
      </c>
      <c r="AC28" s="398">
        <v>0</v>
      </c>
    </row>
    <row r="29" spans="1:29">
      <c r="A29" t="s">
        <v>84</v>
      </c>
      <c r="B29">
        <v>0</v>
      </c>
      <c r="C29">
        <v>0</v>
      </c>
      <c r="D29">
        <v>2</v>
      </c>
      <c r="E29">
        <v>0</v>
      </c>
      <c r="F29">
        <v>9</v>
      </c>
      <c r="G29">
        <v>0</v>
      </c>
      <c r="H29">
        <v>0</v>
      </c>
      <c r="I29">
        <v>7.0891000000000002</v>
      </c>
      <c r="J29">
        <v>0</v>
      </c>
      <c r="K29">
        <v>1.9624999999999999</v>
      </c>
      <c r="L29">
        <v>75.078900000000004</v>
      </c>
      <c r="R29" s="398" t="s">
        <v>84</v>
      </c>
      <c r="S29" s="398">
        <v>0</v>
      </c>
      <c r="T29" s="398">
        <v>0</v>
      </c>
      <c r="U29" s="398">
        <v>2</v>
      </c>
      <c r="V29" s="398">
        <v>0</v>
      </c>
      <c r="W29" s="398">
        <v>374</v>
      </c>
      <c r="X29" s="398">
        <v>0</v>
      </c>
      <c r="Y29" s="398">
        <v>16</v>
      </c>
      <c r="Z29" s="398">
        <v>0</v>
      </c>
      <c r="AA29" s="398">
        <v>16</v>
      </c>
      <c r="AB29" s="398">
        <v>2.0028000000000001</v>
      </c>
      <c r="AC29" s="398">
        <v>0</v>
      </c>
    </row>
    <row r="30" spans="1:29">
      <c r="A30" t="s">
        <v>85</v>
      </c>
      <c r="B30">
        <v>0</v>
      </c>
      <c r="C30">
        <v>0</v>
      </c>
      <c r="D30">
        <v>2</v>
      </c>
      <c r="E30">
        <v>0</v>
      </c>
      <c r="F30">
        <v>2</v>
      </c>
      <c r="G30">
        <v>0</v>
      </c>
      <c r="H30">
        <v>0</v>
      </c>
      <c r="I30">
        <v>3.8226</v>
      </c>
      <c r="J30">
        <v>0</v>
      </c>
      <c r="K30">
        <v>1.9619</v>
      </c>
      <c r="L30">
        <v>90.349000000000004</v>
      </c>
      <c r="R30" s="398" t="s">
        <v>85</v>
      </c>
      <c r="S30" s="398">
        <v>0</v>
      </c>
      <c r="T30" s="398">
        <v>0</v>
      </c>
      <c r="U30" s="398">
        <v>2</v>
      </c>
      <c r="V30" s="398">
        <v>0</v>
      </c>
      <c r="W30" s="398">
        <v>51</v>
      </c>
      <c r="X30" s="398">
        <v>0</v>
      </c>
      <c r="Y30" s="398">
        <v>5</v>
      </c>
      <c r="Z30" s="398">
        <v>0</v>
      </c>
      <c r="AA30" s="398">
        <v>5</v>
      </c>
      <c r="AB30" s="398">
        <v>1.9634</v>
      </c>
      <c r="AC30" s="398">
        <v>0</v>
      </c>
    </row>
    <row r="31" spans="1:29">
      <c r="A31" t="s">
        <v>86</v>
      </c>
      <c r="B31" t="s">
        <v>87</v>
      </c>
      <c r="C31" t="s">
        <v>87</v>
      </c>
      <c r="D31" t="s">
        <v>87</v>
      </c>
      <c r="E31">
        <v>6</v>
      </c>
      <c r="F31">
        <v>380</v>
      </c>
      <c r="G31">
        <v>0</v>
      </c>
      <c r="H31">
        <v>2</v>
      </c>
      <c r="I31">
        <v>58.406100000000002</v>
      </c>
      <c r="J31">
        <v>2</v>
      </c>
      <c r="K31">
        <v>1.9709000000000001</v>
      </c>
      <c r="L31">
        <v>4.0347</v>
      </c>
      <c r="R31" s="398" t="s">
        <v>86</v>
      </c>
      <c r="S31" s="398" t="s">
        <v>87</v>
      </c>
      <c r="T31" s="398" t="s">
        <v>87</v>
      </c>
      <c r="U31" s="398" t="s">
        <v>87</v>
      </c>
      <c r="V31" s="398">
        <v>530</v>
      </c>
      <c r="W31" s="398">
        <v>27206</v>
      </c>
      <c r="X31" s="398">
        <v>0</v>
      </c>
      <c r="Y31" s="398">
        <v>152</v>
      </c>
      <c r="Z31" s="398">
        <v>56.240699999999997</v>
      </c>
      <c r="AA31" s="398">
        <v>152</v>
      </c>
      <c r="AB31" s="398">
        <v>1.9883999999999999</v>
      </c>
      <c r="AC31" s="398">
        <v>0.5</v>
      </c>
    </row>
    <row r="32" spans="1:29">
      <c r="R32" s="398"/>
      <c r="S32" s="398"/>
      <c r="T32" s="398"/>
      <c r="U32" s="398"/>
      <c r="V32" s="398"/>
      <c r="W32" s="398"/>
      <c r="X32" s="398"/>
      <c r="Y32" s="398"/>
      <c r="Z32" s="398"/>
      <c r="AA32" s="398"/>
      <c r="AB32" s="398"/>
      <c r="AC32" s="398"/>
    </row>
    <row r="33" spans="1:29">
      <c r="A33" t="s">
        <v>236</v>
      </c>
      <c r="R33" s="398" t="s">
        <v>370</v>
      </c>
      <c r="S33" s="398"/>
      <c r="T33" s="398"/>
      <c r="U33" s="398"/>
      <c r="V33" s="398"/>
      <c r="W33" s="398"/>
      <c r="X33" s="398"/>
      <c r="Y33" s="398"/>
      <c r="Z33" s="398"/>
      <c r="AA33" s="398"/>
      <c r="AB33" s="398"/>
      <c r="AC33" s="398"/>
    </row>
    <row r="34" spans="1:29">
      <c r="B34" t="s">
        <v>38</v>
      </c>
      <c r="R34" s="398"/>
      <c r="S34" s="398" t="s">
        <v>38</v>
      </c>
      <c r="T34" s="398"/>
      <c r="U34" s="398"/>
      <c r="V34" s="398"/>
      <c r="W34" s="398"/>
      <c r="X34" s="398"/>
      <c r="Y34" s="398"/>
      <c r="Z34" s="398"/>
      <c r="AA34" s="398"/>
      <c r="AB34" s="398"/>
      <c r="AC34" s="398"/>
    </row>
    <row r="35" spans="1:29">
      <c r="B35" t="s">
        <v>67</v>
      </c>
      <c r="C35" t="s">
        <v>67</v>
      </c>
      <c r="D35" t="s">
        <v>67</v>
      </c>
      <c r="E35" t="s">
        <v>68</v>
      </c>
      <c r="F35" t="s">
        <v>68</v>
      </c>
      <c r="G35" t="s">
        <v>68</v>
      </c>
      <c r="H35" t="s">
        <v>68</v>
      </c>
      <c r="I35" t="s">
        <v>68</v>
      </c>
      <c r="J35" t="s">
        <v>68</v>
      </c>
      <c r="K35" t="s">
        <v>68</v>
      </c>
      <c r="L35" t="s">
        <v>68</v>
      </c>
      <c r="R35" s="398"/>
      <c r="S35" s="398" t="s">
        <v>67</v>
      </c>
      <c r="T35" s="398" t="s">
        <v>67</v>
      </c>
      <c r="U35" s="398" t="s">
        <v>67</v>
      </c>
      <c r="V35" s="398" t="s">
        <v>68</v>
      </c>
      <c r="W35" s="398" t="s">
        <v>68</v>
      </c>
      <c r="X35" s="398" t="s">
        <v>68</v>
      </c>
      <c r="Y35" s="398" t="s">
        <v>68</v>
      </c>
      <c r="Z35" s="398" t="s">
        <v>68</v>
      </c>
      <c r="AA35" s="398" t="s">
        <v>68</v>
      </c>
      <c r="AB35" s="398" t="s">
        <v>68</v>
      </c>
      <c r="AC35" s="398" t="s">
        <v>68</v>
      </c>
    </row>
    <row r="36" spans="1:29">
      <c r="A36" t="s">
        <v>69</v>
      </c>
      <c r="B36" t="s">
        <v>70</v>
      </c>
      <c r="C36" t="s">
        <v>71</v>
      </c>
      <c r="D36" t="s">
        <v>72</v>
      </c>
      <c r="E36" t="s">
        <v>70</v>
      </c>
      <c r="F36" t="s">
        <v>56</v>
      </c>
      <c r="G36" t="s">
        <v>71</v>
      </c>
      <c r="H36" t="s">
        <v>73</v>
      </c>
      <c r="I36" t="s">
        <v>74</v>
      </c>
      <c r="J36" t="s">
        <v>75</v>
      </c>
      <c r="K36" t="s">
        <v>76</v>
      </c>
      <c r="L36" t="s">
        <v>77</v>
      </c>
      <c r="R36" s="398" t="s">
        <v>69</v>
      </c>
      <c r="S36" s="398" t="s">
        <v>70</v>
      </c>
      <c r="T36" s="398" t="s">
        <v>71</v>
      </c>
      <c r="U36" s="398" t="s">
        <v>72</v>
      </c>
      <c r="V36" s="398" t="s">
        <v>70</v>
      </c>
      <c r="W36" s="398" t="s">
        <v>56</v>
      </c>
      <c r="X36" s="398" t="s">
        <v>71</v>
      </c>
      <c r="Y36" s="398" t="s">
        <v>73</v>
      </c>
      <c r="Z36" s="398" t="s">
        <v>74</v>
      </c>
      <c r="AA36" s="398" t="s">
        <v>75</v>
      </c>
      <c r="AB36" s="398" t="s">
        <v>76</v>
      </c>
      <c r="AC36" s="398" t="s">
        <v>77</v>
      </c>
    </row>
    <row r="37" spans="1:29">
      <c r="B37" t="s">
        <v>237</v>
      </c>
      <c r="C37" t="s">
        <v>237</v>
      </c>
      <c r="D37" t="s">
        <v>237</v>
      </c>
      <c r="E37" t="s">
        <v>237</v>
      </c>
      <c r="F37" t="s">
        <v>237</v>
      </c>
      <c r="G37" t="s">
        <v>237</v>
      </c>
      <c r="H37" t="s">
        <v>237</v>
      </c>
      <c r="I37" t="s">
        <v>78</v>
      </c>
      <c r="J37" t="s">
        <v>237</v>
      </c>
      <c r="K37" t="s">
        <v>79</v>
      </c>
      <c r="L37" t="s">
        <v>78</v>
      </c>
      <c r="R37" s="398"/>
      <c r="S37" s="398" t="s">
        <v>369</v>
      </c>
      <c r="T37" s="398" t="s">
        <v>369</v>
      </c>
      <c r="U37" s="398" t="s">
        <v>369</v>
      </c>
      <c r="V37" s="398" t="s">
        <v>369</v>
      </c>
      <c r="W37" s="398" t="s">
        <v>369</v>
      </c>
      <c r="X37" s="398" t="s">
        <v>369</v>
      </c>
      <c r="Y37" s="398" t="s">
        <v>369</v>
      </c>
      <c r="Z37" s="398" t="s">
        <v>78</v>
      </c>
      <c r="AA37" s="398" t="s">
        <v>369</v>
      </c>
      <c r="AB37" s="398" t="s">
        <v>79</v>
      </c>
      <c r="AC37" s="398" t="s">
        <v>78</v>
      </c>
    </row>
    <row r="38" spans="1:29">
      <c r="A38" t="s">
        <v>58</v>
      </c>
      <c r="B38">
        <v>2.2700000000000001E-2</v>
      </c>
      <c r="C38">
        <v>0</v>
      </c>
      <c r="D38">
        <v>2</v>
      </c>
      <c r="E38">
        <v>0</v>
      </c>
      <c r="F38">
        <v>0</v>
      </c>
      <c r="G38">
        <v>0</v>
      </c>
      <c r="H38">
        <v>2.9999999999999997E-4</v>
      </c>
      <c r="I38">
        <v>68.957099999999997</v>
      </c>
      <c r="J38">
        <v>0</v>
      </c>
      <c r="K38">
        <v>1.6695</v>
      </c>
      <c r="L38">
        <v>2.4062000000000001</v>
      </c>
      <c r="R38" s="398" t="s">
        <v>58</v>
      </c>
      <c r="S38" s="398">
        <v>0.2</v>
      </c>
      <c r="T38" s="398">
        <v>0</v>
      </c>
      <c r="U38" s="398">
        <v>2</v>
      </c>
      <c r="V38" s="398">
        <v>0.191</v>
      </c>
      <c r="W38" s="398">
        <v>0.90269999999999995</v>
      </c>
      <c r="X38" s="398">
        <v>0</v>
      </c>
      <c r="Y38" s="398">
        <v>0.65749999999999997</v>
      </c>
      <c r="Z38" s="398">
        <v>65.686099999999996</v>
      </c>
      <c r="AA38" s="398">
        <v>5.9999999999999995E-4</v>
      </c>
      <c r="AB38" s="398">
        <v>1.5249999999999999</v>
      </c>
      <c r="AC38" s="398">
        <v>0.5</v>
      </c>
    </row>
    <row r="39" spans="1:29">
      <c r="A39" t="s">
        <v>59</v>
      </c>
      <c r="B39">
        <v>0</v>
      </c>
      <c r="C39">
        <v>0</v>
      </c>
      <c r="D39">
        <v>2</v>
      </c>
      <c r="E39">
        <v>0</v>
      </c>
      <c r="F39">
        <v>0</v>
      </c>
      <c r="G39">
        <v>0</v>
      </c>
      <c r="H39">
        <v>4.0000000000000002E-4</v>
      </c>
      <c r="I39">
        <v>64.661699999999996</v>
      </c>
      <c r="J39">
        <v>0</v>
      </c>
      <c r="K39">
        <v>2.0206</v>
      </c>
      <c r="L39">
        <v>7.0784000000000002</v>
      </c>
      <c r="R39" s="398" t="s">
        <v>59</v>
      </c>
      <c r="S39" s="398">
        <v>0</v>
      </c>
      <c r="T39" s="398">
        <v>0</v>
      </c>
      <c r="U39" s="398">
        <v>2</v>
      </c>
      <c r="V39" s="398">
        <v>0</v>
      </c>
      <c r="W39" s="398">
        <v>0.99429999999999996</v>
      </c>
      <c r="X39" s="398">
        <v>0</v>
      </c>
      <c r="Y39" s="398">
        <v>0.43569999999999998</v>
      </c>
      <c r="Z39" s="398">
        <v>0</v>
      </c>
      <c r="AA39" s="398">
        <v>4.0000000000000002E-4</v>
      </c>
      <c r="AB39" s="398">
        <v>2.0575000000000001</v>
      </c>
      <c r="AC39" s="398">
        <v>0</v>
      </c>
    </row>
    <row r="40" spans="1:29">
      <c r="A40" t="s">
        <v>80</v>
      </c>
      <c r="B40">
        <v>0</v>
      </c>
      <c r="C40">
        <v>0</v>
      </c>
      <c r="D40">
        <v>2</v>
      </c>
      <c r="E40">
        <v>0</v>
      </c>
      <c r="F40">
        <v>0</v>
      </c>
      <c r="G40">
        <v>0</v>
      </c>
      <c r="H40">
        <v>5.9999999999999995E-4</v>
      </c>
      <c r="I40">
        <v>54.313800000000001</v>
      </c>
      <c r="J40">
        <v>0</v>
      </c>
      <c r="K40">
        <v>1.978</v>
      </c>
      <c r="L40">
        <v>17.945</v>
      </c>
      <c r="R40" s="398" t="s">
        <v>80</v>
      </c>
      <c r="S40" s="398">
        <v>0</v>
      </c>
      <c r="T40" s="398">
        <v>0</v>
      </c>
      <c r="U40" s="398">
        <v>2</v>
      </c>
      <c r="V40" s="398">
        <v>0</v>
      </c>
      <c r="W40" s="398">
        <v>0.98460000000000003</v>
      </c>
      <c r="X40" s="398">
        <v>0</v>
      </c>
      <c r="Y40" s="398">
        <v>1.4466000000000001</v>
      </c>
      <c r="Z40" s="398">
        <v>0</v>
      </c>
      <c r="AA40" s="398">
        <v>1.4E-3</v>
      </c>
      <c r="AB40" s="398">
        <v>1.9537</v>
      </c>
      <c r="AC40" s="398">
        <v>0</v>
      </c>
    </row>
    <row r="41" spans="1:29">
      <c r="A41" t="s">
        <v>81</v>
      </c>
      <c r="B41">
        <v>0</v>
      </c>
      <c r="C41">
        <v>0</v>
      </c>
      <c r="D41">
        <v>2</v>
      </c>
      <c r="E41">
        <v>0</v>
      </c>
      <c r="F41">
        <v>0</v>
      </c>
      <c r="G41">
        <v>0</v>
      </c>
      <c r="H41">
        <v>1.6000000000000001E-3</v>
      </c>
      <c r="I41">
        <v>35.566899999999997</v>
      </c>
      <c r="J41">
        <v>0</v>
      </c>
      <c r="K41">
        <v>1.9686999999999999</v>
      </c>
      <c r="L41">
        <v>38.311399999999999</v>
      </c>
      <c r="R41" s="398" t="s">
        <v>81</v>
      </c>
      <c r="S41" s="398">
        <v>0</v>
      </c>
      <c r="T41" s="398">
        <v>0</v>
      </c>
      <c r="U41" s="398">
        <v>2</v>
      </c>
      <c r="V41" s="398">
        <v>0</v>
      </c>
      <c r="W41" s="398">
        <v>0.95509999999999995</v>
      </c>
      <c r="X41" s="398">
        <v>0</v>
      </c>
      <c r="Y41" s="398">
        <v>2.3475999999999999</v>
      </c>
      <c r="Z41" s="398">
        <v>0</v>
      </c>
      <c r="AA41" s="398">
        <v>2.2000000000000001E-3</v>
      </c>
      <c r="AB41" s="398">
        <v>2.0131999999999999</v>
      </c>
      <c r="AC41" s="398">
        <v>0</v>
      </c>
    </row>
    <row r="42" spans="1:29">
      <c r="A42" t="s">
        <v>82</v>
      </c>
      <c r="B42">
        <v>0</v>
      </c>
      <c r="C42">
        <v>0</v>
      </c>
      <c r="D42">
        <v>2</v>
      </c>
      <c r="E42">
        <v>0</v>
      </c>
      <c r="F42">
        <v>0</v>
      </c>
      <c r="G42">
        <v>0</v>
      </c>
      <c r="H42">
        <v>4.4000000000000003E-3</v>
      </c>
      <c r="I42">
        <v>24.574999999999999</v>
      </c>
      <c r="J42">
        <v>0</v>
      </c>
      <c r="K42">
        <v>1.9675</v>
      </c>
      <c r="L42">
        <v>51.3307</v>
      </c>
      <c r="R42" s="398" t="s">
        <v>82</v>
      </c>
      <c r="S42" s="398">
        <v>0</v>
      </c>
      <c r="T42" s="398">
        <v>0</v>
      </c>
      <c r="U42" s="398">
        <v>2</v>
      </c>
      <c r="V42" s="398">
        <v>0</v>
      </c>
      <c r="W42" s="398">
        <v>0.91190000000000004</v>
      </c>
      <c r="X42" s="398">
        <v>0</v>
      </c>
      <c r="Y42" s="398">
        <v>4.7788000000000004</v>
      </c>
      <c r="Z42" s="398">
        <v>0</v>
      </c>
      <c r="AA42" s="398">
        <v>4.4000000000000003E-3</v>
      </c>
      <c r="AB42" s="398">
        <v>1.9810000000000001</v>
      </c>
      <c r="AC42" s="398">
        <v>0</v>
      </c>
    </row>
    <row r="43" spans="1:29">
      <c r="A43" t="s">
        <v>83</v>
      </c>
      <c r="B43">
        <v>0</v>
      </c>
      <c r="C43">
        <v>0</v>
      </c>
      <c r="D43">
        <v>2</v>
      </c>
      <c r="E43">
        <v>0</v>
      </c>
      <c r="F43">
        <v>0</v>
      </c>
      <c r="G43">
        <v>0</v>
      </c>
      <c r="H43">
        <v>1.15E-2</v>
      </c>
      <c r="I43">
        <v>14.0731</v>
      </c>
      <c r="J43">
        <v>0</v>
      </c>
      <c r="K43">
        <v>1.9764999999999999</v>
      </c>
      <c r="L43">
        <v>65.547600000000003</v>
      </c>
      <c r="R43" s="398" t="s">
        <v>83</v>
      </c>
      <c r="S43" s="398">
        <v>0</v>
      </c>
      <c r="T43" s="398">
        <v>0</v>
      </c>
      <c r="U43" s="398">
        <v>2</v>
      </c>
      <c r="V43" s="398">
        <v>0</v>
      </c>
      <c r="W43" s="398">
        <v>0.81559999999999999</v>
      </c>
      <c r="X43" s="398">
        <v>0</v>
      </c>
      <c r="Y43" s="398">
        <v>14.7995</v>
      </c>
      <c r="Z43" s="398">
        <v>0</v>
      </c>
      <c r="AA43" s="398">
        <v>1.21E-2</v>
      </c>
      <c r="AB43" s="398">
        <v>2.0259</v>
      </c>
      <c r="AC43" s="398">
        <v>0</v>
      </c>
    </row>
    <row r="44" spans="1:29">
      <c r="A44" t="s">
        <v>84</v>
      </c>
      <c r="B44">
        <v>0</v>
      </c>
      <c r="C44">
        <v>0</v>
      </c>
      <c r="D44">
        <v>2</v>
      </c>
      <c r="E44">
        <v>0</v>
      </c>
      <c r="F44">
        <v>0</v>
      </c>
      <c r="G44">
        <v>0</v>
      </c>
      <c r="H44">
        <v>2.9899999999999999E-2</v>
      </c>
      <c r="I44">
        <v>9.1532999999999998</v>
      </c>
      <c r="J44">
        <v>0</v>
      </c>
      <c r="K44">
        <v>1.956</v>
      </c>
      <c r="L44">
        <v>74.1387</v>
      </c>
      <c r="R44" s="398" t="s">
        <v>84</v>
      </c>
      <c r="S44" s="398">
        <v>0</v>
      </c>
      <c r="T44" s="398">
        <v>0</v>
      </c>
      <c r="U44" s="398">
        <v>2</v>
      </c>
      <c r="V44" s="398">
        <v>0</v>
      </c>
      <c r="W44" s="398">
        <v>0.66420000000000001</v>
      </c>
      <c r="X44" s="398">
        <v>0</v>
      </c>
      <c r="Y44" s="398">
        <v>32.841900000000003</v>
      </c>
      <c r="Z44" s="398">
        <v>0</v>
      </c>
      <c r="AA44" s="398">
        <v>2.18E-2</v>
      </c>
      <c r="AB44" s="398">
        <v>2.0053000000000001</v>
      </c>
      <c r="AC44" s="398">
        <v>0</v>
      </c>
    </row>
    <row r="45" spans="1:29">
      <c r="A45" t="s">
        <v>85</v>
      </c>
      <c r="B45">
        <v>0</v>
      </c>
      <c r="C45">
        <v>0</v>
      </c>
      <c r="D45">
        <v>2</v>
      </c>
      <c r="E45">
        <v>0</v>
      </c>
      <c r="F45">
        <v>0</v>
      </c>
      <c r="G45">
        <v>0</v>
      </c>
      <c r="H45">
        <v>6.9099999999999995E-2</v>
      </c>
      <c r="I45">
        <v>5.5707000000000004</v>
      </c>
      <c r="J45">
        <v>0</v>
      </c>
      <c r="K45">
        <v>1.9467000000000001</v>
      </c>
      <c r="L45">
        <v>84.533199999999994</v>
      </c>
      <c r="R45" s="398" t="s">
        <v>85</v>
      </c>
      <c r="S45" s="398">
        <v>0</v>
      </c>
      <c r="T45" s="398">
        <v>0</v>
      </c>
      <c r="U45" s="398">
        <v>2</v>
      </c>
      <c r="V45" s="398">
        <v>0</v>
      </c>
      <c r="W45" s="398">
        <v>0.34770000000000001</v>
      </c>
      <c r="X45" s="398">
        <v>0</v>
      </c>
      <c r="Y45" s="398">
        <v>89.503399999999999</v>
      </c>
      <c r="Z45" s="398">
        <v>0</v>
      </c>
      <c r="AA45" s="398">
        <v>3.1099999999999999E-2</v>
      </c>
      <c r="AB45" s="398">
        <v>1.9802</v>
      </c>
      <c r="AC45" s="398">
        <v>0</v>
      </c>
    </row>
    <row r="46" spans="1:29">
      <c r="A46" t="s">
        <v>86</v>
      </c>
      <c r="B46" t="s">
        <v>87</v>
      </c>
      <c r="C46" t="s">
        <v>87</v>
      </c>
      <c r="D46" t="s">
        <v>87</v>
      </c>
      <c r="E46">
        <v>0</v>
      </c>
      <c r="F46">
        <v>0</v>
      </c>
      <c r="G46">
        <v>0</v>
      </c>
      <c r="H46">
        <v>4.3E-3</v>
      </c>
      <c r="I46">
        <v>67.389099999999999</v>
      </c>
      <c r="J46">
        <v>0</v>
      </c>
      <c r="K46">
        <v>1.9636</v>
      </c>
      <c r="L46">
        <v>4.1178999999999997</v>
      </c>
      <c r="R46" s="398" t="s">
        <v>86</v>
      </c>
      <c r="S46" s="398" t="s">
        <v>87</v>
      </c>
      <c r="T46" s="398" t="s">
        <v>87</v>
      </c>
      <c r="U46" s="398" t="s">
        <v>87</v>
      </c>
      <c r="V46" s="398">
        <v>1.6299999999999999E-2</v>
      </c>
      <c r="W46" s="398">
        <v>0.93489999999999995</v>
      </c>
      <c r="X46" s="398">
        <v>0</v>
      </c>
      <c r="Y46" s="398">
        <v>3.5968</v>
      </c>
      <c r="Z46" s="398">
        <v>65.686099999999996</v>
      </c>
      <c r="AA46" s="398">
        <v>3.3999999999999998E-3</v>
      </c>
      <c r="AB46" s="398">
        <v>1.9922</v>
      </c>
      <c r="AC46" s="398">
        <v>0.5</v>
      </c>
    </row>
    <row r="47" spans="1:29">
      <c r="R47" s="398"/>
      <c r="S47" s="398"/>
      <c r="T47" s="398"/>
      <c r="U47" s="398"/>
      <c r="V47" s="398"/>
      <c r="W47" s="398"/>
      <c r="X47" s="398"/>
      <c r="Y47" s="398"/>
      <c r="Z47" s="398"/>
      <c r="AA47" s="398"/>
      <c r="AB47" s="398"/>
      <c r="AC47" s="398"/>
    </row>
    <row r="48" spans="1:29">
      <c r="A48" t="s">
        <v>236</v>
      </c>
      <c r="R48" s="398" t="s">
        <v>370</v>
      </c>
      <c r="S48" s="398"/>
      <c r="T48" s="398"/>
      <c r="U48" s="398"/>
      <c r="V48" s="398"/>
      <c r="W48" s="398"/>
      <c r="X48" s="398"/>
      <c r="Y48" s="398"/>
      <c r="Z48" s="398"/>
      <c r="AA48" s="398"/>
      <c r="AB48" s="398"/>
      <c r="AC48" s="398"/>
    </row>
    <row r="49" spans="1:29">
      <c r="B49" t="s">
        <v>38</v>
      </c>
      <c r="R49" s="398"/>
      <c r="S49" s="398" t="s">
        <v>38</v>
      </c>
      <c r="T49" s="398"/>
      <c r="U49" s="398"/>
      <c r="V49" s="398"/>
      <c r="W49" s="398"/>
      <c r="X49" s="398"/>
      <c r="Y49" s="398"/>
      <c r="Z49" s="398"/>
      <c r="AA49" s="398"/>
      <c r="AB49" s="398"/>
      <c r="AC49" s="398"/>
    </row>
    <row r="50" spans="1:29">
      <c r="B50" t="s">
        <v>67</v>
      </c>
      <c r="C50" t="s">
        <v>67</v>
      </c>
      <c r="D50" t="s">
        <v>67</v>
      </c>
      <c r="E50" t="s">
        <v>68</v>
      </c>
      <c r="F50" t="s">
        <v>68</v>
      </c>
      <c r="G50" t="s">
        <v>68</v>
      </c>
      <c r="H50" t="s">
        <v>68</v>
      </c>
      <c r="I50" t="s">
        <v>68</v>
      </c>
      <c r="J50" t="s">
        <v>68</v>
      </c>
      <c r="K50" t="s">
        <v>68</v>
      </c>
      <c r="L50" t="s">
        <v>68</v>
      </c>
      <c r="R50" s="398"/>
      <c r="S50" s="398" t="s">
        <v>67</v>
      </c>
      <c r="T50" s="398" t="s">
        <v>67</v>
      </c>
      <c r="U50" s="398" t="s">
        <v>67</v>
      </c>
      <c r="V50" s="398" t="s">
        <v>68</v>
      </c>
      <c r="W50" s="398" t="s">
        <v>68</v>
      </c>
      <c r="X50" s="398" t="s">
        <v>68</v>
      </c>
      <c r="Y50" s="398" t="s">
        <v>68</v>
      </c>
      <c r="Z50" s="398" t="s">
        <v>68</v>
      </c>
      <c r="AA50" s="398" t="s">
        <v>68</v>
      </c>
      <c r="AB50" s="398" t="s">
        <v>68</v>
      </c>
      <c r="AC50" s="398" t="s">
        <v>68</v>
      </c>
    </row>
    <row r="51" spans="1:29">
      <c r="A51" t="s">
        <v>69</v>
      </c>
      <c r="B51" t="s">
        <v>70</v>
      </c>
      <c r="C51" t="s">
        <v>71</v>
      </c>
      <c r="D51" t="s">
        <v>72</v>
      </c>
      <c r="E51" t="s">
        <v>70</v>
      </c>
      <c r="F51" t="s">
        <v>56</v>
      </c>
      <c r="G51" t="s">
        <v>71</v>
      </c>
      <c r="H51" t="s">
        <v>73</v>
      </c>
      <c r="I51" t="s">
        <v>74</v>
      </c>
      <c r="J51" t="s">
        <v>75</v>
      </c>
      <c r="K51" t="s">
        <v>76</v>
      </c>
      <c r="L51" t="s">
        <v>77</v>
      </c>
      <c r="R51" s="398" t="s">
        <v>69</v>
      </c>
      <c r="S51" s="398" t="s">
        <v>70</v>
      </c>
      <c r="T51" s="398" t="s">
        <v>71</v>
      </c>
      <c r="U51" s="398" t="s">
        <v>72</v>
      </c>
      <c r="V51" s="398" t="s">
        <v>70</v>
      </c>
      <c r="W51" s="398" t="s">
        <v>56</v>
      </c>
      <c r="X51" s="398" t="s">
        <v>71</v>
      </c>
      <c r="Y51" s="398" t="s">
        <v>73</v>
      </c>
      <c r="Z51" s="398" t="s">
        <v>74</v>
      </c>
      <c r="AA51" s="398" t="s">
        <v>75</v>
      </c>
      <c r="AB51" s="398" t="s">
        <v>76</v>
      </c>
      <c r="AC51" s="398" t="s">
        <v>77</v>
      </c>
    </row>
    <row r="52" spans="1:29">
      <c r="B52" t="s">
        <v>237</v>
      </c>
      <c r="C52" t="s">
        <v>237</v>
      </c>
      <c r="D52" t="s">
        <v>237</v>
      </c>
      <c r="E52" t="s">
        <v>88</v>
      </c>
      <c r="F52" t="s">
        <v>88</v>
      </c>
      <c r="G52" t="s">
        <v>88</v>
      </c>
      <c r="H52" t="s">
        <v>88</v>
      </c>
      <c r="I52" t="s">
        <v>78</v>
      </c>
      <c r="J52" t="s">
        <v>88</v>
      </c>
      <c r="K52" t="s">
        <v>79</v>
      </c>
      <c r="L52" t="s">
        <v>78</v>
      </c>
      <c r="R52" s="398"/>
      <c r="S52" s="398" t="s">
        <v>369</v>
      </c>
      <c r="T52" s="398" t="s">
        <v>369</v>
      </c>
      <c r="U52" s="398" t="s">
        <v>369</v>
      </c>
      <c r="V52" s="398" t="s">
        <v>88</v>
      </c>
      <c r="W52" s="398" t="s">
        <v>88</v>
      </c>
      <c r="X52" s="398" t="s">
        <v>88</v>
      </c>
      <c r="Y52" s="398" t="s">
        <v>88</v>
      </c>
      <c r="Z52" s="398" t="s">
        <v>78</v>
      </c>
      <c r="AA52" s="398" t="s">
        <v>88</v>
      </c>
      <c r="AB52" s="398" t="s">
        <v>79</v>
      </c>
      <c r="AC52" s="398" t="s">
        <v>78</v>
      </c>
    </row>
    <row r="53" spans="1:29">
      <c r="A53" t="s">
        <v>58</v>
      </c>
      <c r="B53">
        <v>2.2700000000000001E-2</v>
      </c>
      <c r="C53">
        <v>0</v>
      </c>
      <c r="D53">
        <v>2</v>
      </c>
      <c r="E53">
        <v>3</v>
      </c>
      <c r="F53">
        <v>8</v>
      </c>
      <c r="G53">
        <v>0</v>
      </c>
      <c r="H53">
        <v>0</v>
      </c>
      <c r="I53">
        <v>68.957099999999997</v>
      </c>
      <c r="J53">
        <v>0</v>
      </c>
      <c r="K53">
        <v>1.6695</v>
      </c>
      <c r="L53">
        <v>2.4062000000000001</v>
      </c>
      <c r="R53" s="398" t="s">
        <v>58</v>
      </c>
      <c r="S53" s="398">
        <v>0.2</v>
      </c>
      <c r="T53" s="398">
        <v>0</v>
      </c>
      <c r="U53" s="398">
        <v>2</v>
      </c>
      <c r="V53" s="398">
        <v>501</v>
      </c>
      <c r="W53" s="398">
        <v>2366</v>
      </c>
      <c r="X53" s="398">
        <v>0</v>
      </c>
      <c r="Y53" s="398">
        <v>2</v>
      </c>
      <c r="Z53" s="398">
        <v>65.686099999999996</v>
      </c>
      <c r="AA53" s="398">
        <v>2</v>
      </c>
      <c r="AB53" s="398">
        <v>1.5249999999999999</v>
      </c>
      <c r="AC53" s="398">
        <v>0.5</v>
      </c>
    </row>
    <row r="54" spans="1:29">
      <c r="A54" t="s">
        <v>59</v>
      </c>
      <c r="B54">
        <v>0</v>
      </c>
      <c r="C54">
        <v>0</v>
      </c>
      <c r="D54">
        <v>2</v>
      </c>
      <c r="E54">
        <v>1</v>
      </c>
      <c r="F54">
        <v>43</v>
      </c>
      <c r="G54">
        <v>0</v>
      </c>
      <c r="H54">
        <v>0</v>
      </c>
      <c r="I54">
        <v>64.661699999999996</v>
      </c>
      <c r="J54">
        <v>0</v>
      </c>
      <c r="K54">
        <v>2.0206</v>
      </c>
      <c r="L54">
        <v>7.0784000000000002</v>
      </c>
      <c r="R54" s="398" t="s">
        <v>59</v>
      </c>
      <c r="S54" s="398">
        <v>0</v>
      </c>
      <c r="T54" s="398">
        <v>0</v>
      </c>
      <c r="U54" s="398">
        <v>2</v>
      </c>
      <c r="V54" s="398">
        <v>0</v>
      </c>
      <c r="W54" s="398">
        <v>5112</v>
      </c>
      <c r="X54" s="398">
        <v>0</v>
      </c>
      <c r="Y54" s="398">
        <v>2</v>
      </c>
      <c r="Z54" s="398">
        <v>0</v>
      </c>
      <c r="AA54" s="398">
        <v>2</v>
      </c>
      <c r="AB54" s="398">
        <v>2.0575000000000001</v>
      </c>
      <c r="AC54" s="398">
        <v>0</v>
      </c>
    </row>
    <row r="55" spans="1:29">
      <c r="A55" t="s">
        <v>80</v>
      </c>
      <c r="B55">
        <v>0</v>
      </c>
      <c r="C55">
        <v>0</v>
      </c>
      <c r="D55">
        <v>2</v>
      </c>
      <c r="E55">
        <v>0</v>
      </c>
      <c r="F55">
        <v>81</v>
      </c>
      <c r="G55">
        <v>0</v>
      </c>
      <c r="H55">
        <v>0</v>
      </c>
      <c r="I55">
        <v>54.313800000000001</v>
      </c>
      <c r="J55">
        <v>0</v>
      </c>
      <c r="K55">
        <v>1.978</v>
      </c>
      <c r="L55">
        <v>17.945</v>
      </c>
      <c r="R55" s="398" t="s">
        <v>80</v>
      </c>
      <c r="S55" s="398">
        <v>0</v>
      </c>
      <c r="T55" s="398">
        <v>0</v>
      </c>
      <c r="U55" s="398">
        <v>2</v>
      </c>
      <c r="V55" s="398">
        <v>0</v>
      </c>
      <c r="W55" s="398">
        <v>7524</v>
      </c>
      <c r="X55" s="398">
        <v>0</v>
      </c>
      <c r="Y55" s="398">
        <v>11</v>
      </c>
      <c r="Z55" s="398">
        <v>0</v>
      </c>
      <c r="AA55" s="398">
        <v>11</v>
      </c>
      <c r="AB55" s="398">
        <v>1.9537</v>
      </c>
      <c r="AC55" s="398">
        <v>0</v>
      </c>
    </row>
    <row r="56" spans="1:29">
      <c r="A56" t="s">
        <v>81</v>
      </c>
      <c r="B56">
        <v>0</v>
      </c>
      <c r="C56">
        <v>0</v>
      </c>
      <c r="D56">
        <v>2</v>
      </c>
      <c r="E56">
        <v>0</v>
      </c>
      <c r="F56">
        <v>92</v>
      </c>
      <c r="G56">
        <v>0</v>
      </c>
      <c r="H56">
        <v>0</v>
      </c>
      <c r="I56">
        <v>35.566899999999997</v>
      </c>
      <c r="J56">
        <v>0</v>
      </c>
      <c r="K56">
        <v>1.9686999999999999</v>
      </c>
      <c r="L56">
        <v>38.311399999999999</v>
      </c>
      <c r="R56" s="398" t="s">
        <v>81</v>
      </c>
      <c r="S56" s="398">
        <v>0</v>
      </c>
      <c r="T56" s="398">
        <v>0</v>
      </c>
      <c r="U56" s="398">
        <v>2</v>
      </c>
      <c r="V56" s="398">
        <v>0</v>
      </c>
      <c r="W56" s="398">
        <v>7407</v>
      </c>
      <c r="X56" s="398">
        <v>0</v>
      </c>
      <c r="Y56" s="398">
        <v>17</v>
      </c>
      <c r="Z56" s="398">
        <v>0</v>
      </c>
      <c r="AA56" s="398">
        <v>17</v>
      </c>
      <c r="AB56" s="398">
        <v>2.0131999999999999</v>
      </c>
      <c r="AC56" s="398">
        <v>0</v>
      </c>
    </row>
    <row r="57" spans="1:29">
      <c r="A57" t="s">
        <v>82</v>
      </c>
      <c r="B57">
        <v>0</v>
      </c>
      <c r="C57">
        <v>0</v>
      </c>
      <c r="D57">
        <v>2</v>
      </c>
      <c r="E57">
        <v>0</v>
      </c>
      <c r="F57">
        <v>79</v>
      </c>
      <c r="G57">
        <v>0</v>
      </c>
      <c r="H57">
        <v>0</v>
      </c>
      <c r="I57">
        <v>24.574999999999999</v>
      </c>
      <c r="J57">
        <v>0</v>
      </c>
      <c r="K57">
        <v>1.9675</v>
      </c>
      <c r="L57">
        <v>51.3307</v>
      </c>
      <c r="R57" s="398" t="s">
        <v>82</v>
      </c>
      <c r="S57" s="398">
        <v>0</v>
      </c>
      <c r="T57" s="398">
        <v>0</v>
      </c>
      <c r="U57" s="398">
        <v>2</v>
      </c>
      <c r="V57" s="398">
        <v>0</v>
      </c>
      <c r="W57" s="398">
        <v>4197</v>
      </c>
      <c r="X57" s="398">
        <v>0</v>
      </c>
      <c r="Y57" s="398">
        <v>20</v>
      </c>
      <c r="Z57" s="398">
        <v>0</v>
      </c>
      <c r="AA57" s="398">
        <v>20</v>
      </c>
      <c r="AB57" s="398">
        <v>1.9810000000000001</v>
      </c>
      <c r="AC57" s="398">
        <v>0</v>
      </c>
    </row>
    <row r="58" spans="1:29">
      <c r="A58" t="s">
        <v>83</v>
      </c>
      <c r="B58">
        <v>0</v>
      </c>
      <c r="C58">
        <v>0</v>
      </c>
      <c r="D58">
        <v>2</v>
      </c>
      <c r="E58">
        <v>0</v>
      </c>
      <c r="F58">
        <v>28</v>
      </c>
      <c r="G58">
        <v>0</v>
      </c>
      <c r="H58">
        <v>0</v>
      </c>
      <c r="I58">
        <v>14.0731</v>
      </c>
      <c r="J58">
        <v>0</v>
      </c>
      <c r="K58">
        <v>1.9764999999999999</v>
      </c>
      <c r="L58">
        <v>65.547600000000003</v>
      </c>
      <c r="R58" s="398" t="s">
        <v>83</v>
      </c>
      <c r="S58" s="398">
        <v>0</v>
      </c>
      <c r="T58" s="398">
        <v>0</v>
      </c>
      <c r="U58" s="398">
        <v>2</v>
      </c>
      <c r="V58" s="398">
        <v>0</v>
      </c>
      <c r="W58" s="398">
        <v>1456</v>
      </c>
      <c r="X58" s="398">
        <v>0</v>
      </c>
      <c r="Y58" s="398">
        <v>22</v>
      </c>
      <c r="Z58" s="398">
        <v>0</v>
      </c>
      <c r="AA58" s="398">
        <v>22</v>
      </c>
      <c r="AB58" s="398">
        <v>2.0259</v>
      </c>
      <c r="AC58" s="398">
        <v>0</v>
      </c>
    </row>
    <row r="59" spans="1:29">
      <c r="A59" t="s">
        <v>84</v>
      </c>
      <c r="B59">
        <v>0</v>
      </c>
      <c r="C59">
        <v>0</v>
      </c>
      <c r="D59">
        <v>2</v>
      </c>
      <c r="E59">
        <v>0</v>
      </c>
      <c r="F59">
        <v>13</v>
      </c>
      <c r="G59">
        <v>0</v>
      </c>
      <c r="H59">
        <v>0</v>
      </c>
      <c r="I59">
        <v>9.1532999999999998</v>
      </c>
      <c r="J59">
        <v>0</v>
      </c>
      <c r="K59">
        <v>1.956</v>
      </c>
      <c r="L59">
        <v>74.1387</v>
      </c>
      <c r="R59" s="398" t="s">
        <v>84</v>
      </c>
      <c r="S59" s="398">
        <v>0</v>
      </c>
      <c r="T59" s="398">
        <v>0</v>
      </c>
      <c r="U59" s="398">
        <v>2</v>
      </c>
      <c r="V59" s="398">
        <v>0</v>
      </c>
      <c r="W59" s="398">
        <v>597</v>
      </c>
      <c r="X59" s="398">
        <v>0</v>
      </c>
      <c r="Y59" s="398">
        <v>20</v>
      </c>
      <c r="Z59" s="398">
        <v>0</v>
      </c>
      <c r="AA59" s="398">
        <v>20</v>
      </c>
      <c r="AB59" s="398">
        <v>2.0053000000000001</v>
      </c>
      <c r="AC59" s="398">
        <v>0</v>
      </c>
    </row>
    <row r="60" spans="1:29">
      <c r="A60" t="s">
        <v>85</v>
      </c>
      <c r="B60">
        <v>0</v>
      </c>
      <c r="C60">
        <v>0</v>
      </c>
      <c r="D60">
        <v>2</v>
      </c>
      <c r="E60">
        <v>0</v>
      </c>
      <c r="F60">
        <v>4</v>
      </c>
      <c r="G60">
        <v>0</v>
      </c>
      <c r="H60">
        <v>0</v>
      </c>
      <c r="I60">
        <v>5.5707000000000004</v>
      </c>
      <c r="J60">
        <v>0</v>
      </c>
      <c r="K60">
        <v>1.9467000000000001</v>
      </c>
      <c r="L60">
        <v>84.533199999999994</v>
      </c>
      <c r="R60" s="398" t="s">
        <v>85</v>
      </c>
      <c r="S60" s="398">
        <v>0</v>
      </c>
      <c r="T60" s="398">
        <v>0</v>
      </c>
      <c r="U60" s="398">
        <v>2</v>
      </c>
      <c r="V60" s="398">
        <v>0</v>
      </c>
      <c r="W60" s="398">
        <v>114</v>
      </c>
      <c r="X60" s="398">
        <v>0</v>
      </c>
      <c r="Y60" s="398">
        <v>10</v>
      </c>
      <c r="Z60" s="398">
        <v>0</v>
      </c>
      <c r="AA60" s="398">
        <v>10</v>
      </c>
      <c r="AB60" s="398">
        <v>1.9802</v>
      </c>
      <c r="AC60" s="398">
        <v>0</v>
      </c>
    </row>
    <row r="61" spans="1:29">
      <c r="A61" t="s">
        <v>86</v>
      </c>
      <c r="B61" t="s">
        <v>87</v>
      </c>
      <c r="C61" t="s">
        <v>87</v>
      </c>
      <c r="D61" t="s">
        <v>87</v>
      </c>
      <c r="E61">
        <v>4</v>
      </c>
      <c r="F61">
        <v>347</v>
      </c>
      <c r="G61">
        <v>0</v>
      </c>
      <c r="H61">
        <v>1</v>
      </c>
      <c r="I61">
        <v>67.389099999999999</v>
      </c>
      <c r="J61">
        <v>1</v>
      </c>
      <c r="K61">
        <v>1.9636</v>
      </c>
      <c r="L61">
        <v>4.1178999999999997</v>
      </c>
      <c r="R61" s="398" t="s">
        <v>86</v>
      </c>
      <c r="S61" s="398" t="s">
        <v>87</v>
      </c>
      <c r="T61" s="398" t="s">
        <v>87</v>
      </c>
      <c r="U61" s="398" t="s">
        <v>87</v>
      </c>
      <c r="V61" s="398">
        <v>501</v>
      </c>
      <c r="W61" s="398">
        <v>28774</v>
      </c>
      <c r="X61" s="398">
        <v>0</v>
      </c>
      <c r="Y61" s="398">
        <v>103</v>
      </c>
      <c r="Z61" s="398">
        <v>65.686099999999996</v>
      </c>
      <c r="AA61" s="398">
        <v>103</v>
      </c>
      <c r="AB61" s="398">
        <v>1.9922</v>
      </c>
      <c r="AC61" s="398">
        <v>0.5</v>
      </c>
    </row>
  </sheetData>
  <phoneticPr fontId="0"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U27"/>
  <sheetViews>
    <sheetView topLeftCell="A16" zoomScale="98" zoomScaleNormal="98" workbookViewId="0">
      <selection activeCell="F31" sqref="F31"/>
    </sheetView>
  </sheetViews>
  <sheetFormatPr baseColWidth="10" defaultColWidth="9.1640625" defaultRowHeight="13"/>
  <cols>
    <col min="1" max="1" width="1.5" style="64" customWidth="1"/>
    <col min="2" max="2" width="21.5" style="64" customWidth="1"/>
    <col min="3" max="3" width="1.33203125" style="64" customWidth="1"/>
    <col min="4" max="4" width="16.1640625" style="64" customWidth="1"/>
    <col min="5" max="5" width="3.1640625" style="64" customWidth="1"/>
    <col min="6" max="6" width="16.1640625" style="64" customWidth="1"/>
    <col min="7" max="9" width="1.33203125" style="64" customWidth="1"/>
    <col min="10" max="10" width="19" style="64" customWidth="1"/>
    <col min="11" max="11" width="4.5" style="64" customWidth="1"/>
    <col min="12" max="12" width="1.33203125" style="64" customWidth="1"/>
    <col min="13" max="13" width="16.1640625" style="64" customWidth="1"/>
    <col min="14" max="14" width="12.83203125" style="64" customWidth="1"/>
    <col min="15" max="15" width="17.5" style="64" customWidth="1"/>
    <col min="16" max="16" width="16.1640625" style="64" customWidth="1"/>
    <col min="17" max="17" width="1.33203125" style="64" customWidth="1"/>
    <col min="18" max="18" width="16.1640625" style="64" customWidth="1"/>
    <col min="19" max="20" width="1.33203125" style="64" customWidth="1"/>
    <col min="21" max="21" width="13.5" style="64" customWidth="1"/>
    <col min="22" max="22" width="2.5" style="64" customWidth="1"/>
    <col min="23" max="23" width="1.33203125" style="64" customWidth="1"/>
    <col min="24" max="24" width="16.1640625" style="64" customWidth="1"/>
    <col min="25" max="26" width="1.33203125" style="64" customWidth="1"/>
    <col min="27" max="27" width="16.1640625" style="64" customWidth="1"/>
    <col min="28" max="28" width="1.33203125" style="64" customWidth="1"/>
    <col min="29" max="29" width="16.1640625" style="64" customWidth="1"/>
    <col min="30" max="31" width="1.33203125" style="64" customWidth="1"/>
    <col min="32" max="32" width="16.1640625" style="64" customWidth="1"/>
    <col min="33" max="33" width="1.33203125" style="64" customWidth="1"/>
    <col min="34" max="34" width="16.1640625" style="64" customWidth="1"/>
    <col min="35" max="36" width="1.33203125" style="64" customWidth="1"/>
    <col min="37" max="37" width="16.1640625" style="64" customWidth="1"/>
    <col min="38" max="38" width="1.33203125" style="64" customWidth="1"/>
    <col min="39" max="39" width="16.1640625" style="64" customWidth="1"/>
    <col min="40" max="41" width="1.33203125" style="64" customWidth="1"/>
    <col min="42" max="42" width="16.1640625" style="64" customWidth="1"/>
    <col min="43" max="43" width="1.33203125" style="64" customWidth="1"/>
    <col min="44" max="44" width="16.1640625" style="64" customWidth="1"/>
    <col min="45" max="46" width="1.33203125" style="64" customWidth="1"/>
    <col min="47" max="47" width="16.1640625" style="64" customWidth="1"/>
    <col min="48" max="48" width="1.33203125" style="64" customWidth="1"/>
    <col min="49" max="49" width="16.1640625" style="64" customWidth="1"/>
    <col min="50" max="51" width="1.33203125" style="64" customWidth="1"/>
    <col min="52" max="52" width="16.1640625" style="64" customWidth="1"/>
    <col min="53" max="53" width="1.33203125" style="64" customWidth="1"/>
    <col min="54" max="54" width="16.1640625" style="64" customWidth="1"/>
    <col min="55" max="56" width="1.33203125" style="64" customWidth="1"/>
    <col min="57" max="57" width="16.1640625" style="64" customWidth="1"/>
    <col min="58" max="58" width="1.33203125" style="64" customWidth="1"/>
    <col min="59" max="59" width="16.1640625" style="64" customWidth="1"/>
    <col min="60" max="62" width="1.33203125" style="64" customWidth="1"/>
    <col min="63" max="63" width="0" style="64" hidden="1" customWidth="1"/>
    <col min="64" max="64" width="2.5" style="64" customWidth="1"/>
    <col min="65" max="16384" width="9.1640625" style="64"/>
  </cols>
  <sheetData>
    <row r="1" spans="2:21" ht="5" customHeight="1"/>
    <row r="2" spans="2:21" ht="18" customHeight="1">
      <c r="B2" s="404" t="s">
        <v>127</v>
      </c>
      <c r="C2" s="405"/>
      <c r="D2" s="405"/>
      <c r="E2" s="405"/>
      <c r="F2" s="405"/>
      <c r="G2" s="405"/>
      <c r="H2" s="405"/>
      <c r="I2" s="405"/>
      <c r="J2" s="405"/>
      <c r="K2" s="405"/>
      <c r="L2" s="405"/>
      <c r="M2" s="405"/>
      <c r="N2" s="405"/>
      <c r="O2" s="405"/>
      <c r="P2" s="405"/>
      <c r="Q2" s="405"/>
      <c r="R2" s="405"/>
      <c r="S2" s="405"/>
      <c r="T2" s="405"/>
      <c r="U2" s="405"/>
    </row>
    <row r="3" spans="2:21" ht="18" customHeight="1">
      <c r="B3" s="406" t="s">
        <v>128</v>
      </c>
      <c r="C3" s="405"/>
      <c r="D3" s="405"/>
      <c r="E3" s="405"/>
      <c r="F3" s="405"/>
      <c r="G3" s="405"/>
      <c r="H3" s="405"/>
      <c r="I3" s="405"/>
      <c r="J3" s="405"/>
    </row>
    <row r="4" spans="2:21" ht="5.25" customHeight="1"/>
    <row r="5" spans="2:21" ht="13.5" customHeight="1">
      <c r="B5" s="407" t="s">
        <v>129</v>
      </c>
      <c r="C5" s="408"/>
      <c r="D5" s="410" t="s">
        <v>90</v>
      </c>
      <c r="E5" s="411"/>
      <c r="F5" s="411"/>
      <c r="G5" s="411"/>
      <c r="H5" s="411"/>
      <c r="I5" s="412"/>
    </row>
    <row r="6" spans="2:21" ht="17.25" customHeight="1">
      <c r="B6" s="408"/>
      <c r="C6" s="408"/>
      <c r="D6" s="413"/>
      <c r="E6" s="414"/>
      <c r="F6" s="414"/>
      <c r="G6" s="414"/>
      <c r="H6" s="414"/>
      <c r="I6" s="415"/>
      <c r="M6" s="118" t="s">
        <v>234</v>
      </c>
      <c r="N6" s="119">
        <f>N7/D8</f>
        <v>9.57018838180385E-2</v>
      </c>
      <c r="O6" s="119">
        <f>O7/F8</f>
        <v>0.11373407966252941</v>
      </c>
    </row>
    <row r="7" spans="2:21" ht="16">
      <c r="B7" s="409"/>
      <c r="C7" s="409"/>
      <c r="D7" s="416" t="s">
        <v>130</v>
      </c>
      <c r="E7" s="416"/>
      <c r="F7" s="416" t="s">
        <v>131</v>
      </c>
      <c r="G7" s="416"/>
      <c r="H7" s="416"/>
      <c r="I7" s="416"/>
      <c r="J7" s="63" t="s">
        <v>132</v>
      </c>
      <c r="N7" s="64">
        <f>N10+N9</f>
        <v>35089</v>
      </c>
      <c r="O7" s="64">
        <f>O10+O9</f>
        <v>39256</v>
      </c>
    </row>
    <row r="8" spans="2:21" ht="16">
      <c r="B8" s="416" t="s">
        <v>133</v>
      </c>
      <c r="C8" s="416"/>
      <c r="D8" s="417">
        <v>366649</v>
      </c>
      <c r="E8" s="417"/>
      <c r="F8" s="417">
        <v>345156</v>
      </c>
      <c r="G8" s="417"/>
      <c r="H8" s="417"/>
      <c r="I8" s="417"/>
      <c r="J8" s="127">
        <f>D8+F8</f>
        <v>711805</v>
      </c>
      <c r="K8" s="418"/>
      <c r="L8" s="419"/>
      <c r="M8" s="420"/>
      <c r="N8" s="63" t="s">
        <v>92</v>
      </c>
      <c r="O8" s="63" t="s">
        <v>134</v>
      </c>
    </row>
    <row r="9" spans="2:21" ht="16">
      <c r="B9" s="416" t="s">
        <v>135</v>
      </c>
      <c r="C9" s="416"/>
      <c r="D9" s="417">
        <v>10</v>
      </c>
      <c r="E9" s="417"/>
      <c r="F9" s="417">
        <v>14</v>
      </c>
      <c r="G9" s="417"/>
      <c r="H9" s="417"/>
      <c r="I9" s="417"/>
      <c r="K9" s="418" t="s">
        <v>136</v>
      </c>
      <c r="L9" s="419"/>
      <c r="M9" s="420"/>
      <c r="N9" s="62">
        <f>D9+D10+D11</f>
        <v>2924</v>
      </c>
      <c r="O9" s="62">
        <f>F9+F10+F11</f>
        <v>2765</v>
      </c>
      <c r="P9" s="65"/>
      <c r="Q9" s="65"/>
    </row>
    <row r="10" spans="2:21" ht="16">
      <c r="B10" s="416" t="s">
        <v>137</v>
      </c>
      <c r="C10" s="416"/>
      <c r="D10" s="417">
        <v>796</v>
      </c>
      <c r="E10" s="417"/>
      <c r="F10" s="417">
        <v>764</v>
      </c>
      <c r="G10" s="417"/>
      <c r="H10" s="417"/>
      <c r="I10" s="417"/>
      <c r="K10" s="418" t="s">
        <v>138</v>
      </c>
      <c r="L10" s="419"/>
      <c r="M10" s="420"/>
      <c r="N10" s="63">
        <f>D12+D13</f>
        <v>32165</v>
      </c>
      <c r="O10" s="63">
        <f>F12+F13</f>
        <v>36491</v>
      </c>
      <c r="P10" s="66">
        <f>SUM(N9,O9,N10,O10)/J8</f>
        <v>0.10444574005521175</v>
      </c>
    </row>
    <row r="11" spans="2:21" ht="16">
      <c r="B11" s="416" t="s">
        <v>139</v>
      </c>
      <c r="C11" s="416"/>
      <c r="D11" s="417">
        <v>2118</v>
      </c>
      <c r="E11" s="417"/>
      <c r="F11" s="417">
        <v>1987</v>
      </c>
      <c r="G11" s="417"/>
      <c r="H11" s="417"/>
      <c r="I11" s="417"/>
      <c r="K11" s="418" t="s">
        <v>136</v>
      </c>
      <c r="L11" s="419"/>
      <c r="M11" s="420"/>
      <c r="N11" s="67">
        <f>N9/D8</f>
        <v>7.974929701158328E-3</v>
      </c>
      <c r="O11" s="67">
        <f>O9/F8</f>
        <v>8.0108704469862898E-3</v>
      </c>
    </row>
    <row r="12" spans="2:21" ht="16">
      <c r="B12" s="416" t="s">
        <v>140</v>
      </c>
      <c r="C12" s="416"/>
      <c r="D12" s="417">
        <v>5450</v>
      </c>
      <c r="E12" s="417"/>
      <c r="F12" s="417">
        <v>5337</v>
      </c>
      <c r="G12" s="417"/>
      <c r="H12" s="417"/>
      <c r="I12" s="417"/>
      <c r="K12" s="418" t="s">
        <v>138</v>
      </c>
      <c r="L12" s="419"/>
      <c r="M12" s="420"/>
      <c r="N12" s="67">
        <f>N10/D8</f>
        <v>8.7726954116880182E-2</v>
      </c>
      <c r="O12" s="67">
        <f>O10/F8</f>
        <v>0.10572320921554312</v>
      </c>
    </row>
    <row r="13" spans="2:21" ht="16">
      <c r="B13" s="416" t="s">
        <v>141</v>
      </c>
      <c r="C13" s="416"/>
      <c r="D13" s="417">
        <v>26715</v>
      </c>
      <c r="E13" s="417"/>
      <c r="F13" s="417">
        <v>31154</v>
      </c>
      <c r="G13" s="417"/>
      <c r="H13" s="417"/>
      <c r="I13" s="417"/>
      <c r="K13" s="421" t="s">
        <v>142</v>
      </c>
      <c r="L13" s="421"/>
      <c r="M13" s="421"/>
      <c r="N13" s="67">
        <f>N11+N12</f>
        <v>9.5701883818038513E-2</v>
      </c>
      <c r="O13" s="67">
        <f>O11+O12</f>
        <v>0.11373407966252941</v>
      </c>
    </row>
    <row r="14" spans="2:21" ht="16">
      <c r="B14" s="416" t="s">
        <v>143</v>
      </c>
      <c r="C14" s="416"/>
      <c r="D14" s="417">
        <v>116297</v>
      </c>
      <c r="E14" s="417"/>
      <c r="F14" s="417">
        <v>130532</v>
      </c>
      <c r="G14" s="417"/>
      <c r="H14" s="417"/>
      <c r="I14" s="417"/>
    </row>
    <row r="15" spans="2:21" ht="16">
      <c r="B15" s="416" t="s">
        <v>144</v>
      </c>
      <c r="C15" s="416"/>
      <c r="D15" s="417">
        <v>150770</v>
      </c>
      <c r="E15" s="417"/>
      <c r="F15" s="417">
        <v>130731</v>
      </c>
      <c r="G15" s="417"/>
      <c r="H15" s="417"/>
      <c r="I15" s="417"/>
    </row>
    <row r="16" spans="2:21" ht="16">
      <c r="B16" s="416" t="s">
        <v>145</v>
      </c>
      <c r="C16" s="416"/>
      <c r="D16" s="417">
        <v>50126</v>
      </c>
      <c r="E16" s="417"/>
      <c r="F16" s="417">
        <v>33897</v>
      </c>
      <c r="G16" s="417"/>
      <c r="H16" s="417"/>
      <c r="I16" s="417"/>
    </row>
    <row r="17" spans="2:21" ht="16">
      <c r="B17" s="416" t="s">
        <v>146</v>
      </c>
      <c r="C17" s="416"/>
      <c r="D17" s="417">
        <v>7183</v>
      </c>
      <c r="E17" s="417"/>
      <c r="F17" s="417">
        <v>4149</v>
      </c>
      <c r="G17" s="417"/>
      <c r="H17" s="417"/>
      <c r="I17" s="417"/>
    </row>
    <row r="18" spans="2:21" ht="16">
      <c r="B18" s="416" t="s">
        <v>147</v>
      </c>
      <c r="C18" s="416"/>
      <c r="D18" s="417">
        <v>807</v>
      </c>
      <c r="E18" s="417"/>
      <c r="F18" s="417">
        <v>542</v>
      </c>
      <c r="G18" s="417"/>
      <c r="H18" s="417"/>
      <c r="I18" s="417"/>
    </row>
    <row r="19" spans="2:21" ht="16">
      <c r="B19" s="416" t="s">
        <v>148</v>
      </c>
      <c r="C19" s="416"/>
      <c r="D19" s="417">
        <v>136</v>
      </c>
      <c r="E19" s="417"/>
      <c r="F19" s="417">
        <v>82</v>
      </c>
      <c r="G19" s="417"/>
      <c r="H19" s="417"/>
      <c r="I19" s="417"/>
    </row>
    <row r="20" spans="2:21" ht="16">
      <c r="B20" s="416" t="s">
        <v>91</v>
      </c>
      <c r="C20" s="416"/>
      <c r="D20" s="417">
        <v>6241</v>
      </c>
      <c r="E20" s="417"/>
      <c r="F20" s="417">
        <v>5967</v>
      </c>
      <c r="G20" s="417"/>
      <c r="H20" s="417"/>
      <c r="I20" s="417"/>
    </row>
    <row r="21" spans="2:21" ht="5" customHeight="1"/>
    <row r="22" spans="2:21" ht="18" customHeight="1">
      <c r="B22" s="406" t="s">
        <v>149</v>
      </c>
      <c r="C22" s="405"/>
      <c r="D22" s="405"/>
      <c r="E22" s="405"/>
      <c r="F22" s="405"/>
      <c r="G22" s="405"/>
      <c r="H22" s="405"/>
      <c r="I22" s="405"/>
      <c r="J22" s="405"/>
      <c r="K22" s="405"/>
      <c r="L22" s="405"/>
      <c r="M22" s="405"/>
      <c r="N22" s="405"/>
      <c r="O22" s="405"/>
      <c r="P22" s="405"/>
      <c r="Q22" s="405"/>
      <c r="R22" s="405"/>
      <c r="S22" s="405"/>
      <c r="T22" s="405"/>
      <c r="U22" s="405"/>
    </row>
    <row r="23" spans="2:21" ht="18" customHeight="1">
      <c r="B23" s="406" t="s">
        <v>150</v>
      </c>
      <c r="C23" s="405"/>
      <c r="D23" s="405"/>
      <c r="E23" s="405"/>
      <c r="F23" s="405"/>
      <c r="G23" s="405"/>
      <c r="H23" s="405"/>
      <c r="I23" s="405"/>
      <c r="J23" s="405"/>
      <c r="K23" s="405"/>
      <c r="L23" s="405"/>
      <c r="M23" s="405"/>
      <c r="N23" s="405"/>
      <c r="O23" s="405"/>
      <c r="P23" s="405"/>
      <c r="Q23" s="405"/>
      <c r="R23" s="405"/>
      <c r="S23" s="405"/>
      <c r="T23" s="405"/>
      <c r="U23" s="405"/>
    </row>
    <row r="24" spans="2:21" ht="18" customHeight="1">
      <c r="B24" s="422"/>
      <c r="C24" s="405"/>
      <c r="D24" s="405"/>
      <c r="E24" s="405"/>
      <c r="F24" s="405"/>
      <c r="G24" s="405"/>
      <c r="H24" s="405"/>
      <c r="I24" s="405"/>
      <c r="J24" s="405"/>
      <c r="K24" s="405"/>
      <c r="L24" s="405"/>
      <c r="M24" s="405"/>
      <c r="N24" s="405"/>
      <c r="O24" s="405"/>
      <c r="P24" s="405"/>
      <c r="Q24" s="405"/>
      <c r="R24" s="405"/>
      <c r="S24" s="405"/>
      <c r="T24" s="405"/>
      <c r="U24" s="405"/>
    </row>
    <row r="25" spans="2:21" ht="18" customHeight="1">
      <c r="B25" s="406" t="s">
        <v>151</v>
      </c>
      <c r="C25" s="405"/>
      <c r="D25" s="405"/>
      <c r="E25" s="405"/>
      <c r="F25" s="405"/>
      <c r="G25" s="405"/>
      <c r="H25" s="405"/>
      <c r="I25" s="405"/>
      <c r="J25" s="405"/>
    </row>
    <row r="26" spans="2:21" ht="22.5" customHeight="1">
      <c r="B26" s="64" t="s">
        <v>152</v>
      </c>
    </row>
    <row r="27" spans="2:21" ht="15">
      <c r="B27" s="68" t="s">
        <v>153</v>
      </c>
    </row>
  </sheetData>
  <mergeCells count="55">
    <mergeCell ref="B25:J25"/>
    <mergeCell ref="B20:C20"/>
    <mergeCell ref="D20:E20"/>
    <mergeCell ref="F20:I20"/>
    <mergeCell ref="B22:U22"/>
    <mergeCell ref="B23:U23"/>
    <mergeCell ref="B24:U24"/>
    <mergeCell ref="B18:C18"/>
    <mergeCell ref="D18:E18"/>
    <mergeCell ref="F18:I18"/>
    <mergeCell ref="B19:C19"/>
    <mergeCell ref="D19:E19"/>
    <mergeCell ref="F19:I19"/>
    <mergeCell ref="B16:C16"/>
    <mergeCell ref="D16:E16"/>
    <mergeCell ref="F16:I16"/>
    <mergeCell ref="B17:C17"/>
    <mergeCell ref="D17:E17"/>
    <mergeCell ref="F17:I17"/>
    <mergeCell ref="B14:C14"/>
    <mergeCell ref="D14:E14"/>
    <mergeCell ref="F14:I14"/>
    <mergeCell ref="B15:C15"/>
    <mergeCell ref="D15:E15"/>
    <mergeCell ref="F15:I15"/>
    <mergeCell ref="B12:C12"/>
    <mergeCell ref="D12:E12"/>
    <mergeCell ref="F12:I12"/>
    <mergeCell ref="K12:M12"/>
    <mergeCell ref="B13:C13"/>
    <mergeCell ref="D13:E13"/>
    <mergeCell ref="F13:I13"/>
    <mergeCell ref="K13:M13"/>
    <mergeCell ref="B10:C10"/>
    <mergeCell ref="D10:E10"/>
    <mergeCell ref="F10:I10"/>
    <mergeCell ref="K10:M10"/>
    <mergeCell ref="B11:C11"/>
    <mergeCell ref="D11:E11"/>
    <mergeCell ref="F11:I11"/>
    <mergeCell ref="K11:M11"/>
    <mergeCell ref="B8:C8"/>
    <mergeCell ref="D8:E8"/>
    <mergeCell ref="F8:I8"/>
    <mergeCell ref="K8:M8"/>
    <mergeCell ref="B9:C9"/>
    <mergeCell ref="D9:E9"/>
    <mergeCell ref="F9:I9"/>
    <mergeCell ref="K9:M9"/>
    <mergeCell ref="B2:U2"/>
    <mergeCell ref="B3:J3"/>
    <mergeCell ref="B5:C7"/>
    <mergeCell ref="D5:I6"/>
    <mergeCell ref="D7:E7"/>
    <mergeCell ref="F7:I7"/>
  </mergeCells>
  <hyperlinks>
    <hyperlink ref="B27" r:id="rId1" xr:uid="{00000000-0004-0000-0300-000000000000}"/>
  </hyperlinks>
  <pageMargins left="0.75" right="0.75" top="1" bottom="1" header="0" footer="0"/>
  <pageSetup paperSize="9" orientation="landscape" horizontalDpi="0" verticalDpi="0"/>
  <headerFooter alignWithMargins="0">
    <oddFooter>&amp;L&amp;C&amp;R</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AA29"/>
  <sheetViews>
    <sheetView topLeftCell="E1" zoomScale="70" zoomScaleNormal="70" workbookViewId="0">
      <selection activeCell="S9" sqref="S9"/>
    </sheetView>
  </sheetViews>
  <sheetFormatPr baseColWidth="10" defaultColWidth="9.1640625" defaultRowHeight="15"/>
  <cols>
    <col min="1" max="2" width="9.1640625" style="74"/>
    <col min="3" max="5" width="14.33203125" style="74" bestFit="1" customWidth="1"/>
    <col min="6" max="9" width="9.1640625" style="74"/>
    <col min="10" max="10" width="13.1640625" style="74" customWidth="1"/>
    <col min="11" max="11" width="16.83203125" style="74" customWidth="1"/>
    <col min="12" max="12" width="17.33203125" style="74" customWidth="1"/>
    <col min="13" max="18" width="9.1640625" style="74"/>
    <col min="19" max="21" width="12.5" style="74" bestFit="1" customWidth="1"/>
    <col min="22" max="24" width="13" style="74" bestFit="1" customWidth="1"/>
    <col min="25" max="25" width="12.1640625" style="74" bestFit="1" customWidth="1"/>
    <col min="26" max="26" width="11.6640625" style="74" bestFit="1" customWidth="1"/>
    <col min="27" max="27" width="14" style="74" bestFit="1" customWidth="1"/>
    <col min="28" max="16384" width="9.1640625" style="74"/>
  </cols>
  <sheetData>
    <row r="2" spans="2:27">
      <c r="B2" s="73" t="s">
        <v>157</v>
      </c>
    </row>
    <row r="4" spans="2:27">
      <c r="B4" s="75" t="s">
        <v>158</v>
      </c>
      <c r="C4" s="75" t="s">
        <v>159</v>
      </c>
      <c r="D4" s="75" t="s">
        <v>134</v>
      </c>
      <c r="E4" s="75" t="s">
        <v>160</v>
      </c>
    </row>
    <row r="5" spans="2:27">
      <c r="B5" s="76" t="s">
        <v>161</v>
      </c>
      <c r="C5" s="77">
        <v>361971</v>
      </c>
      <c r="D5" s="77">
        <v>339976</v>
      </c>
      <c r="E5" s="77">
        <v>701947</v>
      </c>
    </row>
    <row r="6" spans="2:27">
      <c r="B6" s="76" t="s">
        <v>162</v>
      </c>
      <c r="C6" s="77">
        <v>1604348</v>
      </c>
      <c r="D6" s="77">
        <v>1509099</v>
      </c>
      <c r="E6" s="77">
        <v>3113447</v>
      </c>
      <c r="I6" s="76"/>
      <c r="J6" s="76" t="s">
        <v>163</v>
      </c>
      <c r="K6" s="78" t="s">
        <v>164</v>
      </c>
      <c r="L6" s="79"/>
      <c r="R6" s="323" t="s">
        <v>251</v>
      </c>
      <c r="S6" s="323" t="s">
        <v>58</v>
      </c>
      <c r="T6" s="323" t="s">
        <v>252</v>
      </c>
      <c r="U6" s="323" t="s">
        <v>80</v>
      </c>
      <c r="V6" s="323" t="s">
        <v>81</v>
      </c>
      <c r="W6" s="323" t="s">
        <v>82</v>
      </c>
      <c r="X6" s="323" t="s">
        <v>83</v>
      </c>
      <c r="Y6" s="323" t="s">
        <v>84</v>
      </c>
      <c r="Z6" s="323" t="s">
        <v>85</v>
      </c>
      <c r="AA6" s="323" t="s">
        <v>41</v>
      </c>
    </row>
    <row r="7" spans="2:27">
      <c r="B7" s="76" t="s">
        <v>165</v>
      </c>
      <c r="C7" s="77">
        <v>2069970</v>
      </c>
      <c r="D7" s="77">
        <v>1949119</v>
      </c>
      <c r="E7" s="77">
        <v>4019089</v>
      </c>
      <c r="I7" s="80" t="s">
        <v>58</v>
      </c>
      <c r="J7" s="81">
        <f>C5+C6</f>
        <v>1966319</v>
      </c>
      <c r="K7" s="82">
        <f>D5+D6</f>
        <v>1849075</v>
      </c>
      <c r="L7" s="79"/>
      <c r="R7" s="323" t="s">
        <v>92</v>
      </c>
      <c r="S7" s="323">
        <f>[2]Population!D4</f>
        <v>1966319</v>
      </c>
      <c r="T7" s="323">
        <f>[2]Population!E4</f>
        <v>4179206</v>
      </c>
      <c r="U7" s="323">
        <f>[2]Population!F4</f>
        <v>7301822</v>
      </c>
      <c r="V7" s="323">
        <f>[2]Population!G4</f>
        <v>7896765</v>
      </c>
      <c r="W7" s="323">
        <f>[2]Population!H4</f>
        <v>6554289</v>
      </c>
      <c r="X7" s="323">
        <f>[2]Population!I4</f>
        <v>2344057</v>
      </c>
      <c r="Y7" s="323">
        <f>[2]Population!J4</f>
        <v>1173067</v>
      </c>
      <c r="Z7" s="323">
        <f>[2]Population!K4</f>
        <v>506965</v>
      </c>
      <c r="AA7" s="323">
        <f>[2]Population!L4</f>
        <v>31922490</v>
      </c>
    </row>
    <row r="8" spans="2:27">
      <c r="B8" s="76" t="s">
        <v>166</v>
      </c>
      <c r="C8" s="77">
        <v>2109236</v>
      </c>
      <c r="D8" s="77">
        <v>1991041</v>
      </c>
      <c r="E8" s="77">
        <v>4100277</v>
      </c>
      <c r="I8" s="80" t="s">
        <v>59</v>
      </c>
      <c r="J8" s="81">
        <f>C7+C8</f>
        <v>4179206</v>
      </c>
      <c r="K8" s="82">
        <f>D7+D8</f>
        <v>3940160</v>
      </c>
      <c r="L8" s="79"/>
      <c r="R8" s="323" t="s">
        <v>164</v>
      </c>
      <c r="S8" s="323">
        <f>[2]Population!N4</f>
        <v>1849075</v>
      </c>
      <c r="T8" s="323">
        <f>[2]Population!O4</f>
        <v>3940160</v>
      </c>
      <c r="U8" s="323">
        <f>[2]Population!P4</f>
        <v>7026158.1752900956</v>
      </c>
      <c r="V8" s="323">
        <f>[2]Population!Q4</f>
        <v>8017814</v>
      </c>
      <c r="W8" s="323">
        <f>[2]Population!R4</f>
        <v>7162204</v>
      </c>
      <c r="X8" s="323">
        <f>[2]Population!S4</f>
        <v>2739970.5356088658</v>
      </c>
      <c r="Y8" s="323">
        <f>[2]Population!T4</f>
        <v>1513246</v>
      </c>
      <c r="Z8" s="323">
        <f>[2]Population!U4</f>
        <v>784195.44620730029</v>
      </c>
      <c r="AA8" s="323">
        <f>[2]Population!V4</f>
        <v>33032823.157106262</v>
      </c>
    </row>
    <row r="9" spans="2:27">
      <c r="B9" s="76" t="s">
        <v>167</v>
      </c>
      <c r="C9" s="77">
        <v>2474343</v>
      </c>
      <c r="D9" s="77">
        <v>2342738.1461293288</v>
      </c>
      <c r="E9" s="77">
        <v>4817081.1461293288</v>
      </c>
      <c r="I9" s="80" t="s">
        <v>80</v>
      </c>
      <c r="J9" s="81">
        <f>C9+C10+C11</f>
        <v>7301822</v>
      </c>
      <c r="K9" s="82">
        <f>D9+D10+D11</f>
        <v>7026158.1752900956</v>
      </c>
      <c r="L9" s="79"/>
      <c r="R9" s="323"/>
      <c r="S9" s="323"/>
      <c r="T9" s="323"/>
      <c r="U9" s="323"/>
      <c r="V9" s="323"/>
      <c r="W9" s="323"/>
      <c r="X9" s="323"/>
      <c r="Y9" s="323"/>
      <c r="Z9" s="323"/>
      <c r="AA9" s="323">
        <f>[2]Population!$W$4</f>
        <v>64955313.157106265</v>
      </c>
    </row>
    <row r="10" spans="2:27">
      <c r="B10" s="76" t="s">
        <v>168</v>
      </c>
      <c r="C10" s="77">
        <v>2460870</v>
      </c>
      <c r="D10" s="77">
        <v>2374579.0291607669</v>
      </c>
      <c r="E10" s="77">
        <v>4835449.0291607669</v>
      </c>
      <c r="I10" s="80" t="s">
        <v>81</v>
      </c>
      <c r="J10" s="81">
        <f>C12+C13+C14</f>
        <v>7896765</v>
      </c>
      <c r="K10" s="82">
        <f>D12+D13+D14</f>
        <v>8017814</v>
      </c>
      <c r="L10" s="79"/>
    </row>
    <row r="11" spans="2:27">
      <c r="B11" s="76" t="s">
        <v>169</v>
      </c>
      <c r="C11" s="77">
        <v>2366609</v>
      </c>
      <c r="D11" s="77">
        <v>2308841</v>
      </c>
      <c r="E11" s="77">
        <v>4675450</v>
      </c>
      <c r="I11" s="80" t="s">
        <v>82</v>
      </c>
      <c r="J11" s="81">
        <f>C15+C16+C17</f>
        <v>6554289</v>
      </c>
      <c r="K11" s="82">
        <f>D15+D16+D17</f>
        <v>7162204</v>
      </c>
      <c r="L11" s="79"/>
    </row>
    <row r="12" spans="2:27">
      <c r="B12" s="76" t="s">
        <v>170</v>
      </c>
      <c r="C12" s="77">
        <v>2602499</v>
      </c>
      <c r="D12" s="77">
        <v>2574422</v>
      </c>
      <c r="E12" s="77">
        <v>5176921</v>
      </c>
      <c r="I12" s="80" t="s">
        <v>83</v>
      </c>
      <c r="J12" s="81">
        <f>C18+C19</f>
        <v>2344057</v>
      </c>
      <c r="K12" s="82">
        <f>D18+D19</f>
        <v>2739970.5356088658</v>
      </c>
      <c r="L12" s="79"/>
    </row>
    <row r="13" spans="2:27">
      <c r="B13" s="76" t="s">
        <v>171</v>
      </c>
      <c r="C13" s="77">
        <v>2651125</v>
      </c>
      <c r="D13" s="77">
        <v>2679679</v>
      </c>
      <c r="E13" s="77">
        <v>5330804</v>
      </c>
      <c r="I13" s="80" t="s">
        <v>84</v>
      </c>
      <c r="J13" s="81">
        <f>C20+C21</f>
        <v>1173067</v>
      </c>
      <c r="K13" s="82">
        <f>D20+D21</f>
        <v>1513246</v>
      </c>
      <c r="L13" s="79"/>
    </row>
    <row r="14" spans="2:27">
      <c r="B14" s="76" t="s">
        <v>172</v>
      </c>
      <c r="C14" s="77">
        <v>2643141</v>
      </c>
      <c r="D14" s="77">
        <v>2763713</v>
      </c>
      <c r="E14" s="77">
        <v>5406854</v>
      </c>
      <c r="I14" s="80" t="s">
        <v>85</v>
      </c>
      <c r="J14" s="81">
        <f>C22+C23+C24+C25+C26</f>
        <v>506965</v>
      </c>
      <c r="K14" s="82">
        <f>D22+D23+D24+D25+D26</f>
        <v>784195.44620730029</v>
      </c>
      <c r="L14" s="79"/>
    </row>
    <row r="15" spans="2:27">
      <c r="B15" s="76" t="s">
        <v>173</v>
      </c>
      <c r="C15" s="77">
        <v>2550821</v>
      </c>
      <c r="D15" s="77">
        <v>2745699</v>
      </c>
      <c r="E15" s="77">
        <v>5296520</v>
      </c>
      <c r="I15" s="83" t="s">
        <v>41</v>
      </c>
      <c r="J15" s="81">
        <f>J7+J8+J9+J10+J11+J12+J13+J14</f>
        <v>31922490</v>
      </c>
      <c r="K15" s="81">
        <f>K7+K8+K9+K10+K11+K12+K13+K14</f>
        <v>33032823.157106262</v>
      </c>
      <c r="L15" s="81">
        <f>J15+K15</f>
        <v>64955313.157106265</v>
      </c>
    </row>
    <row r="16" spans="2:27">
      <c r="B16" s="76" t="s">
        <v>174</v>
      </c>
      <c r="C16" s="77">
        <v>2250280</v>
      </c>
      <c r="D16" s="77">
        <v>2455027</v>
      </c>
      <c r="E16" s="77">
        <v>4705307</v>
      </c>
    </row>
    <row r="17" spans="2:5">
      <c r="B17" s="76" t="s">
        <v>175</v>
      </c>
      <c r="C17" s="77">
        <v>1753188</v>
      </c>
      <c r="D17" s="77">
        <v>1961478</v>
      </c>
      <c r="E17" s="77">
        <v>3714666</v>
      </c>
    </row>
    <row r="18" spans="2:5">
      <c r="B18" s="76" t="s">
        <v>176</v>
      </c>
      <c r="C18" s="77">
        <v>1382189</v>
      </c>
      <c r="D18" s="77">
        <v>1600580</v>
      </c>
      <c r="E18" s="77">
        <v>2982769</v>
      </c>
    </row>
    <row r="19" spans="2:5">
      <c r="B19" s="76" t="s">
        <v>177</v>
      </c>
      <c r="C19" s="77">
        <v>961868</v>
      </c>
      <c r="D19" s="77">
        <v>1139390.5356088658</v>
      </c>
      <c r="E19" s="77">
        <v>2101258.5356088658</v>
      </c>
    </row>
    <row r="20" spans="2:5">
      <c r="B20" s="76" t="s">
        <v>178</v>
      </c>
      <c r="C20" s="77">
        <v>674547</v>
      </c>
      <c r="D20" s="77">
        <v>838479</v>
      </c>
      <c r="E20" s="77">
        <v>1513026</v>
      </c>
    </row>
    <row r="21" spans="2:5">
      <c r="B21" s="76" t="s">
        <v>179</v>
      </c>
      <c r="C21" s="77">
        <v>498520</v>
      </c>
      <c r="D21" s="77">
        <v>674767</v>
      </c>
      <c r="E21" s="77">
        <v>1173287</v>
      </c>
    </row>
    <row r="22" spans="2:5">
      <c r="B22" s="76" t="s">
        <v>180</v>
      </c>
      <c r="C22" s="77">
        <v>297851</v>
      </c>
      <c r="D22" s="77">
        <v>442105</v>
      </c>
      <c r="E22" s="77">
        <v>739956</v>
      </c>
    </row>
    <row r="23" spans="2:5">
      <c r="B23" s="76" t="s">
        <v>181</v>
      </c>
      <c r="C23" s="77">
        <v>136773</v>
      </c>
      <c r="D23" s="77">
        <v>223938</v>
      </c>
      <c r="E23" s="77">
        <v>360711</v>
      </c>
    </row>
    <row r="24" spans="2:5">
      <c r="B24" s="76" t="s">
        <v>182</v>
      </c>
      <c r="C24" s="77">
        <v>46838</v>
      </c>
      <c r="D24" s="77">
        <v>80211</v>
      </c>
      <c r="E24" s="77">
        <v>127049</v>
      </c>
    </row>
    <row r="25" spans="2:5">
      <c r="B25" s="76" t="s">
        <v>183</v>
      </c>
      <c r="C25" s="77">
        <v>15713</v>
      </c>
      <c r="D25" s="77">
        <v>25187.446207300258</v>
      </c>
      <c r="E25" s="77">
        <v>40900.446207300258</v>
      </c>
    </row>
    <row r="26" spans="2:5">
      <c r="B26" s="76" t="s">
        <v>184</v>
      </c>
      <c r="C26" s="77">
        <v>9790</v>
      </c>
      <c r="D26" s="77">
        <v>12754</v>
      </c>
      <c r="E26" s="77">
        <v>22544</v>
      </c>
    </row>
    <row r="27" spans="2:5">
      <c r="B27" s="76" t="s">
        <v>185</v>
      </c>
      <c r="C27" s="77">
        <v>31922490</v>
      </c>
      <c r="D27" s="77">
        <v>33032823.157106262</v>
      </c>
      <c r="E27" s="77">
        <v>64955313.157106265</v>
      </c>
    </row>
    <row r="29" spans="2:5">
      <c r="B29" s="84" t="s">
        <v>186</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P67"/>
  <sheetViews>
    <sheetView tabSelected="1" workbookViewId="0">
      <selection activeCell="K23" sqref="K23"/>
    </sheetView>
  </sheetViews>
  <sheetFormatPr baseColWidth="10" defaultColWidth="9.1640625" defaultRowHeight="13"/>
  <cols>
    <col min="1" max="16384" width="9.1640625" style="35"/>
  </cols>
  <sheetData>
    <row r="3" spans="3:16">
      <c r="I3" s="423" t="s">
        <v>123</v>
      </c>
      <c r="J3" s="424"/>
      <c r="K3" s="425"/>
    </row>
    <row r="5" spans="3:16">
      <c r="C5" s="36"/>
      <c r="D5" s="37"/>
      <c r="E5" s="37"/>
      <c r="F5" s="37"/>
      <c r="G5" s="37"/>
      <c r="H5" s="37"/>
      <c r="I5" s="37"/>
      <c r="J5" s="37"/>
      <c r="K5" s="37"/>
      <c r="L5" s="37"/>
      <c r="M5" s="37"/>
      <c r="N5" s="37"/>
      <c r="O5" s="37"/>
      <c r="P5" s="38"/>
    </row>
    <row r="6" spans="3:16" ht="54" customHeight="1">
      <c r="C6" s="39"/>
      <c r="D6" s="426"/>
      <c r="E6" s="427"/>
      <c r="F6" s="427"/>
      <c r="G6" s="427"/>
      <c r="H6" s="427"/>
      <c r="I6" s="427"/>
      <c r="J6" s="427"/>
      <c r="K6" s="427"/>
      <c r="L6" s="427"/>
      <c r="M6" s="427"/>
      <c r="N6" s="427"/>
      <c r="O6" s="427"/>
      <c r="P6" s="40"/>
    </row>
    <row r="7" spans="3:16" ht="28.5" customHeight="1">
      <c r="C7" s="39"/>
      <c r="D7" s="426"/>
      <c r="E7" s="427"/>
      <c r="F7" s="427"/>
      <c r="G7" s="427"/>
      <c r="H7" s="427"/>
      <c r="I7" s="427"/>
      <c r="J7" s="427"/>
      <c r="K7" s="427"/>
      <c r="L7" s="427"/>
      <c r="M7" s="427"/>
      <c r="N7" s="427"/>
      <c r="O7" s="427"/>
      <c r="P7" s="40"/>
    </row>
    <row r="8" spans="3:16">
      <c r="C8" s="39"/>
      <c r="D8" s="41"/>
      <c r="E8" s="41"/>
      <c r="F8" s="41"/>
      <c r="G8" s="41"/>
      <c r="H8" s="41"/>
      <c r="I8" s="41"/>
      <c r="J8" s="41"/>
      <c r="K8" s="41"/>
      <c r="L8" s="41"/>
      <c r="M8" s="41"/>
      <c r="N8" s="41"/>
      <c r="O8" s="41"/>
      <c r="P8" s="40"/>
    </row>
    <row r="9" spans="3:16" ht="27.75" customHeight="1">
      <c r="C9" s="39"/>
      <c r="D9" s="428" t="s">
        <v>239</v>
      </c>
      <c r="E9" s="428"/>
      <c r="F9" s="428"/>
      <c r="G9" s="428"/>
      <c r="H9" s="428"/>
      <c r="I9" s="428"/>
      <c r="J9" s="428"/>
      <c r="K9" s="428"/>
      <c r="L9" s="428"/>
      <c r="M9" s="428"/>
      <c r="N9" s="428"/>
      <c r="O9" s="428"/>
      <c r="P9" s="40"/>
    </row>
    <row r="10" spans="3:16">
      <c r="C10" s="39"/>
      <c r="D10" s="41"/>
      <c r="E10" s="41"/>
      <c r="F10" s="41"/>
      <c r="G10" s="41"/>
      <c r="H10" s="42"/>
      <c r="I10" s="41"/>
      <c r="J10" s="41"/>
      <c r="K10" s="41"/>
      <c r="L10" s="41"/>
      <c r="M10" s="41"/>
      <c r="N10" s="41"/>
      <c r="O10" s="41"/>
      <c r="P10" s="40"/>
    </row>
    <row r="11" spans="3:16">
      <c r="C11" s="39"/>
      <c r="D11" s="43"/>
      <c r="E11" s="44"/>
      <c r="F11" s="44"/>
      <c r="G11" s="44"/>
      <c r="H11" s="44"/>
      <c r="I11" s="44" t="s">
        <v>39</v>
      </c>
      <c r="J11" s="44"/>
      <c r="K11" s="44" t="s">
        <v>40</v>
      </c>
      <c r="L11" s="44"/>
      <c r="M11" s="44"/>
      <c r="N11" s="44" t="s">
        <v>89</v>
      </c>
      <c r="O11" s="45"/>
      <c r="P11" s="40"/>
    </row>
    <row r="12" spans="3:16">
      <c r="C12" s="39"/>
      <c r="D12" s="46" t="s">
        <v>20</v>
      </c>
      <c r="E12" s="47"/>
      <c r="F12" s="47"/>
      <c r="G12" s="47"/>
      <c r="H12" s="47"/>
      <c r="I12" s="47" t="s">
        <v>34</v>
      </c>
      <c r="J12" s="47"/>
      <c r="K12" s="47" t="s">
        <v>36</v>
      </c>
      <c r="L12" s="47" t="s">
        <v>38</v>
      </c>
      <c r="M12" s="47" t="s">
        <v>41</v>
      </c>
      <c r="N12" s="47" t="s">
        <v>36</v>
      </c>
      <c r="O12" s="48" t="s">
        <v>38</v>
      </c>
      <c r="P12" s="40"/>
    </row>
    <row r="13" spans="3:16">
      <c r="C13" s="39"/>
      <c r="D13" s="49" t="s">
        <v>42</v>
      </c>
      <c r="E13" s="50"/>
      <c r="F13" s="50"/>
      <c r="G13" s="50"/>
      <c r="H13" s="50"/>
      <c r="I13" s="122">
        <f t="array" ref="I13">TRANSPOSE(' YLD 2014 '!G83:G89)</f>
        <v>4.3467710101933232E-2</v>
      </c>
      <c r="J13" s="123"/>
      <c r="K13" s="51">
        <v>109.90436092232105</v>
      </c>
      <c r="L13" s="51">
        <v>86.232483630530439</v>
      </c>
      <c r="M13" s="1">
        <v>196.13684455285147</v>
      </c>
      <c r="N13" s="69">
        <v>0.29975360882566449</v>
      </c>
      <c r="O13" s="70">
        <v>0.24983625847596574</v>
      </c>
      <c r="P13" s="40"/>
    </row>
    <row r="14" spans="3:16">
      <c r="C14" s="39"/>
      <c r="D14" s="49" t="s">
        <v>43</v>
      </c>
      <c r="E14" s="50"/>
      <c r="F14" s="50"/>
      <c r="G14" s="50"/>
      <c r="H14" s="50"/>
      <c r="I14" s="122">
        <f t="array" ref="I14">TRANSPOSE(' YLD 2014 '!G84:G90)</f>
        <v>0.21296212942815304</v>
      </c>
      <c r="J14" s="123"/>
      <c r="K14" s="51">
        <v>452.95512281954956</v>
      </c>
      <c r="L14" s="51">
        <v>507.98162718045035</v>
      </c>
      <c r="M14" s="1">
        <v>960.93674999999985</v>
      </c>
      <c r="N14" s="69">
        <v>1.2353916765613695</v>
      </c>
      <c r="O14" s="70">
        <v>1.4717450288578218</v>
      </c>
      <c r="P14" s="40"/>
    </row>
    <row r="15" spans="3:16">
      <c r="C15" s="39"/>
      <c r="D15" s="49" t="s">
        <v>9</v>
      </c>
      <c r="E15" s="50"/>
      <c r="F15" s="50"/>
      <c r="G15" s="50"/>
      <c r="H15" s="50"/>
      <c r="I15" s="122">
        <f t="array" ref="I15">TRANSPOSE(' YLD 2014 '!G85:G91)</f>
        <v>4.2000000000000003E-2</v>
      </c>
      <c r="J15" s="123"/>
      <c r="K15" s="51">
        <v>90.959809500000006</v>
      </c>
      <c r="L15" s="51">
        <v>98.554371300000014</v>
      </c>
      <c r="M15" s="1">
        <v>189.51418080000002</v>
      </c>
      <c r="N15" s="69">
        <v>0.24808416087320573</v>
      </c>
      <c r="O15" s="70">
        <v>0.28553573253833053</v>
      </c>
      <c r="P15" s="40"/>
    </row>
    <row r="16" spans="3:16">
      <c r="C16" s="39"/>
      <c r="D16" s="49" t="s">
        <v>44</v>
      </c>
      <c r="E16" s="50"/>
      <c r="F16" s="50"/>
      <c r="G16" s="50"/>
      <c r="H16" s="50"/>
      <c r="I16" s="122">
        <f t="array" ref="I16">TRANSPOSE(' YLD 2014 '!G86:G92)</f>
        <v>3.5999999999999997E-2</v>
      </c>
      <c r="J16" s="123"/>
      <c r="K16" s="51">
        <v>77.965550999999991</v>
      </c>
      <c r="L16" s="51">
        <v>84.475175399999998</v>
      </c>
      <c r="M16" s="1">
        <v>162.44072639999999</v>
      </c>
      <c r="N16" s="69">
        <v>0.21264356646274774</v>
      </c>
      <c r="O16" s="70">
        <v>0.2447449136042833</v>
      </c>
      <c r="P16" s="40"/>
    </row>
    <row r="17" spans="3:16">
      <c r="C17" s="39"/>
      <c r="D17" s="49" t="s">
        <v>8</v>
      </c>
      <c r="E17" s="50"/>
      <c r="F17" s="50"/>
      <c r="G17" s="50"/>
      <c r="H17" s="50"/>
      <c r="I17" s="122">
        <f t="array" ref="I17">TRANSPOSE(' YLD 2014 '!G87:G93)</f>
        <v>4.8000000000000001E-2</v>
      </c>
      <c r="J17" s="123"/>
      <c r="K17" s="51">
        <v>103.95406800000001</v>
      </c>
      <c r="L17" s="51">
        <v>112.6335672</v>
      </c>
      <c r="M17" s="1">
        <v>216.58763520000002</v>
      </c>
      <c r="N17" s="69">
        <v>0.28352475528366367</v>
      </c>
      <c r="O17" s="70">
        <v>0.32632655147237771</v>
      </c>
      <c r="P17" s="40"/>
    </row>
    <row r="18" spans="3:16">
      <c r="C18" s="39"/>
      <c r="D18" s="49" t="s">
        <v>45</v>
      </c>
      <c r="E18" s="50"/>
      <c r="F18" s="50"/>
      <c r="G18" s="50"/>
      <c r="H18" s="50"/>
      <c r="I18" s="122">
        <f t="array" ref="I18">TRANSPOSE(' YLD 2014 '!G88:G94)</f>
        <v>0.61757016046991375</v>
      </c>
      <c r="J18" s="123"/>
      <c r="K18" s="51">
        <v>1329.9708377581294</v>
      </c>
      <c r="L18" s="51">
        <v>1456.6554252890191</v>
      </c>
      <c r="M18" s="2">
        <v>2786.6262630471483</v>
      </c>
      <c r="N18" s="69">
        <v>3.6273679670696755</v>
      </c>
      <c r="O18" s="70">
        <v>4.2202813373924233</v>
      </c>
      <c r="P18" s="40"/>
    </row>
    <row r="19" spans="3:16">
      <c r="C19" s="39"/>
      <c r="D19" s="46" t="s">
        <v>41</v>
      </c>
      <c r="E19" s="47"/>
      <c r="F19" s="47"/>
      <c r="G19" s="47"/>
      <c r="H19" s="47"/>
      <c r="I19" s="361">
        <f t="array" ref="I19">TRANSPOSE(' YLD 2014 '!G89:G95)</f>
        <v>1</v>
      </c>
      <c r="J19" s="124"/>
      <c r="K19" s="344">
        <v>2165.70975</v>
      </c>
      <c r="L19" s="344">
        <v>2346.5326500000001</v>
      </c>
      <c r="M19" s="2">
        <v>4512.2424000000001</v>
      </c>
      <c r="N19" s="71">
        <v>5.906765735076327</v>
      </c>
      <c r="O19" s="72">
        <v>6.7984698223412021</v>
      </c>
      <c r="P19" s="40"/>
    </row>
    <row r="20" spans="3:16">
      <c r="C20" s="39"/>
      <c r="D20" s="52"/>
      <c r="E20" s="52"/>
      <c r="F20" s="52"/>
      <c r="G20" s="52"/>
      <c r="H20" s="52"/>
      <c r="I20" s="52"/>
      <c r="J20" s="52"/>
      <c r="K20" s="52"/>
      <c r="L20" s="52"/>
      <c r="M20" s="52"/>
      <c r="N20" s="52"/>
      <c r="O20" s="52"/>
      <c r="P20" s="40"/>
    </row>
    <row r="21" spans="3:16">
      <c r="C21" s="53"/>
      <c r="D21" s="54"/>
      <c r="E21" s="54"/>
      <c r="F21" s="54"/>
      <c r="G21" s="54"/>
      <c r="H21" s="54"/>
      <c r="I21" s="54"/>
      <c r="J21" s="54"/>
      <c r="K21" s="54"/>
      <c r="L21" s="54"/>
      <c r="M21" s="54"/>
      <c r="N21" s="54"/>
      <c r="O21" s="54"/>
      <c r="P21" s="55"/>
    </row>
    <row r="25" spans="3:16">
      <c r="E25" s="36"/>
      <c r="F25" s="37"/>
      <c r="G25" s="37"/>
      <c r="H25" s="37"/>
      <c r="I25" s="37"/>
      <c r="J25" s="56" t="s">
        <v>124</v>
      </c>
      <c r="K25" s="37"/>
      <c r="L25" s="37"/>
      <c r="M25" s="37"/>
      <c r="N25" s="37"/>
      <c r="O25" s="37"/>
      <c r="P25" s="38"/>
    </row>
    <row r="26" spans="3:16">
      <c r="E26" s="39"/>
      <c r="F26" s="41"/>
      <c r="G26" s="41"/>
      <c r="H26" s="41"/>
      <c r="I26" s="41"/>
      <c r="J26" s="41"/>
      <c r="K26" s="41"/>
      <c r="L26" s="41"/>
      <c r="M26" s="41"/>
      <c r="N26" s="41"/>
      <c r="O26" s="41"/>
      <c r="P26" s="40"/>
    </row>
    <row r="27" spans="3:16">
      <c r="E27" s="39"/>
      <c r="F27" s="47" t="s">
        <v>20</v>
      </c>
      <c r="G27" s="47"/>
      <c r="H27" s="47"/>
      <c r="I27" s="47" t="s">
        <v>21</v>
      </c>
      <c r="J27" s="47" t="s">
        <v>22</v>
      </c>
      <c r="K27" s="47"/>
      <c r="L27" s="47"/>
      <c r="M27" s="47"/>
      <c r="N27" s="47"/>
      <c r="O27" s="47"/>
      <c r="P27" s="40"/>
    </row>
    <row r="28" spans="3:16">
      <c r="E28" s="39"/>
      <c r="F28" s="50" t="s">
        <v>6</v>
      </c>
      <c r="G28" s="50"/>
      <c r="H28" s="50"/>
      <c r="I28" s="50">
        <v>0.11</v>
      </c>
      <c r="J28" s="50" t="s">
        <v>23</v>
      </c>
      <c r="K28" s="50"/>
      <c r="L28" s="50"/>
      <c r="M28" s="50"/>
      <c r="N28" s="50"/>
      <c r="O28" s="50"/>
      <c r="P28" s="40"/>
    </row>
    <row r="29" spans="3:16">
      <c r="E29" s="39"/>
      <c r="F29" s="50" t="s">
        <v>24</v>
      </c>
      <c r="G29" s="50"/>
      <c r="H29" s="50"/>
      <c r="I29" s="50">
        <v>0.23</v>
      </c>
      <c r="J29" s="50" t="s">
        <v>25</v>
      </c>
      <c r="K29" s="50"/>
      <c r="L29" s="50"/>
      <c r="M29" s="50"/>
      <c r="N29" s="50"/>
      <c r="O29" s="50"/>
      <c r="P29" s="40"/>
    </row>
    <row r="30" spans="3:16">
      <c r="E30" s="39"/>
      <c r="F30" s="50" t="s">
        <v>26</v>
      </c>
      <c r="G30" s="50"/>
      <c r="H30" s="50"/>
      <c r="I30" s="50">
        <v>0.17</v>
      </c>
      <c r="J30" s="50" t="s">
        <v>25</v>
      </c>
      <c r="K30" s="50"/>
      <c r="L30" s="50"/>
      <c r="M30" s="50"/>
      <c r="N30" s="50"/>
      <c r="O30" s="50"/>
      <c r="P30" s="40"/>
    </row>
    <row r="31" spans="3:16">
      <c r="E31" s="39"/>
      <c r="F31" s="50" t="s">
        <v>9</v>
      </c>
      <c r="G31" s="50"/>
      <c r="H31" s="50"/>
      <c r="I31" s="50">
        <v>0.11</v>
      </c>
      <c r="J31" s="50" t="s">
        <v>27</v>
      </c>
      <c r="K31" s="50"/>
      <c r="L31" s="50"/>
      <c r="M31" s="50"/>
      <c r="N31" s="50"/>
      <c r="O31" s="50"/>
      <c r="P31" s="40"/>
    </row>
    <row r="32" spans="3:16">
      <c r="E32" s="39"/>
      <c r="F32" s="50" t="s">
        <v>10</v>
      </c>
      <c r="G32" s="50"/>
      <c r="H32" s="50"/>
      <c r="I32" s="50">
        <v>0.17</v>
      </c>
      <c r="J32" s="50" t="s">
        <v>25</v>
      </c>
      <c r="K32" s="50"/>
      <c r="L32" s="50"/>
      <c r="M32" s="50"/>
      <c r="N32" s="50"/>
      <c r="O32" s="50"/>
      <c r="P32" s="40"/>
    </row>
    <row r="33" spans="5:16">
      <c r="E33" s="39"/>
      <c r="F33" s="50" t="s">
        <v>11</v>
      </c>
      <c r="G33" s="50"/>
      <c r="H33" s="50"/>
      <c r="I33" s="50">
        <v>0.28999999999999998</v>
      </c>
      <c r="J33" s="50" t="s">
        <v>25</v>
      </c>
      <c r="K33" s="50"/>
      <c r="L33" s="50"/>
      <c r="M33" s="50"/>
      <c r="N33" s="50"/>
      <c r="O33" s="50"/>
      <c r="P33" s="40"/>
    </row>
    <row r="34" spans="5:16">
      <c r="E34" s="39"/>
      <c r="F34" s="50" t="s">
        <v>13</v>
      </c>
      <c r="G34" s="50"/>
      <c r="H34" s="50"/>
      <c r="I34" s="50">
        <v>0.43</v>
      </c>
      <c r="J34" s="50" t="s">
        <v>25</v>
      </c>
      <c r="K34" s="50"/>
      <c r="L34" s="50"/>
      <c r="M34" s="50"/>
      <c r="N34" s="50"/>
      <c r="O34" s="50"/>
      <c r="P34" s="40"/>
    </row>
    <row r="35" spans="5:16">
      <c r="E35" s="39"/>
      <c r="F35" s="50" t="s">
        <v>15</v>
      </c>
      <c r="G35" s="50"/>
      <c r="H35" s="50"/>
      <c r="I35" s="50">
        <v>0.82</v>
      </c>
      <c r="J35" s="50" t="s">
        <v>25</v>
      </c>
      <c r="K35" s="50"/>
      <c r="L35" s="50"/>
      <c r="M35" s="50"/>
      <c r="N35" s="50"/>
      <c r="O35" s="50"/>
      <c r="P35" s="40"/>
    </row>
    <row r="36" spans="5:16">
      <c r="E36" s="39"/>
      <c r="F36" s="50" t="s">
        <v>17</v>
      </c>
      <c r="G36" s="50"/>
      <c r="H36" s="50"/>
      <c r="I36" s="50">
        <v>0.76</v>
      </c>
      <c r="J36" s="50" t="s">
        <v>25</v>
      </c>
      <c r="K36" s="50"/>
      <c r="L36" s="50"/>
      <c r="M36" s="50"/>
      <c r="N36" s="50"/>
      <c r="O36" s="50"/>
      <c r="P36" s="40"/>
    </row>
    <row r="37" spans="5:16">
      <c r="E37" s="53"/>
      <c r="F37" s="54"/>
      <c r="G37" s="54"/>
      <c r="H37" s="54"/>
      <c r="I37" s="54"/>
      <c r="J37" s="54"/>
      <c r="K37" s="54"/>
      <c r="L37" s="54"/>
      <c r="M37" s="54"/>
      <c r="N37" s="54"/>
      <c r="O37" s="54"/>
      <c r="P37" s="55"/>
    </row>
    <row r="42" spans="5:16">
      <c r="E42" s="36"/>
      <c r="F42" s="37"/>
      <c r="G42" s="37"/>
      <c r="H42" s="37"/>
      <c r="I42" s="37"/>
      <c r="J42" s="56" t="s">
        <v>125</v>
      </c>
      <c r="K42" s="37"/>
      <c r="L42" s="37"/>
      <c r="M42" s="37"/>
      <c r="N42" s="37"/>
      <c r="O42" s="37"/>
      <c r="P42" s="38"/>
    </row>
    <row r="43" spans="5:16">
      <c r="E43" s="39"/>
      <c r="F43" s="43" t="s">
        <v>46</v>
      </c>
      <c r="G43" s="44"/>
      <c r="H43" s="44"/>
      <c r="I43" s="44"/>
      <c r="J43" s="44"/>
      <c r="K43" s="44"/>
      <c r="L43" s="44"/>
      <c r="M43" s="44"/>
      <c r="N43" s="44" t="s">
        <v>47</v>
      </c>
      <c r="O43" s="45"/>
      <c r="P43" s="40"/>
    </row>
    <row r="44" spans="5:16">
      <c r="E44" s="39"/>
      <c r="F44" s="46" t="s">
        <v>20</v>
      </c>
      <c r="G44" s="47"/>
      <c r="H44" s="47"/>
      <c r="I44" s="47"/>
      <c r="J44" s="47"/>
      <c r="K44" s="47"/>
      <c r="L44" s="47"/>
      <c r="M44" s="47"/>
      <c r="N44" s="47" t="s">
        <v>36</v>
      </c>
      <c r="O44" s="48" t="s">
        <v>38</v>
      </c>
      <c r="P44" s="40"/>
    </row>
    <row r="45" spans="5:16">
      <c r="E45" s="39"/>
      <c r="F45" s="49" t="s">
        <v>11</v>
      </c>
      <c r="G45" s="50"/>
      <c r="H45" s="50"/>
      <c r="I45" s="50"/>
      <c r="J45" s="50"/>
      <c r="K45" s="50"/>
      <c r="L45" s="50"/>
      <c r="M45" s="50"/>
      <c r="N45" s="69">
        <v>61.853915557477947</v>
      </c>
      <c r="O45" s="70">
        <v>67.986318494958795</v>
      </c>
      <c r="P45" s="40"/>
    </row>
    <row r="46" spans="5:16">
      <c r="E46" s="39"/>
      <c r="F46" s="49" t="s">
        <v>13</v>
      </c>
      <c r="G46" s="50"/>
      <c r="H46" s="50"/>
      <c r="I46" s="50"/>
      <c r="J46" s="50"/>
      <c r="K46" s="50"/>
      <c r="L46" s="50"/>
      <c r="M46" s="50"/>
      <c r="N46" s="69">
        <v>49.89414924765974</v>
      </c>
      <c r="O46" s="70">
        <v>54.823116118077522</v>
      </c>
      <c r="P46" s="40"/>
    </row>
    <row r="47" spans="5:16">
      <c r="E47" s="39"/>
      <c r="F47" s="49" t="s">
        <v>15</v>
      </c>
      <c r="G47" s="50"/>
      <c r="H47" s="50"/>
      <c r="I47" s="50"/>
      <c r="J47" s="50"/>
      <c r="K47" s="50"/>
      <c r="L47" s="50"/>
      <c r="M47" s="50"/>
      <c r="N47" s="69">
        <v>43.91426609275063</v>
      </c>
      <c r="O47" s="70">
        <v>48.241514929636892</v>
      </c>
      <c r="P47" s="40"/>
    </row>
    <row r="48" spans="5:16">
      <c r="E48" s="39"/>
      <c r="F48" s="49" t="s">
        <v>17</v>
      </c>
      <c r="G48" s="50"/>
      <c r="H48" s="50"/>
      <c r="I48" s="50"/>
      <c r="J48" s="50"/>
      <c r="K48" s="50"/>
      <c r="L48" s="50"/>
      <c r="M48" s="50"/>
      <c r="N48" s="69">
        <v>30.682184218058126</v>
      </c>
      <c r="O48" s="70">
        <v>33.677971874364005</v>
      </c>
      <c r="P48" s="40"/>
    </row>
    <row r="49" spans="5:16">
      <c r="E49" s="39"/>
      <c r="F49" s="46" t="s">
        <v>48</v>
      </c>
      <c r="G49" s="47"/>
      <c r="H49" s="47"/>
      <c r="I49" s="47"/>
      <c r="J49" s="47"/>
      <c r="K49" s="47"/>
      <c r="L49" s="47"/>
      <c r="M49" s="47"/>
      <c r="N49" s="125">
        <v>59.8797</v>
      </c>
      <c r="O49" s="126">
        <v>68.957099999999997</v>
      </c>
      <c r="P49" s="40"/>
    </row>
    <row r="50" spans="5:16">
      <c r="E50" s="53"/>
      <c r="F50" s="54"/>
      <c r="G50" s="54"/>
      <c r="H50" s="54"/>
      <c r="I50" s="54"/>
      <c r="J50" s="54"/>
      <c r="K50" s="54"/>
      <c r="L50" s="54"/>
      <c r="M50" s="54"/>
      <c r="N50" s="54"/>
      <c r="O50" s="54"/>
      <c r="P50" s="55"/>
    </row>
    <row r="54" spans="5:16">
      <c r="E54" s="41"/>
      <c r="F54" s="41"/>
      <c r="G54" s="41"/>
      <c r="H54" s="41"/>
      <c r="I54" s="41"/>
      <c r="J54" s="57" t="s">
        <v>126</v>
      </c>
      <c r="K54" s="41"/>
      <c r="L54" s="41"/>
      <c r="M54" s="41"/>
      <c r="N54" s="41"/>
      <c r="O54" s="41"/>
      <c r="P54" s="41"/>
    </row>
    <row r="55" spans="5:16">
      <c r="E55" s="41"/>
      <c r="F55" s="58"/>
      <c r="G55" s="58"/>
      <c r="H55" s="58"/>
      <c r="I55" s="58"/>
      <c r="J55" s="58"/>
      <c r="K55" s="58"/>
      <c r="L55" s="58"/>
      <c r="M55" s="58"/>
      <c r="N55" s="58"/>
      <c r="O55" s="58"/>
      <c r="P55" s="41"/>
    </row>
    <row r="56" spans="5:16">
      <c r="E56" s="41"/>
      <c r="F56" s="58"/>
      <c r="G56" s="58"/>
      <c r="H56" s="58"/>
      <c r="I56" s="58"/>
      <c r="J56" s="58"/>
      <c r="K56" s="58"/>
      <c r="L56" s="58"/>
      <c r="M56" s="58"/>
      <c r="N56" s="58"/>
      <c r="O56" s="58"/>
      <c r="P56" s="41"/>
    </row>
    <row r="57" spans="5:16">
      <c r="E57" s="41"/>
      <c r="F57" s="58"/>
      <c r="G57" s="58"/>
      <c r="H57" s="58"/>
      <c r="I57" s="59"/>
      <c r="J57" s="60"/>
      <c r="K57" s="60"/>
      <c r="L57" s="61"/>
      <c r="M57" s="61"/>
      <c r="N57" s="61"/>
      <c r="O57" s="61"/>
      <c r="P57" s="41"/>
    </row>
    <row r="58" spans="5:16">
      <c r="E58" s="41"/>
      <c r="F58" s="58"/>
      <c r="G58" s="58"/>
      <c r="H58" s="58"/>
      <c r="I58" s="59"/>
      <c r="J58" s="60"/>
      <c r="K58" s="60"/>
      <c r="L58" s="61"/>
      <c r="M58" s="61"/>
      <c r="N58" s="61"/>
      <c r="O58" s="61"/>
      <c r="P58" s="41"/>
    </row>
    <row r="59" spans="5:16">
      <c r="E59" s="41"/>
      <c r="F59" s="58"/>
      <c r="G59" s="58"/>
      <c r="H59" s="58"/>
      <c r="I59" s="59"/>
      <c r="J59" s="60"/>
      <c r="K59" s="60"/>
      <c r="L59" s="61"/>
      <c r="M59" s="61"/>
      <c r="N59" s="61"/>
      <c r="O59" s="61"/>
      <c r="P59" s="41"/>
    </row>
    <row r="60" spans="5:16">
      <c r="E60" s="41"/>
      <c r="F60" s="58"/>
      <c r="G60" s="58"/>
      <c r="H60" s="58"/>
      <c r="I60" s="59"/>
      <c r="J60" s="60"/>
      <c r="K60" s="60"/>
      <c r="L60" s="61"/>
      <c r="M60" s="61"/>
      <c r="N60" s="61"/>
      <c r="O60" s="61"/>
      <c r="P60" s="41"/>
    </row>
    <row r="61" spans="5:16">
      <c r="E61" s="41"/>
      <c r="F61" s="58"/>
      <c r="G61" s="58"/>
      <c r="H61" s="58"/>
      <c r="I61" s="59"/>
      <c r="J61" s="60"/>
      <c r="K61" s="60"/>
      <c r="L61" s="61"/>
      <c r="M61" s="61"/>
      <c r="N61" s="61"/>
      <c r="O61" s="61"/>
      <c r="P61" s="41"/>
    </row>
    <row r="62" spans="5:16">
      <c r="E62" s="41"/>
      <c r="F62" s="58"/>
      <c r="G62" s="58"/>
      <c r="H62" s="58"/>
      <c r="I62" s="59"/>
      <c r="J62" s="60"/>
      <c r="K62" s="60"/>
      <c r="L62" s="61"/>
      <c r="M62" s="61"/>
      <c r="N62" s="61"/>
      <c r="O62" s="61"/>
      <c r="P62" s="41"/>
    </row>
    <row r="63" spans="5:16">
      <c r="E63" s="41"/>
      <c r="F63" s="58"/>
      <c r="G63" s="58"/>
      <c r="H63" s="58"/>
      <c r="I63" s="59"/>
      <c r="J63" s="60"/>
      <c r="K63" s="60"/>
      <c r="L63" s="61"/>
      <c r="M63" s="61"/>
      <c r="N63" s="61"/>
      <c r="O63" s="61"/>
      <c r="P63" s="41"/>
    </row>
    <row r="64" spans="5:16">
      <c r="E64" s="41"/>
      <c r="F64" s="58"/>
      <c r="G64" s="58"/>
      <c r="H64" s="58"/>
      <c r="I64" s="59"/>
      <c r="J64" s="60"/>
      <c r="K64" s="60"/>
      <c r="L64" s="61"/>
      <c r="M64" s="61"/>
      <c r="N64" s="61"/>
      <c r="O64" s="61"/>
      <c r="P64" s="41"/>
    </row>
    <row r="65" spans="5:16">
      <c r="E65" s="41"/>
      <c r="F65" s="58"/>
      <c r="G65" s="58"/>
      <c r="H65" s="58"/>
      <c r="I65" s="59"/>
      <c r="J65" s="60"/>
      <c r="K65" s="60"/>
      <c r="L65" s="61"/>
      <c r="M65" s="61"/>
      <c r="N65" s="61"/>
      <c r="O65" s="61"/>
      <c r="P65" s="41"/>
    </row>
    <row r="66" spans="5:16">
      <c r="E66" s="41"/>
      <c r="F66" s="58"/>
      <c r="G66" s="58"/>
      <c r="H66" s="58"/>
      <c r="I66" s="58"/>
      <c r="J66" s="58"/>
      <c r="K66" s="58"/>
      <c r="L66" s="61"/>
      <c r="M66" s="61"/>
      <c r="N66" s="61"/>
      <c r="O66" s="61"/>
      <c r="P66" s="41"/>
    </row>
    <row r="67" spans="5:16">
      <c r="E67" s="41"/>
      <c r="F67" s="41"/>
      <c r="G67" s="41"/>
      <c r="H67" s="41"/>
      <c r="I67" s="41"/>
      <c r="J67" s="41"/>
      <c r="K67" s="41"/>
      <c r="L67" s="41"/>
      <c r="M67" s="41"/>
      <c r="N67" s="41"/>
      <c r="O67" s="41"/>
      <c r="P67" s="41"/>
    </row>
  </sheetData>
  <mergeCells count="4">
    <mergeCell ref="I3:K3"/>
    <mergeCell ref="D6:O6"/>
    <mergeCell ref="D7:O7"/>
    <mergeCell ref="D9:O9"/>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0:V57"/>
  <sheetViews>
    <sheetView zoomScale="95" zoomScaleNormal="95" workbookViewId="0">
      <selection activeCell="Q60" sqref="Q60"/>
    </sheetView>
  </sheetViews>
  <sheetFormatPr baseColWidth="10" defaultColWidth="9.1640625" defaultRowHeight="15"/>
  <cols>
    <col min="1" max="2" width="9.1640625" style="74"/>
    <col min="3" max="3" width="9.1640625" style="74" customWidth="1"/>
    <col min="4" max="16384" width="9.1640625" style="74"/>
  </cols>
  <sheetData>
    <row r="10" spans="2:7">
      <c r="B10" s="84" t="s">
        <v>187</v>
      </c>
    </row>
    <row r="12" spans="2:7">
      <c r="B12" s="437" t="s">
        <v>188</v>
      </c>
      <c r="C12" s="437"/>
      <c r="D12" s="437" t="s">
        <v>189</v>
      </c>
      <c r="E12" s="437"/>
      <c r="F12" s="437" t="s">
        <v>31</v>
      </c>
      <c r="G12" s="437"/>
    </row>
    <row r="13" spans="2:7">
      <c r="B13" s="437" t="s">
        <v>190</v>
      </c>
      <c r="C13" s="437"/>
      <c r="D13" s="437" t="s">
        <v>191</v>
      </c>
      <c r="E13" s="437"/>
      <c r="F13" s="437" t="s">
        <v>192</v>
      </c>
      <c r="G13" s="437"/>
    </row>
    <row r="14" spans="2:7">
      <c r="B14" s="437" t="s">
        <v>193</v>
      </c>
      <c r="C14" s="437"/>
      <c r="D14" s="437" t="s">
        <v>194</v>
      </c>
      <c r="E14" s="437"/>
      <c r="F14" s="437" t="s">
        <v>195</v>
      </c>
      <c r="G14" s="437"/>
    </row>
    <row r="16" spans="2:7">
      <c r="B16" s="74" t="s">
        <v>196</v>
      </c>
    </row>
    <row r="18" spans="2:11">
      <c r="B18" s="438" t="s">
        <v>197</v>
      </c>
      <c r="C18" s="438"/>
      <c r="D18" s="429" t="s">
        <v>246</v>
      </c>
      <c r="E18" s="430"/>
      <c r="F18" s="439" t="s">
        <v>247</v>
      </c>
      <c r="G18" s="440"/>
      <c r="H18" s="429" t="s">
        <v>248</v>
      </c>
      <c r="I18" s="430"/>
      <c r="J18" s="433" t="s">
        <v>249</v>
      </c>
      <c r="K18" s="434"/>
    </row>
    <row r="19" spans="2:11" ht="30.75" customHeight="1">
      <c r="B19" s="438"/>
      <c r="C19" s="438"/>
      <c r="D19" s="431"/>
      <c r="E19" s="432"/>
      <c r="F19" s="441"/>
      <c r="G19" s="442"/>
      <c r="H19" s="431"/>
      <c r="I19" s="432"/>
      <c r="J19" s="435"/>
      <c r="K19" s="436"/>
    </row>
    <row r="20" spans="2:11">
      <c r="B20" s="437" t="s">
        <v>198</v>
      </c>
      <c r="C20" s="437"/>
      <c r="D20" s="437">
        <v>85</v>
      </c>
      <c r="E20" s="437"/>
      <c r="F20" s="443">
        <v>5</v>
      </c>
      <c r="G20" s="443"/>
      <c r="H20" s="444">
        <v>15</v>
      </c>
      <c r="I20" s="444"/>
      <c r="J20" s="443">
        <v>25</v>
      </c>
      <c r="K20" s="443"/>
    </row>
    <row r="21" spans="2:11">
      <c r="B21" s="437" t="s">
        <v>199</v>
      </c>
      <c r="C21" s="437"/>
      <c r="D21" s="437">
        <v>90</v>
      </c>
      <c r="E21" s="437"/>
      <c r="F21" s="437">
        <v>5</v>
      </c>
      <c r="G21" s="437"/>
      <c r="H21" s="437">
        <v>10</v>
      </c>
      <c r="I21" s="437"/>
      <c r="J21" s="437">
        <v>25</v>
      </c>
      <c r="K21" s="437"/>
    </row>
    <row r="22" spans="2:11">
      <c r="B22" s="437" t="s">
        <v>200</v>
      </c>
      <c r="C22" s="437"/>
      <c r="D22" s="437">
        <v>92.5</v>
      </c>
      <c r="E22" s="437"/>
      <c r="F22" s="437">
        <v>5</v>
      </c>
      <c r="G22" s="437"/>
      <c r="H22" s="437">
        <v>7.5</v>
      </c>
      <c r="I22" s="437"/>
      <c r="J22" s="437">
        <v>25</v>
      </c>
      <c r="K22" s="437"/>
    </row>
    <row r="23" spans="2:11">
      <c r="B23" s="437" t="s">
        <v>201</v>
      </c>
      <c r="C23" s="437"/>
      <c r="D23" s="437">
        <v>94</v>
      </c>
      <c r="E23" s="437"/>
      <c r="F23" s="437">
        <v>5</v>
      </c>
      <c r="G23" s="437"/>
      <c r="H23" s="437">
        <v>6</v>
      </c>
      <c r="I23" s="437"/>
      <c r="J23" s="437">
        <v>25</v>
      </c>
      <c r="K23" s="437"/>
    </row>
    <row r="40" spans="2:22" ht="15" customHeight="1">
      <c r="B40" s="437" t="s">
        <v>188</v>
      </c>
      <c r="C40" s="437"/>
      <c r="D40" s="437" t="s">
        <v>189</v>
      </c>
      <c r="E40" s="437"/>
      <c r="F40" s="437" t="s">
        <v>31</v>
      </c>
      <c r="G40" s="437"/>
      <c r="H40" s="74" t="s">
        <v>4</v>
      </c>
      <c r="I40" s="85"/>
      <c r="J40" s="85"/>
      <c r="K40" s="85"/>
      <c r="L40" s="85"/>
      <c r="M40" s="85"/>
      <c r="N40" s="85"/>
      <c r="O40" s="86"/>
      <c r="P40" s="87"/>
      <c r="Q40" s="87"/>
      <c r="R40" s="87"/>
      <c r="S40" s="87"/>
      <c r="T40" s="87"/>
      <c r="U40" s="87"/>
      <c r="V40" s="87"/>
    </row>
    <row r="41" spans="2:22">
      <c r="B41" s="437" t="s">
        <v>190</v>
      </c>
      <c r="C41" s="437"/>
      <c r="D41" s="445">
        <v>0.79600000000000004</v>
      </c>
      <c r="E41" s="445"/>
      <c r="F41" s="446">
        <v>0.46</v>
      </c>
      <c r="G41" s="437"/>
      <c r="I41" s="85"/>
      <c r="J41" s="85"/>
      <c r="K41" s="85"/>
      <c r="L41" s="85"/>
      <c r="M41" s="85"/>
      <c r="N41" s="85"/>
      <c r="O41" s="86"/>
      <c r="P41" s="87"/>
      <c r="Q41" s="87"/>
      <c r="R41" s="87"/>
      <c r="S41" s="87"/>
      <c r="T41" s="87"/>
      <c r="U41" s="87"/>
      <c r="V41" s="87"/>
    </row>
    <row r="42" spans="2:22">
      <c r="B42" s="437" t="s">
        <v>202</v>
      </c>
      <c r="C42" s="437"/>
      <c r="D42" s="445">
        <v>0.98299999999999998</v>
      </c>
      <c r="E42" s="445"/>
      <c r="F42" s="445">
        <v>0.112</v>
      </c>
      <c r="G42" s="445"/>
      <c r="I42" s="85"/>
      <c r="J42" s="85"/>
      <c r="K42" s="85"/>
      <c r="L42" s="85"/>
      <c r="M42" s="85"/>
      <c r="N42" s="85"/>
      <c r="O42" s="86"/>
      <c r="P42" s="87"/>
      <c r="Q42" s="87"/>
      <c r="R42" s="87"/>
      <c r="S42" s="87"/>
      <c r="T42" s="87"/>
      <c r="U42" s="87"/>
      <c r="V42" s="87"/>
    </row>
    <row r="43" spans="2:22">
      <c r="I43" s="85"/>
      <c r="J43" s="85"/>
      <c r="K43" s="85"/>
      <c r="L43" s="85"/>
      <c r="M43" s="85"/>
      <c r="N43" s="85"/>
      <c r="O43" s="86"/>
      <c r="P43" s="87"/>
      <c r="Q43" s="87"/>
      <c r="R43" s="87"/>
      <c r="S43" s="87"/>
      <c r="T43" s="87"/>
      <c r="U43" s="87"/>
      <c r="V43" s="87"/>
    </row>
    <row r="44" spans="2:22">
      <c r="I44" s="85"/>
      <c r="J44" s="85"/>
      <c r="K44" s="85"/>
      <c r="L44" s="85"/>
      <c r="M44" s="85"/>
      <c r="N44" s="85"/>
      <c r="O44" s="86"/>
    </row>
    <row r="45" spans="2:22">
      <c r="I45" s="85"/>
      <c r="J45" s="85"/>
      <c r="K45" s="85"/>
      <c r="L45" s="85"/>
      <c r="M45" s="85"/>
      <c r="N45" s="85"/>
      <c r="O45" s="86"/>
    </row>
    <row r="46" spans="2:22">
      <c r="I46" s="85"/>
      <c r="J46" s="85"/>
      <c r="K46" s="85"/>
      <c r="L46" s="85"/>
      <c r="M46" s="85"/>
      <c r="N46" s="85"/>
      <c r="O46" s="86"/>
    </row>
    <row r="47" spans="2:22">
      <c r="I47" s="85"/>
      <c r="J47" s="85"/>
      <c r="K47" s="85"/>
      <c r="L47" s="85"/>
      <c r="M47" s="85"/>
      <c r="N47" s="85"/>
      <c r="O47" s="86"/>
    </row>
    <row r="48" spans="2:22">
      <c r="I48" s="85"/>
      <c r="J48" s="85"/>
      <c r="K48" s="85"/>
      <c r="L48" s="85"/>
      <c r="M48" s="85"/>
      <c r="N48" s="85"/>
      <c r="O48" s="86"/>
    </row>
    <row r="49" spans="2:20">
      <c r="I49" s="85"/>
      <c r="J49" s="85"/>
      <c r="K49" s="85"/>
      <c r="L49" s="85"/>
      <c r="M49" s="85"/>
      <c r="N49" s="85"/>
      <c r="O49" s="86"/>
    </row>
    <row r="54" spans="2:20" ht="14.25" customHeight="1">
      <c r="B54" s="88"/>
      <c r="C54" s="88"/>
      <c r="D54" s="88"/>
      <c r="E54" s="88"/>
      <c r="F54" s="88"/>
      <c r="G54" s="88"/>
      <c r="H54" s="88"/>
      <c r="I54" s="88"/>
      <c r="J54" s="88"/>
      <c r="K54" s="88"/>
      <c r="L54" s="88"/>
      <c r="M54" s="88"/>
      <c r="N54" s="88"/>
      <c r="O54" s="88"/>
      <c r="P54" s="88"/>
      <c r="Q54" s="88"/>
      <c r="R54" s="88"/>
      <c r="S54" s="88"/>
      <c r="T54" s="88"/>
    </row>
    <row r="55" spans="2:20">
      <c r="B55" s="88"/>
      <c r="C55" s="88"/>
      <c r="D55" s="88"/>
      <c r="E55" s="88"/>
      <c r="F55" s="88"/>
      <c r="G55" s="88"/>
      <c r="H55" s="88"/>
      <c r="I55" s="88"/>
      <c r="J55" s="88"/>
      <c r="K55" s="88"/>
      <c r="L55" s="88"/>
      <c r="M55" s="88"/>
      <c r="N55" s="88"/>
      <c r="O55" s="88"/>
      <c r="P55" s="88"/>
      <c r="Q55" s="88"/>
      <c r="R55" s="88"/>
      <c r="S55" s="88"/>
      <c r="T55" s="88"/>
    </row>
    <row r="56" spans="2:20">
      <c r="B56" s="88"/>
      <c r="C56" s="88"/>
      <c r="D56" s="88"/>
      <c r="E56" s="88"/>
      <c r="F56" s="88"/>
      <c r="G56" s="88"/>
      <c r="H56" s="88"/>
      <c r="I56" s="88"/>
      <c r="J56" s="88"/>
      <c r="K56" s="88"/>
      <c r="L56" s="88"/>
      <c r="M56" s="88"/>
      <c r="N56" s="88"/>
      <c r="O56" s="88"/>
      <c r="P56" s="88"/>
      <c r="Q56" s="88"/>
      <c r="R56" s="88"/>
      <c r="S56" s="88"/>
      <c r="T56" s="88"/>
    </row>
    <row r="57" spans="2:20">
      <c r="B57" s="88"/>
      <c r="C57" s="88"/>
      <c r="D57" s="88"/>
      <c r="E57" s="88"/>
      <c r="F57" s="88"/>
      <c r="G57" s="88"/>
      <c r="H57" s="88"/>
      <c r="I57" s="88"/>
      <c r="J57" s="88"/>
      <c r="K57" s="88"/>
      <c r="L57" s="88"/>
      <c r="M57" s="88"/>
      <c r="N57" s="88"/>
      <c r="O57" s="88"/>
      <c r="P57" s="88"/>
      <c r="Q57" s="88"/>
      <c r="R57" s="88"/>
      <c r="S57" s="88"/>
      <c r="T57" s="88"/>
    </row>
  </sheetData>
  <mergeCells count="43">
    <mergeCell ref="B42:C42"/>
    <mergeCell ref="D42:E42"/>
    <mergeCell ref="F42:G42"/>
    <mergeCell ref="B40:C40"/>
    <mergeCell ref="D40:E40"/>
    <mergeCell ref="F40:G40"/>
    <mergeCell ref="B41:C41"/>
    <mergeCell ref="D41:E41"/>
    <mergeCell ref="F41:G41"/>
    <mergeCell ref="B22:C22"/>
    <mergeCell ref="D22:E22"/>
    <mergeCell ref="F22:G22"/>
    <mergeCell ref="H22:I22"/>
    <mergeCell ref="J22:K22"/>
    <mergeCell ref="B23:C23"/>
    <mergeCell ref="D23:E23"/>
    <mergeCell ref="F23:G23"/>
    <mergeCell ref="H23:I23"/>
    <mergeCell ref="J23:K23"/>
    <mergeCell ref="B20:C20"/>
    <mergeCell ref="D20:E20"/>
    <mergeCell ref="F20:G20"/>
    <mergeCell ref="H20:I20"/>
    <mergeCell ref="J20:K20"/>
    <mergeCell ref="B21:C21"/>
    <mergeCell ref="D21:E21"/>
    <mergeCell ref="F21:G21"/>
    <mergeCell ref="H21:I21"/>
    <mergeCell ref="J21:K21"/>
    <mergeCell ref="H18:I19"/>
    <mergeCell ref="J18:K19"/>
    <mergeCell ref="B12:C12"/>
    <mergeCell ref="D12:E12"/>
    <mergeCell ref="F12:G12"/>
    <mergeCell ref="B13:C13"/>
    <mergeCell ref="D13:E13"/>
    <mergeCell ref="F13:G13"/>
    <mergeCell ref="B14:C14"/>
    <mergeCell ref="D14:E14"/>
    <mergeCell ref="F14:G14"/>
    <mergeCell ref="B18:C19"/>
    <mergeCell ref="D18:E19"/>
    <mergeCell ref="F18:G19"/>
  </mergeCells>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5:K112"/>
  <sheetViews>
    <sheetView topLeftCell="A80" zoomScale="96" zoomScaleNormal="96" workbookViewId="0">
      <selection activeCell="F112" sqref="F112"/>
    </sheetView>
  </sheetViews>
  <sheetFormatPr baseColWidth="10" defaultColWidth="9.1640625" defaultRowHeight="15"/>
  <cols>
    <col min="1" max="1" width="9.1640625" style="74"/>
    <col min="2" max="2" width="27.33203125" style="74" customWidth="1"/>
    <col min="3" max="16384" width="9.1640625" style="74"/>
  </cols>
  <sheetData>
    <row r="15" spans="2:4">
      <c r="B15" s="89" t="s">
        <v>203</v>
      </c>
      <c r="C15" s="89" t="s">
        <v>204</v>
      </c>
      <c r="D15" s="89" t="s">
        <v>205</v>
      </c>
    </row>
    <row r="16" spans="2:4">
      <c r="B16" s="76" t="s">
        <v>119</v>
      </c>
      <c r="C16" s="76" t="s">
        <v>206</v>
      </c>
      <c r="D16" s="76" t="s">
        <v>207</v>
      </c>
    </row>
    <row r="17" spans="1:4">
      <c r="B17" s="76" t="s">
        <v>208</v>
      </c>
      <c r="C17" s="76" t="s">
        <v>209</v>
      </c>
      <c r="D17" s="90">
        <v>0.4</v>
      </c>
    </row>
    <row r="18" spans="1:4">
      <c r="B18" s="76" t="s">
        <v>210</v>
      </c>
      <c r="C18" s="437" t="s">
        <v>211</v>
      </c>
      <c r="D18" s="437"/>
    </row>
    <row r="19" spans="1:4">
      <c r="B19" s="76" t="s">
        <v>212</v>
      </c>
      <c r="C19" s="437" t="s">
        <v>213</v>
      </c>
      <c r="D19" s="437"/>
    </row>
    <row r="20" spans="1:4">
      <c r="B20" s="91" t="s">
        <v>214</v>
      </c>
      <c r="C20" s="90">
        <v>0.14000000000000001</v>
      </c>
      <c r="D20" s="90">
        <v>0.19</v>
      </c>
    </row>
    <row r="30" spans="1:4">
      <c r="A30" s="74" t="s">
        <v>215</v>
      </c>
      <c r="B30" s="92" t="s">
        <v>216</v>
      </c>
    </row>
    <row r="31" spans="1:4">
      <c r="B31" s="74" t="s">
        <v>217</v>
      </c>
    </row>
    <row r="34" spans="2:8">
      <c r="B34" s="84" t="s">
        <v>218</v>
      </c>
    </row>
    <row r="37" spans="2:8">
      <c r="B37" s="93"/>
      <c r="C37" s="94"/>
      <c r="D37" s="94"/>
      <c r="E37" s="95"/>
      <c r="F37" s="94"/>
      <c r="G37" s="96" t="s">
        <v>39</v>
      </c>
      <c r="H37" s="95"/>
    </row>
    <row r="38" spans="2:8">
      <c r="B38" s="97" t="s">
        <v>20</v>
      </c>
      <c r="C38" s="98"/>
      <c r="D38" s="98"/>
      <c r="E38" s="99"/>
      <c r="F38" s="98"/>
      <c r="G38" s="100" t="s">
        <v>34</v>
      </c>
      <c r="H38" s="98"/>
    </row>
    <row r="39" spans="2:8">
      <c r="B39" s="101" t="s">
        <v>42</v>
      </c>
      <c r="C39" s="102"/>
      <c r="D39" s="102"/>
      <c r="E39" s="95"/>
      <c r="F39" s="102"/>
      <c r="G39" s="103">
        <v>0.09</v>
      </c>
      <c r="H39" s="104"/>
    </row>
    <row r="40" spans="2:8">
      <c r="B40" s="101" t="s">
        <v>219</v>
      </c>
      <c r="C40" s="102"/>
      <c r="D40" s="102"/>
      <c r="E40" s="95"/>
      <c r="F40" s="102"/>
      <c r="G40" s="103">
        <v>0.26300000000000001</v>
      </c>
      <c r="H40" s="104" t="s">
        <v>220</v>
      </c>
    </row>
    <row r="41" spans="2:8">
      <c r="B41" s="101" t="s">
        <v>9</v>
      </c>
      <c r="C41" s="102"/>
      <c r="D41" s="102"/>
      <c r="E41" s="95"/>
      <c r="F41" s="102"/>
      <c r="G41" s="103">
        <v>4.2000000000000003E-2</v>
      </c>
      <c r="H41" s="104"/>
    </row>
    <row r="42" spans="2:8">
      <c r="B42" s="101" t="s">
        <v>44</v>
      </c>
      <c r="C42" s="102"/>
      <c r="D42" s="102"/>
      <c r="E42" s="95"/>
      <c r="F42" s="102"/>
      <c r="G42" s="103">
        <v>3.5999999999999997E-2</v>
      </c>
      <c r="H42" s="104"/>
    </row>
    <row r="43" spans="2:8">
      <c r="B43" s="101" t="s">
        <v>8</v>
      </c>
      <c r="C43" s="102"/>
      <c r="D43" s="102"/>
      <c r="E43" s="95"/>
      <c r="F43" s="102"/>
      <c r="G43" s="103">
        <v>4.8000000000000001E-2</v>
      </c>
      <c r="H43" s="104"/>
    </row>
    <row r="44" spans="2:8">
      <c r="B44" s="105" t="s">
        <v>45</v>
      </c>
      <c r="C44" s="106"/>
      <c r="D44" s="106"/>
      <c r="E44" s="107"/>
      <c r="F44" s="106"/>
      <c r="G44" s="108">
        <f>1-SUM(G39:G43)</f>
        <v>0.52100000000000013</v>
      </c>
      <c r="H44" s="109" t="s">
        <v>221</v>
      </c>
    </row>
    <row r="45" spans="2:8">
      <c r="B45" s="99" t="s">
        <v>41</v>
      </c>
      <c r="C45" s="99"/>
      <c r="D45" s="99"/>
      <c r="E45" s="99"/>
      <c r="F45" s="99"/>
      <c r="G45" s="110">
        <f>SUM(G39:G44)</f>
        <v>1</v>
      </c>
      <c r="H45" s="99"/>
    </row>
    <row r="47" spans="2:8">
      <c r="B47" s="84" t="s">
        <v>222</v>
      </c>
    </row>
    <row r="51" spans="2:11" ht="19">
      <c r="B51" s="111" t="s">
        <v>223</v>
      </c>
      <c r="C51" s="112"/>
      <c r="D51" s="112"/>
      <c r="E51" s="112"/>
      <c r="F51" s="112"/>
    </row>
    <row r="52" spans="2:11">
      <c r="B52" s="113" t="s">
        <v>224</v>
      </c>
      <c r="C52" s="112"/>
      <c r="D52" s="112"/>
      <c r="E52" s="112"/>
      <c r="F52" s="112"/>
    </row>
    <row r="53" spans="2:11">
      <c r="B53" s="113" t="s">
        <v>225</v>
      </c>
      <c r="C53" s="112"/>
      <c r="D53" s="112"/>
      <c r="E53" s="112"/>
      <c r="F53" s="112"/>
    </row>
    <row r="54" spans="2:11">
      <c r="B54" s="112"/>
      <c r="C54" s="112"/>
      <c r="D54" s="112"/>
      <c r="E54" s="112"/>
      <c r="F54" s="112"/>
    </row>
    <row r="55" spans="2:11">
      <c r="B55" s="114" t="s">
        <v>226</v>
      </c>
      <c r="C55" s="114"/>
      <c r="D55" s="114"/>
      <c r="E55" s="114"/>
      <c r="F55" s="112"/>
    </row>
    <row r="56" spans="2:11">
      <c r="B56" s="113" t="s">
        <v>227</v>
      </c>
      <c r="C56" s="112"/>
      <c r="D56" s="112"/>
      <c r="E56" s="112"/>
      <c r="F56" s="112"/>
    </row>
    <row r="57" spans="2:11">
      <c r="B57" s="113" t="s">
        <v>228</v>
      </c>
      <c r="C57" s="112"/>
      <c r="D57" s="112"/>
      <c r="E57" s="112"/>
      <c r="F57" s="112"/>
    </row>
    <row r="58" spans="2:11">
      <c r="B58" s="113" t="s">
        <v>229</v>
      </c>
      <c r="C58" s="112"/>
      <c r="D58" s="112"/>
      <c r="E58" s="112"/>
      <c r="F58" s="112"/>
    </row>
    <row r="59" spans="2:11">
      <c r="B59" s="113" t="s">
        <v>230</v>
      </c>
      <c r="C59" s="112"/>
      <c r="D59" s="112"/>
      <c r="E59" s="112"/>
      <c r="F59" s="112"/>
    </row>
    <row r="60" spans="2:11">
      <c r="B60" s="113" t="s">
        <v>231</v>
      </c>
      <c r="C60" s="112"/>
      <c r="D60" s="112"/>
      <c r="E60" s="112"/>
      <c r="F60" s="112"/>
    </row>
    <row r="61" spans="2:11">
      <c r="B61" s="113" t="s">
        <v>232</v>
      </c>
      <c r="C61" s="112"/>
      <c r="D61" s="112"/>
      <c r="E61" s="112"/>
      <c r="F61" s="112"/>
    </row>
    <row r="63" spans="2:11">
      <c r="B63" s="447" t="s">
        <v>233</v>
      </c>
      <c r="C63" s="448"/>
      <c r="D63" s="448"/>
      <c r="E63" s="448"/>
      <c r="F63" s="448"/>
      <c r="G63" s="448"/>
      <c r="H63" s="448"/>
      <c r="I63" s="448"/>
      <c r="J63" s="448"/>
      <c r="K63" s="448"/>
    </row>
    <row r="86" spans="2:2">
      <c r="B86" s="84"/>
    </row>
    <row r="112" spans="2:2">
      <c r="B112" s="115"/>
    </row>
  </sheetData>
  <mergeCells count="3">
    <mergeCell ref="C18:D18"/>
    <mergeCell ref="C19:D19"/>
    <mergeCell ref="B63:K63"/>
  </mergeCells>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H4:AM38"/>
  <sheetViews>
    <sheetView topLeftCell="AE39" zoomScale="80" zoomScaleNormal="80" workbookViewId="0">
      <selection activeCell="AK47" sqref="AK47"/>
    </sheetView>
  </sheetViews>
  <sheetFormatPr baseColWidth="10" defaultColWidth="8.83203125" defaultRowHeight="13"/>
  <cols>
    <col min="35" max="35" width="27.6640625" customWidth="1"/>
    <col min="36" max="36" width="29.83203125" customWidth="1"/>
    <col min="37" max="37" width="37.6640625" customWidth="1"/>
    <col min="38" max="38" width="36.33203125" customWidth="1"/>
    <col min="39" max="39" width="63.83203125" customWidth="1"/>
    <col min="40" max="40" width="36" customWidth="1"/>
    <col min="41" max="41" width="20.6640625" customWidth="1"/>
  </cols>
  <sheetData>
    <row r="4" spans="34:39" ht="19">
      <c r="AH4" s="324" t="s">
        <v>253</v>
      </c>
      <c r="AI4" s="325" t="s">
        <v>254</v>
      </c>
      <c r="AJ4" s="325" t="s">
        <v>255</v>
      </c>
      <c r="AK4" s="325" t="s">
        <v>256</v>
      </c>
      <c r="AL4" s="324" t="s">
        <v>257</v>
      </c>
      <c r="AM4" s="325" t="s">
        <v>258</v>
      </c>
    </row>
    <row r="5" spans="34:39" ht="98">
      <c r="AH5" s="326">
        <v>1</v>
      </c>
      <c r="AI5" s="327" t="s">
        <v>259</v>
      </c>
      <c r="AJ5" s="326"/>
      <c r="AK5" s="327" t="s">
        <v>260</v>
      </c>
      <c r="AL5" s="327" t="s">
        <v>261</v>
      </c>
      <c r="AM5" s="327" t="s">
        <v>262</v>
      </c>
    </row>
    <row r="6" spans="34:39" ht="98">
      <c r="AH6" s="326">
        <v>2</v>
      </c>
      <c r="AI6" s="326" t="s">
        <v>263</v>
      </c>
      <c r="AJ6" s="327" t="s">
        <v>264</v>
      </c>
      <c r="AK6" s="328" t="s">
        <v>265</v>
      </c>
      <c r="AL6" s="326"/>
      <c r="AM6" s="333" t="s">
        <v>266</v>
      </c>
    </row>
    <row r="7" spans="34:39" ht="98">
      <c r="AH7" s="326">
        <v>3</v>
      </c>
      <c r="AI7" s="326" t="s">
        <v>267</v>
      </c>
      <c r="AJ7" s="327" t="s">
        <v>268</v>
      </c>
      <c r="AK7" s="327" t="s">
        <v>269</v>
      </c>
      <c r="AL7" s="326"/>
      <c r="AM7" s="327" t="s">
        <v>270</v>
      </c>
    </row>
    <row r="8" spans="34:39" ht="140">
      <c r="AH8" s="326">
        <v>4</v>
      </c>
      <c r="AI8" s="327" t="s">
        <v>271</v>
      </c>
      <c r="AJ8" s="333" t="s">
        <v>302</v>
      </c>
      <c r="AK8" s="332" t="s">
        <v>299</v>
      </c>
      <c r="AL8" s="327" t="s">
        <v>300</v>
      </c>
      <c r="AM8" s="333" t="s">
        <v>272</v>
      </c>
    </row>
    <row r="9" spans="34:39" ht="84">
      <c r="AH9" s="326">
        <v>5</v>
      </c>
      <c r="AI9" s="327" t="s">
        <v>273</v>
      </c>
      <c r="AJ9" s="327" t="s">
        <v>274</v>
      </c>
      <c r="AK9" s="327" t="s">
        <v>275</v>
      </c>
      <c r="AL9" s="326"/>
      <c r="AM9" s="327" t="s">
        <v>276</v>
      </c>
    </row>
    <row r="10" spans="34:39" ht="154">
      <c r="AH10" s="326">
        <v>6</v>
      </c>
      <c r="AI10" s="327" t="s">
        <v>277</v>
      </c>
      <c r="AJ10" s="327" t="s">
        <v>278</v>
      </c>
      <c r="AK10" s="327" t="s">
        <v>279</v>
      </c>
      <c r="AL10" s="327" t="s">
        <v>280</v>
      </c>
      <c r="AM10" s="327" t="s">
        <v>281</v>
      </c>
    </row>
    <row r="11" spans="34:39" ht="84">
      <c r="AH11" s="326">
        <v>7</v>
      </c>
      <c r="AI11" s="333" t="s">
        <v>301</v>
      </c>
      <c r="AJ11" s="327" t="s">
        <v>282</v>
      </c>
      <c r="AK11" s="328" t="s">
        <v>283</v>
      </c>
      <c r="AL11" s="326"/>
      <c r="AM11" s="332" t="s">
        <v>284</v>
      </c>
    </row>
    <row r="12" spans="34:39" ht="126">
      <c r="AH12" s="326">
        <v>8</v>
      </c>
      <c r="AI12" s="327" t="s">
        <v>285</v>
      </c>
      <c r="AJ12" s="327" t="s">
        <v>286</v>
      </c>
      <c r="AK12" s="329" t="s">
        <v>287</v>
      </c>
      <c r="AL12" s="329" t="s">
        <v>288</v>
      </c>
      <c r="AM12" s="327" t="s">
        <v>289</v>
      </c>
    </row>
    <row r="13" spans="34:39" ht="58">
      <c r="AH13" s="326">
        <v>9</v>
      </c>
      <c r="AI13" s="327" t="s">
        <v>290</v>
      </c>
      <c r="AJ13" s="327" t="s">
        <v>291</v>
      </c>
      <c r="AK13" s="327" t="s">
        <v>292</v>
      </c>
      <c r="AL13" s="327" t="s">
        <v>293</v>
      </c>
      <c r="AM13" s="329" t="s">
        <v>294</v>
      </c>
    </row>
    <row r="14" spans="34:39" ht="98">
      <c r="AH14" s="326">
        <v>10</v>
      </c>
      <c r="AI14" s="327" t="s">
        <v>295</v>
      </c>
      <c r="AJ14" s="327" t="s">
        <v>296</v>
      </c>
      <c r="AK14" s="328" t="s">
        <v>297</v>
      </c>
      <c r="AL14" s="326"/>
      <c r="AM14" s="328" t="s">
        <v>298</v>
      </c>
    </row>
    <row r="15" spans="34:39" ht="56">
      <c r="AH15" s="326">
        <v>11</v>
      </c>
      <c r="AI15" s="327" t="s">
        <v>342</v>
      </c>
      <c r="AJ15" s="327" t="s">
        <v>343</v>
      </c>
      <c r="AK15" s="329" t="s">
        <v>344</v>
      </c>
      <c r="AM15" s="329" t="s">
        <v>345</v>
      </c>
    </row>
    <row r="21" spans="34:38">
      <c r="AI21" s="342" t="s">
        <v>303</v>
      </c>
      <c r="AJ21" s="342" t="s">
        <v>304</v>
      </c>
      <c r="AK21" s="342" t="s">
        <v>305</v>
      </c>
      <c r="AL21" s="342" t="s">
        <v>306</v>
      </c>
    </row>
    <row r="22" spans="34:38">
      <c r="AI22" s="340"/>
      <c r="AJ22" s="340"/>
      <c r="AK22" s="340"/>
      <c r="AL22" s="340"/>
    </row>
    <row r="23" spans="34:38">
      <c r="AH23">
        <v>10</v>
      </c>
      <c r="AI23" s="340" t="s">
        <v>307</v>
      </c>
      <c r="AJ23" s="340">
        <v>178</v>
      </c>
      <c r="AK23" s="340" t="s">
        <v>308</v>
      </c>
      <c r="AL23" s="340" t="s">
        <v>309</v>
      </c>
    </row>
    <row r="24" spans="34:38">
      <c r="AH24">
        <v>7</v>
      </c>
      <c r="AI24" s="340" t="s">
        <v>310</v>
      </c>
      <c r="AJ24" s="340">
        <v>87</v>
      </c>
      <c r="AK24" s="340" t="s">
        <v>311</v>
      </c>
      <c r="AL24" s="340" t="s">
        <v>312</v>
      </c>
    </row>
    <row r="25" spans="34:38">
      <c r="AI25" s="340" t="s">
        <v>313</v>
      </c>
      <c r="AJ25" s="340">
        <v>78</v>
      </c>
      <c r="AK25" s="340" t="s">
        <v>314</v>
      </c>
      <c r="AL25" s="340" t="s">
        <v>315</v>
      </c>
    </row>
    <row r="26" spans="34:38">
      <c r="AI26" s="340"/>
      <c r="AJ26" s="340"/>
      <c r="AK26" s="340"/>
      <c r="AL26" s="340"/>
    </row>
    <row r="27" spans="34:38" ht="14">
      <c r="AI27" s="341" t="s">
        <v>316</v>
      </c>
      <c r="AJ27" s="449" t="s">
        <v>320</v>
      </c>
      <c r="AK27" s="449"/>
      <c r="AL27" s="340"/>
    </row>
    <row r="31" spans="34:38" ht="24" customHeight="1"/>
    <row r="32" spans="34:38" ht="26.25" customHeight="1"/>
    <row r="37" ht="40.5" customHeight="1"/>
    <row r="38" ht="15" customHeight="1"/>
  </sheetData>
  <mergeCells count="1">
    <mergeCell ref="AJ27:AK27"/>
  </mergeCells>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5:J27"/>
  <sheetViews>
    <sheetView topLeftCell="A13" zoomScale="98" zoomScaleNormal="98" workbookViewId="0">
      <selection activeCell="F17" sqref="F17"/>
    </sheetView>
  </sheetViews>
  <sheetFormatPr baseColWidth="10" defaultColWidth="9.1640625" defaultRowHeight="15"/>
  <cols>
    <col min="1" max="3" width="9.1640625" style="130"/>
    <col min="4" max="4" width="27.6640625" style="130" customWidth="1"/>
    <col min="5" max="5" width="20.83203125" style="130" customWidth="1"/>
    <col min="6" max="6" width="33.33203125" style="130" customWidth="1"/>
    <col min="7" max="7" width="20.5" style="130" customWidth="1"/>
    <col min="8" max="8" width="40.5" style="130" customWidth="1"/>
    <col min="9" max="9" width="25.6640625" style="130" customWidth="1"/>
    <col min="10" max="10" width="20.6640625" style="130" customWidth="1"/>
    <col min="11" max="16384" width="9.1640625" style="130"/>
  </cols>
  <sheetData>
    <row r="5" spans="3:9">
      <c r="C5" s="260" t="s">
        <v>321</v>
      </c>
      <c r="D5" s="260"/>
      <c r="E5" s="260"/>
    </row>
    <row r="7" spans="3:9">
      <c r="D7" s="383"/>
      <c r="E7" s="384" t="s">
        <v>331</v>
      </c>
      <c r="F7" s="384" t="s">
        <v>330</v>
      </c>
      <c r="G7" s="384" t="s">
        <v>324</v>
      </c>
      <c r="H7" s="384" t="s">
        <v>326</v>
      </c>
      <c r="I7" s="384" t="s">
        <v>329</v>
      </c>
    </row>
    <row r="8" spans="3:9" ht="32">
      <c r="D8" s="450" t="s">
        <v>0</v>
      </c>
      <c r="E8" s="130" t="s">
        <v>322</v>
      </c>
      <c r="F8" s="130" t="s">
        <v>204</v>
      </c>
      <c r="G8" s="355">
        <v>0.85</v>
      </c>
      <c r="H8" s="355">
        <v>0.8</v>
      </c>
      <c r="I8" s="385" t="s">
        <v>327</v>
      </c>
    </row>
    <row r="9" spans="3:9" ht="32">
      <c r="D9" s="451"/>
      <c r="E9" s="130" t="s">
        <v>325</v>
      </c>
      <c r="F9" s="130" t="s">
        <v>323</v>
      </c>
      <c r="G9" s="355">
        <v>0.9</v>
      </c>
      <c r="H9" s="386">
        <v>0.98299999999999998</v>
      </c>
      <c r="I9" s="385" t="s">
        <v>328</v>
      </c>
    </row>
    <row r="10" spans="3:9" ht="96">
      <c r="D10" s="451"/>
      <c r="I10" s="387" t="s">
        <v>332</v>
      </c>
    </row>
    <row r="11" spans="3:9" ht="112">
      <c r="D11" s="452"/>
      <c r="E11" s="388" t="s">
        <v>341</v>
      </c>
      <c r="F11" s="388" t="s">
        <v>338</v>
      </c>
      <c r="G11" s="388" t="s">
        <v>339</v>
      </c>
      <c r="H11" s="388" t="s">
        <v>348</v>
      </c>
      <c r="I11" s="389" t="s">
        <v>346</v>
      </c>
    </row>
    <row r="15" spans="3:9" ht="32">
      <c r="D15" s="373" t="s">
        <v>366</v>
      </c>
      <c r="E15" s="374"/>
      <c r="F15" s="374"/>
      <c r="G15" s="374"/>
      <c r="H15" s="374"/>
    </row>
    <row r="16" spans="3:9" ht="21.75" customHeight="1">
      <c r="D16" s="375" t="s">
        <v>365</v>
      </c>
      <c r="E16" s="376" t="s">
        <v>350</v>
      </c>
      <c r="F16" s="376" t="s">
        <v>353</v>
      </c>
      <c r="G16" s="376" t="s">
        <v>349</v>
      </c>
      <c r="H16" s="377" t="s">
        <v>354</v>
      </c>
    </row>
    <row r="17" spans="4:10" ht="16">
      <c r="D17" s="378" t="s">
        <v>28</v>
      </c>
      <c r="E17" s="379">
        <v>0.8</v>
      </c>
      <c r="F17" s="380" t="s">
        <v>351</v>
      </c>
      <c r="G17" s="381">
        <v>0.25</v>
      </c>
      <c r="H17" s="453" t="s">
        <v>34</v>
      </c>
      <c r="I17" s="390"/>
      <c r="J17" s="390"/>
    </row>
    <row r="18" spans="4:10" ht="16">
      <c r="D18" s="378" t="s">
        <v>29</v>
      </c>
      <c r="E18" s="379">
        <v>0.98299999999999998</v>
      </c>
      <c r="F18" s="380" t="s">
        <v>352</v>
      </c>
      <c r="G18" s="381">
        <v>0.05</v>
      </c>
      <c r="H18" s="453"/>
      <c r="I18" s="390"/>
      <c r="J18" s="390"/>
    </row>
    <row r="19" spans="4:10">
      <c r="D19" s="378"/>
      <c r="E19" s="380"/>
      <c r="F19" s="380"/>
      <c r="G19" s="369"/>
      <c r="H19" s="369"/>
      <c r="I19" s="390"/>
      <c r="J19" s="390"/>
    </row>
    <row r="20" spans="4:10">
      <c r="D20" s="454" t="s">
        <v>20</v>
      </c>
      <c r="E20" s="455"/>
      <c r="F20" s="382" t="s">
        <v>355</v>
      </c>
      <c r="G20" s="455" t="s">
        <v>356</v>
      </c>
      <c r="H20" s="455"/>
      <c r="I20" s="391" t="s">
        <v>74</v>
      </c>
      <c r="J20" s="392" t="s">
        <v>360</v>
      </c>
    </row>
    <row r="21" spans="4:10" ht="48">
      <c r="D21" s="456" t="s">
        <v>361</v>
      </c>
      <c r="E21" s="453"/>
      <c r="F21" s="367">
        <v>4.3467710101933232E-2</v>
      </c>
      <c r="G21" s="453" t="s">
        <v>357</v>
      </c>
      <c r="H21" s="453"/>
      <c r="I21" s="393" t="s">
        <v>362</v>
      </c>
      <c r="J21" s="394" t="s">
        <v>364</v>
      </c>
    </row>
    <row r="22" spans="4:10">
      <c r="D22" s="456" t="s">
        <v>43</v>
      </c>
      <c r="E22" s="453"/>
      <c r="F22" s="367">
        <v>0.21296212942815304</v>
      </c>
      <c r="G22" s="453" t="s">
        <v>358</v>
      </c>
      <c r="H22" s="453"/>
      <c r="I22" s="457" t="s">
        <v>363</v>
      </c>
      <c r="J22" s="395">
        <v>0.17</v>
      </c>
    </row>
    <row r="23" spans="4:10">
      <c r="D23" s="456" t="s">
        <v>9</v>
      </c>
      <c r="E23" s="453"/>
      <c r="F23" s="367">
        <v>4.2000000000000003E-2</v>
      </c>
      <c r="G23" s="453" t="s">
        <v>34</v>
      </c>
      <c r="H23" s="453"/>
      <c r="I23" s="457"/>
      <c r="J23" s="395">
        <v>0.11</v>
      </c>
    </row>
    <row r="24" spans="4:10">
      <c r="D24" s="456" t="s">
        <v>44</v>
      </c>
      <c r="E24" s="453"/>
      <c r="F24" s="367">
        <v>3.5999999999999997E-2</v>
      </c>
      <c r="G24" s="453"/>
      <c r="H24" s="453"/>
      <c r="I24" s="457"/>
      <c r="J24" s="395">
        <v>0.23</v>
      </c>
    </row>
    <row r="25" spans="4:10">
      <c r="D25" s="456" t="s">
        <v>8</v>
      </c>
      <c r="E25" s="453"/>
      <c r="F25" s="367">
        <v>4.8000000000000001E-2</v>
      </c>
      <c r="G25" s="453"/>
      <c r="H25" s="453"/>
      <c r="I25" s="457"/>
      <c r="J25" s="395">
        <v>0.17</v>
      </c>
    </row>
    <row r="26" spans="4:10">
      <c r="D26" s="458" t="s">
        <v>340</v>
      </c>
      <c r="E26" s="459"/>
      <c r="F26" s="368">
        <v>0.61757016046991375</v>
      </c>
      <c r="G26" s="453" t="s">
        <v>359</v>
      </c>
      <c r="H26" s="453"/>
      <c r="I26" s="457"/>
      <c r="J26" s="395">
        <v>0.11</v>
      </c>
    </row>
    <row r="27" spans="4:10">
      <c r="D27" s="370" t="s">
        <v>41</v>
      </c>
      <c r="E27" s="371"/>
      <c r="F27" s="368">
        <v>1</v>
      </c>
      <c r="G27" s="372"/>
      <c r="H27" s="372"/>
      <c r="I27" s="372"/>
      <c r="J27" s="396"/>
    </row>
  </sheetData>
  <mergeCells count="15">
    <mergeCell ref="D22:E22"/>
    <mergeCell ref="G22:H22"/>
    <mergeCell ref="I22:I26"/>
    <mergeCell ref="D23:E23"/>
    <mergeCell ref="G23:H25"/>
    <mergeCell ref="D24:E24"/>
    <mergeCell ref="D25:E25"/>
    <mergeCell ref="D26:E26"/>
    <mergeCell ref="G26:H26"/>
    <mergeCell ref="D8:D11"/>
    <mergeCell ref="H17:H18"/>
    <mergeCell ref="D20:E20"/>
    <mergeCell ref="G20:H20"/>
    <mergeCell ref="D21:E21"/>
    <mergeCell ref="G21:H21"/>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 YLD 2014 </vt:lpstr>
      <vt:lpstr>From MR worksheet2014</vt:lpstr>
      <vt:lpstr>Dismod 2014</vt:lpstr>
      <vt:lpstr>BW 2014</vt:lpstr>
      <vt:lpstr>Pop 2557 (2014)</vt:lpstr>
      <vt:lpstr>Model summary 2014</vt:lpstr>
      <vt:lpstr>Disability &amp; literature  2014</vt:lpstr>
      <vt:lpstr>Sequelae literature (2014)</vt:lpstr>
      <vt:lpstr>References 2014</vt:lpstr>
      <vt:lpstr>expert meeting summary</vt:lpstr>
      <vt:lpstr>' YLD 2014 '!Disability_weights</vt:lpstr>
      <vt:lpstr>' YLD 2014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Human Services standard book</dc:title>
  <dc:creator>Common Desktop Environment</dc:creator>
  <cp:lastModifiedBy>Microsoft Office User</cp:lastModifiedBy>
  <cp:lastPrinted>1999-08-07T00:29:54Z</cp:lastPrinted>
  <dcterms:created xsi:type="dcterms:W3CDTF">1998-08-07T01:04:30Z</dcterms:created>
  <dcterms:modified xsi:type="dcterms:W3CDTF">2020-03-13T11:58:03Z</dcterms:modified>
</cp:coreProperties>
</file>