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comments8.xml" ContentType="application/vnd.openxmlformats-officedocument.spreadsheetml.comments+xml"/>
  <Override PartName="/xl/drawings/drawing8.xml" ContentType="application/vnd.openxmlformats-officedocument.drawing+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4"/>
  <workbookPr defaultThemeVersion="124226"/>
  <mc:AlternateContent xmlns:mc="http://schemas.openxmlformats.org/markup-compatibility/2006">
    <mc:Choice Requires="x15">
      <x15ac:absPath xmlns:x15ac="http://schemas.microsoft.com/office/spreadsheetml/2010/11/ac" url="/Users/pop/R/Original/OldExcel/"/>
    </mc:Choice>
  </mc:AlternateContent>
  <xr:revisionPtr revIDLastSave="0" documentId="13_ncr:1_{84859B05-E831-D945-9B63-A254DE48A96A}" xr6:coauthVersionLast="45" xr6:coauthVersionMax="45" xr10:uidLastSave="{00000000-0000-0000-0000-000000000000}"/>
  <bookViews>
    <workbookView xWindow="0" yWindow="460" windowWidth="28800" windowHeight="16200" tabRatio="932" firstSheet="5" activeTab="10" xr2:uid="{00000000-000D-0000-FFFF-FFFF00000000}"/>
  </bookViews>
  <sheets>
    <sheet name="summary" sheetId="22" r:id="rId1"/>
    <sheet name="1.Diabetes case" sheetId="1" r:id="rId2"/>
    <sheet name="1.Diabetes case_DATA" sheetId="6" r:id="rId3"/>
    <sheet name="1.Diabetes IDDM_DISMOD" sheetId="7" r:id="rId4"/>
    <sheet name="1.Diabetes ALL_DISMOD" sheetId="8" r:id="rId5"/>
    <sheet name="2.Retinopathy" sheetId="9" r:id="rId6"/>
    <sheet name="2.Reti IDDM_DISMOD" sheetId="10" r:id="rId7"/>
    <sheet name="2.Reti NIDDM_DISMOD" sheetId="11" r:id="rId8"/>
    <sheet name="3.Nephropathy" sheetId="12" r:id="rId9"/>
    <sheet name="3.Nephropathy_DATA" sheetId="20" r:id="rId10"/>
    <sheet name="4.Neuropathy" sheetId="13" r:id="rId11"/>
    <sheet name="4.Neuro_DATA" sheetId="14" r:id="rId12"/>
    <sheet name="5.Cataract" sheetId="15" r:id="rId13"/>
    <sheet name="5. Cataract_DATA" sheetId="16" r:id="rId14"/>
    <sheet name="6.Glaucoma" sheetId="17" r:id="rId15"/>
    <sheet name="6.Glaucoma_DATA" sheetId="18" r:id="rId16"/>
    <sheet name="7. amputations" sheetId="19" r:id="rId17"/>
    <sheet name="7. Amputations_DATA" sheetId="21" r:id="rId18"/>
    <sheet name="8. Foot" sheetId="25" r:id="rId19"/>
    <sheet name="Sheet1" sheetId="26" r:id="rId20"/>
  </sheets>
  <externalReferences>
    <externalReference r:id="rId21"/>
    <externalReference r:id="rId22"/>
    <externalReference r:id="rId23"/>
    <externalReference r:id="rId24"/>
    <externalReference r:id="rId25"/>
    <externalReference r:id="rId26"/>
    <externalReference r:id="rId27"/>
    <externalReference r:id="rId28"/>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152" i="13" l="1"/>
  <c r="R151" i="13"/>
  <c r="S150" i="13"/>
  <c r="R149" i="13"/>
  <c r="S148" i="13"/>
  <c r="R147" i="13"/>
  <c r="S146" i="13"/>
  <c r="R145" i="13"/>
  <c r="S144" i="13"/>
  <c r="R143" i="13"/>
  <c r="S142" i="13"/>
  <c r="R141" i="13"/>
  <c r="S140" i="13"/>
  <c r="R139" i="13"/>
  <c r="S138" i="13"/>
  <c r="R137" i="13"/>
  <c r="S133" i="13"/>
  <c r="R132" i="13"/>
  <c r="S131" i="13"/>
  <c r="R130" i="13"/>
  <c r="S129" i="13"/>
  <c r="R128" i="13"/>
  <c r="S127" i="13"/>
  <c r="R126" i="13"/>
  <c r="S125" i="13"/>
  <c r="R124" i="13"/>
  <c r="S123" i="13"/>
  <c r="R122" i="13"/>
  <c r="S121" i="13"/>
  <c r="R120" i="13"/>
  <c r="S119" i="13"/>
  <c r="R118" i="13"/>
  <c r="S107" i="13"/>
  <c r="R106" i="13"/>
  <c r="S105" i="13"/>
  <c r="R104" i="13"/>
  <c r="S103" i="13"/>
  <c r="R102" i="13"/>
  <c r="S101" i="13"/>
  <c r="R100" i="13"/>
  <c r="S99" i="13"/>
  <c r="R98" i="13"/>
  <c r="S97" i="13"/>
  <c r="R96" i="13"/>
  <c r="S95" i="13"/>
  <c r="R94" i="13"/>
  <c r="S93" i="13"/>
  <c r="R92" i="13"/>
  <c r="S84" i="13"/>
  <c r="S76" i="13"/>
  <c r="S74" i="13"/>
  <c r="S78" i="13"/>
  <c r="S80" i="13"/>
  <c r="S82" i="13"/>
  <c r="S86" i="13"/>
  <c r="S88" i="13"/>
  <c r="R75" i="13"/>
  <c r="R77" i="13"/>
  <c r="R79" i="13"/>
  <c r="R81" i="13"/>
  <c r="R83" i="13"/>
  <c r="R85" i="13"/>
  <c r="R87" i="13"/>
  <c r="R73" i="13"/>
  <c r="P152" i="13"/>
  <c r="O151" i="13"/>
  <c r="P150" i="13"/>
  <c r="O149" i="13"/>
  <c r="P148" i="13"/>
  <c r="O147" i="13"/>
  <c r="P146" i="13"/>
  <c r="O145" i="13"/>
  <c r="P144" i="13"/>
  <c r="O143" i="13"/>
  <c r="P142" i="13"/>
  <c r="O141" i="13"/>
  <c r="P140" i="13"/>
  <c r="O139" i="13"/>
  <c r="P138" i="13"/>
  <c r="O137" i="13"/>
  <c r="P133" i="13"/>
  <c r="O132" i="13"/>
  <c r="P131" i="13"/>
  <c r="O130" i="13"/>
  <c r="P129" i="13"/>
  <c r="O128" i="13"/>
  <c r="P127" i="13"/>
  <c r="O126" i="13"/>
  <c r="P125" i="13"/>
  <c r="O124" i="13"/>
  <c r="P123" i="13"/>
  <c r="O122" i="13"/>
  <c r="P121" i="13"/>
  <c r="O120" i="13"/>
  <c r="P119" i="13"/>
  <c r="O118" i="13"/>
  <c r="P107" i="13"/>
  <c r="O106" i="13"/>
  <c r="P105" i="13"/>
  <c r="O104" i="13"/>
  <c r="P103" i="13"/>
  <c r="O102" i="13"/>
  <c r="P101" i="13"/>
  <c r="O100" i="13"/>
  <c r="P99" i="13"/>
  <c r="O98" i="13"/>
  <c r="P97" i="13"/>
  <c r="O96" i="13"/>
  <c r="P95" i="13"/>
  <c r="O94" i="13"/>
  <c r="P93" i="13"/>
  <c r="O92" i="13"/>
  <c r="P76" i="13"/>
  <c r="P78" i="13"/>
  <c r="P80" i="13"/>
  <c r="P82" i="13"/>
  <c r="P84" i="13"/>
  <c r="P86" i="13"/>
  <c r="P88" i="13"/>
  <c r="O87" i="13"/>
  <c r="O75" i="13"/>
  <c r="O73" i="13"/>
  <c r="P74" i="13"/>
  <c r="O77" i="13"/>
  <c r="O79" i="13"/>
  <c r="O81" i="13"/>
  <c r="O83" i="13"/>
  <c r="O85" i="13"/>
  <c r="J119" i="9"/>
  <c r="J118" i="9"/>
  <c r="J117" i="9"/>
  <c r="J116" i="9"/>
  <c r="J115" i="9"/>
  <c r="J114" i="9"/>
  <c r="J113" i="9"/>
  <c r="J112" i="9"/>
  <c r="J108" i="9"/>
  <c r="J107" i="9"/>
  <c r="J106" i="9"/>
  <c r="J105" i="9"/>
  <c r="J104" i="9"/>
  <c r="J103" i="9"/>
  <c r="J102" i="9"/>
  <c r="J101" i="9"/>
  <c r="J90" i="9"/>
  <c r="J89" i="9"/>
  <c r="J88" i="9"/>
  <c r="J87" i="9"/>
  <c r="J86" i="9"/>
  <c r="J85" i="9"/>
  <c r="J84" i="9"/>
  <c r="J83" i="9"/>
  <c r="J78" i="9"/>
  <c r="J79" i="9"/>
  <c r="J73" i="9"/>
  <c r="J74" i="9"/>
  <c r="J75" i="9"/>
  <c r="J76" i="9"/>
  <c r="J77" i="9"/>
  <c r="J72" i="9"/>
  <c r="C102" i="22" l="1"/>
  <c r="C103" i="22"/>
  <c r="C92" i="22"/>
  <c r="S182" i="26"/>
  <c r="R182" i="26"/>
  <c r="S181" i="26"/>
  <c r="R181" i="26"/>
  <c r="S180" i="26"/>
  <c r="R180" i="26"/>
  <c r="S179" i="26"/>
  <c r="R179" i="26"/>
  <c r="S178" i="26"/>
  <c r="R178" i="26"/>
  <c r="S177" i="26"/>
  <c r="R177" i="26"/>
  <c r="S176" i="26"/>
  <c r="R176" i="26"/>
  <c r="S175" i="26"/>
  <c r="S183" i="26" s="1"/>
  <c r="R175" i="26"/>
  <c r="R183" i="26" s="1"/>
  <c r="S171" i="26"/>
  <c r="R171" i="26"/>
  <c r="S170" i="26"/>
  <c r="R170" i="26"/>
  <c r="S169" i="26"/>
  <c r="R169" i="26"/>
  <c r="S168" i="26"/>
  <c r="R168" i="26"/>
  <c r="S167" i="26"/>
  <c r="R167" i="26"/>
  <c r="S166" i="26"/>
  <c r="R166" i="26"/>
  <c r="S165" i="26"/>
  <c r="R165" i="26"/>
  <c r="S164" i="26"/>
  <c r="S172" i="26" s="1"/>
  <c r="R164" i="26"/>
  <c r="C91" i="22"/>
  <c r="S138" i="22"/>
  <c r="R138" i="22"/>
  <c r="S137" i="22"/>
  <c r="R137" i="22"/>
  <c r="T137" i="22" s="1"/>
  <c r="S136" i="22"/>
  <c r="R136" i="22"/>
  <c r="T136" i="22" s="1"/>
  <c r="S135" i="22"/>
  <c r="T135" i="22" s="1"/>
  <c r="R135" i="22"/>
  <c r="S134" i="22"/>
  <c r="R134" i="22"/>
  <c r="T134" i="22" s="1"/>
  <c r="S133" i="22"/>
  <c r="R133" i="22"/>
  <c r="S132" i="22"/>
  <c r="R132" i="22"/>
  <c r="T132" i="22" s="1"/>
  <c r="S131" i="22"/>
  <c r="T131" i="22" s="1"/>
  <c r="R131" i="22"/>
  <c r="S130" i="22"/>
  <c r="R130" i="22"/>
  <c r="T130" i="22" s="1"/>
  <c r="S127" i="22"/>
  <c r="R127" i="22"/>
  <c r="S126" i="22"/>
  <c r="T126" i="22" s="1"/>
  <c r="R126" i="22"/>
  <c r="S125" i="22"/>
  <c r="R125" i="22"/>
  <c r="S124" i="22"/>
  <c r="R124" i="22"/>
  <c r="S123" i="22"/>
  <c r="R123" i="22"/>
  <c r="T123" i="22" s="1"/>
  <c r="T122" i="22"/>
  <c r="S122" i="22"/>
  <c r="R122" i="22"/>
  <c r="S121" i="22"/>
  <c r="R121" i="22"/>
  <c r="S120" i="22"/>
  <c r="R120" i="22"/>
  <c r="T120" i="22" s="1"/>
  <c r="S119" i="22"/>
  <c r="R119" i="22"/>
  <c r="T119" i="22" s="1"/>
  <c r="O182" i="26"/>
  <c r="O181" i="26"/>
  <c r="O180" i="26"/>
  <c r="O179" i="26"/>
  <c r="O178" i="26"/>
  <c r="O177" i="26"/>
  <c r="O176" i="26"/>
  <c r="O183" i="26" s="1"/>
  <c r="O175" i="26"/>
  <c r="O171" i="26"/>
  <c r="O170" i="26"/>
  <c r="O169" i="26"/>
  <c r="O168" i="26"/>
  <c r="O167" i="26"/>
  <c r="O166" i="26"/>
  <c r="O165" i="26"/>
  <c r="O172" i="26" s="1"/>
  <c r="O164" i="26"/>
  <c r="N182" i="26"/>
  <c r="N181" i="26"/>
  <c r="N180" i="26"/>
  <c r="N179" i="26"/>
  <c r="N178" i="26"/>
  <c r="N177" i="26"/>
  <c r="N176" i="26"/>
  <c r="N175" i="26"/>
  <c r="N171" i="26"/>
  <c r="N170" i="26"/>
  <c r="N169" i="26"/>
  <c r="N168" i="26"/>
  <c r="N167" i="26"/>
  <c r="N166" i="26"/>
  <c r="N165" i="26"/>
  <c r="N164" i="26"/>
  <c r="T121" i="22" l="1"/>
  <c r="T125" i="22"/>
  <c r="T127" i="22"/>
  <c r="T138" i="22"/>
  <c r="R172" i="26"/>
  <c r="T124" i="22"/>
  <c r="T133" i="22"/>
  <c r="J120" i="1"/>
  <c r="K120" i="1"/>
  <c r="J121" i="1"/>
  <c r="K121" i="1"/>
  <c r="J122" i="1"/>
  <c r="K122" i="1"/>
  <c r="J123" i="1"/>
  <c r="K123" i="1"/>
  <c r="J124" i="1"/>
  <c r="K124" i="1"/>
  <c r="J125" i="1"/>
  <c r="K125" i="1"/>
  <c r="J126" i="1"/>
  <c r="K126" i="1"/>
  <c r="J127" i="1"/>
  <c r="K127" i="1"/>
  <c r="M122" i="20" l="1"/>
  <c r="L122" i="20"/>
  <c r="M121" i="20"/>
  <c r="L121" i="20"/>
  <c r="M120" i="20"/>
  <c r="L120" i="20"/>
  <c r="M119" i="20"/>
  <c r="L119" i="20"/>
  <c r="M118" i="20"/>
  <c r="L118" i="20"/>
  <c r="M117" i="20"/>
  <c r="L117" i="20"/>
  <c r="M116" i="20"/>
  <c r="L116" i="20"/>
  <c r="M115" i="20"/>
  <c r="L115" i="20"/>
  <c r="M114" i="20"/>
  <c r="L114" i="20"/>
  <c r="M108" i="20"/>
  <c r="L108" i="20"/>
  <c r="M107" i="20"/>
  <c r="L107" i="20"/>
  <c r="M106" i="20"/>
  <c r="L106" i="20"/>
  <c r="M105" i="20"/>
  <c r="L105" i="20"/>
  <c r="M104" i="20"/>
  <c r="L104" i="20"/>
  <c r="M103" i="20"/>
  <c r="L103" i="20"/>
  <c r="M102" i="20"/>
  <c r="L102" i="20"/>
  <c r="M101" i="20"/>
  <c r="L101" i="20"/>
  <c r="M100" i="20"/>
  <c r="L100" i="20"/>
  <c r="L91" i="20"/>
  <c r="K91" i="20"/>
  <c r="I91" i="20"/>
  <c r="H91" i="20"/>
  <c r="G91" i="20"/>
  <c r="E91" i="20"/>
  <c r="D91" i="20"/>
  <c r="C91" i="20"/>
  <c r="B91" i="20"/>
  <c r="A91" i="20"/>
  <c r="L90" i="20"/>
  <c r="K90" i="20"/>
  <c r="I90" i="20"/>
  <c r="H90" i="20"/>
  <c r="G90" i="20"/>
  <c r="E90" i="20"/>
  <c r="D90" i="20"/>
  <c r="C90" i="20"/>
  <c r="B90" i="20"/>
  <c r="A90" i="20"/>
  <c r="L89" i="20"/>
  <c r="K89" i="20"/>
  <c r="I89" i="20"/>
  <c r="H89" i="20"/>
  <c r="G89" i="20"/>
  <c r="E89" i="20"/>
  <c r="D89" i="20"/>
  <c r="C89" i="20"/>
  <c r="B89" i="20"/>
  <c r="A89" i="20"/>
  <c r="L88" i="20"/>
  <c r="K88" i="20"/>
  <c r="I88" i="20"/>
  <c r="H88" i="20"/>
  <c r="G88" i="20"/>
  <c r="E88" i="20"/>
  <c r="D88" i="20"/>
  <c r="C88" i="20"/>
  <c r="B88" i="20"/>
  <c r="A88" i="20"/>
  <c r="L87" i="20"/>
  <c r="K87" i="20"/>
  <c r="I87" i="20"/>
  <c r="H87" i="20"/>
  <c r="G87" i="20"/>
  <c r="E87" i="20"/>
  <c r="D87" i="20"/>
  <c r="C87" i="20"/>
  <c r="B87" i="20"/>
  <c r="A87" i="20"/>
  <c r="L86" i="20"/>
  <c r="K86" i="20"/>
  <c r="I86" i="20"/>
  <c r="H86" i="20"/>
  <c r="G86" i="20"/>
  <c r="E86" i="20"/>
  <c r="D86" i="20"/>
  <c r="C86" i="20"/>
  <c r="B86" i="20"/>
  <c r="A86" i="20"/>
  <c r="L85" i="20"/>
  <c r="K85" i="20"/>
  <c r="I85" i="20"/>
  <c r="H85" i="20"/>
  <c r="G85" i="20"/>
  <c r="E85" i="20"/>
  <c r="D85" i="20"/>
  <c r="C85" i="20"/>
  <c r="B85" i="20"/>
  <c r="A85" i="20"/>
  <c r="L84" i="20"/>
  <c r="K84" i="20"/>
  <c r="I84" i="20"/>
  <c r="H84" i="20"/>
  <c r="G84" i="20"/>
  <c r="E84" i="20"/>
  <c r="D84" i="20"/>
  <c r="C84" i="20"/>
  <c r="B84" i="20"/>
  <c r="A84" i="20"/>
  <c r="L83" i="20"/>
  <c r="K83" i="20"/>
  <c r="I83" i="20"/>
  <c r="H83" i="20"/>
  <c r="G83" i="20"/>
  <c r="E83" i="20"/>
  <c r="D83" i="20"/>
  <c r="C83" i="20"/>
  <c r="B83" i="20"/>
  <c r="A83" i="20"/>
  <c r="L82" i="20"/>
  <c r="K82" i="20"/>
  <c r="I82" i="20"/>
  <c r="H82" i="20"/>
  <c r="G82" i="20"/>
  <c r="E82" i="20"/>
  <c r="D82" i="20"/>
  <c r="C82" i="20"/>
  <c r="B82" i="20"/>
  <c r="A82" i="20"/>
  <c r="A81" i="20"/>
  <c r="L79" i="20"/>
  <c r="K79" i="20"/>
  <c r="I79" i="20"/>
  <c r="H79" i="20"/>
  <c r="G79" i="20"/>
  <c r="E79" i="20"/>
  <c r="D79" i="20"/>
  <c r="C79" i="20"/>
  <c r="B79" i="20"/>
  <c r="A79" i="20"/>
  <c r="L78" i="20"/>
  <c r="K78" i="20"/>
  <c r="I78" i="20"/>
  <c r="H78" i="20"/>
  <c r="G78" i="20"/>
  <c r="E78" i="20"/>
  <c r="D78" i="20"/>
  <c r="C78" i="20"/>
  <c r="B78" i="20"/>
  <c r="A78" i="20"/>
  <c r="L77" i="20"/>
  <c r="K77" i="20"/>
  <c r="I77" i="20"/>
  <c r="H77" i="20"/>
  <c r="G77" i="20"/>
  <c r="E77" i="20"/>
  <c r="D77" i="20"/>
  <c r="C77" i="20"/>
  <c r="B77" i="20"/>
  <c r="A77" i="20"/>
  <c r="L76" i="20"/>
  <c r="K76" i="20"/>
  <c r="I76" i="20"/>
  <c r="H76" i="20"/>
  <c r="G76" i="20"/>
  <c r="E76" i="20"/>
  <c r="D76" i="20"/>
  <c r="C76" i="20"/>
  <c r="B76" i="20"/>
  <c r="A76" i="20"/>
  <c r="L75" i="20"/>
  <c r="K75" i="20"/>
  <c r="I75" i="20"/>
  <c r="H75" i="20"/>
  <c r="G75" i="20"/>
  <c r="E75" i="20"/>
  <c r="D75" i="20"/>
  <c r="C75" i="20"/>
  <c r="B75" i="20"/>
  <c r="A75" i="20"/>
  <c r="L74" i="20"/>
  <c r="K74" i="20"/>
  <c r="I74" i="20"/>
  <c r="H74" i="20"/>
  <c r="G74" i="20"/>
  <c r="E74" i="20"/>
  <c r="D74" i="20"/>
  <c r="C74" i="20"/>
  <c r="B74" i="20"/>
  <c r="A74" i="20"/>
  <c r="L73" i="20"/>
  <c r="K73" i="20"/>
  <c r="I73" i="20"/>
  <c r="H73" i="20"/>
  <c r="G73" i="20"/>
  <c r="E73" i="20"/>
  <c r="D73" i="20"/>
  <c r="C73" i="20"/>
  <c r="B73" i="20"/>
  <c r="A73" i="20"/>
  <c r="L72" i="20"/>
  <c r="K72" i="20"/>
  <c r="I72" i="20"/>
  <c r="H72" i="20"/>
  <c r="G72" i="20"/>
  <c r="E72" i="20"/>
  <c r="D72" i="20"/>
  <c r="C72" i="20"/>
  <c r="B72" i="20"/>
  <c r="A72" i="20"/>
  <c r="L71" i="20"/>
  <c r="K71" i="20"/>
  <c r="I71" i="20"/>
  <c r="H71" i="20"/>
  <c r="G71" i="20"/>
  <c r="E71" i="20"/>
  <c r="D71" i="20"/>
  <c r="C71" i="20"/>
  <c r="B71" i="20"/>
  <c r="A71" i="20"/>
  <c r="L70" i="20"/>
  <c r="K70" i="20"/>
  <c r="I70" i="20"/>
  <c r="H70" i="20"/>
  <c r="G70" i="20"/>
  <c r="E70" i="20"/>
  <c r="D70" i="20"/>
  <c r="C70" i="20"/>
  <c r="B70" i="20"/>
  <c r="A70" i="20"/>
  <c r="A69" i="20"/>
  <c r="L66" i="20"/>
  <c r="K66" i="20"/>
  <c r="I66" i="20"/>
  <c r="H66" i="20"/>
  <c r="D66" i="20"/>
  <c r="B66" i="20"/>
  <c r="L65" i="20"/>
  <c r="K65" i="20"/>
  <c r="I65" i="20"/>
  <c r="H65" i="20"/>
  <c r="G65" i="20"/>
  <c r="F65" i="20"/>
  <c r="E65" i="20"/>
  <c r="D65" i="20"/>
  <c r="C65" i="20"/>
  <c r="B65" i="20"/>
  <c r="A65" i="20"/>
  <c r="N60" i="20"/>
  <c r="M60" i="20"/>
  <c r="K60" i="20"/>
  <c r="J60" i="20"/>
  <c r="I60" i="20"/>
  <c r="H60" i="20"/>
  <c r="F60" i="20"/>
  <c r="E60" i="20"/>
  <c r="D60" i="20"/>
  <c r="C60" i="20"/>
  <c r="B60" i="20"/>
  <c r="A60" i="20"/>
  <c r="N59" i="20"/>
  <c r="M59" i="20"/>
  <c r="K59" i="20"/>
  <c r="J59" i="20"/>
  <c r="I59" i="20"/>
  <c r="H59" i="20"/>
  <c r="F59" i="20"/>
  <c r="E59" i="20"/>
  <c r="D59" i="20"/>
  <c r="C59" i="20"/>
  <c r="B59" i="20"/>
  <c r="A59" i="20"/>
  <c r="N58" i="20"/>
  <c r="M58" i="20"/>
  <c r="K58" i="20"/>
  <c r="J58" i="20"/>
  <c r="I58" i="20"/>
  <c r="H58" i="20"/>
  <c r="F58" i="20"/>
  <c r="E58" i="20"/>
  <c r="D58" i="20"/>
  <c r="C58" i="20"/>
  <c r="B58" i="20"/>
  <c r="A58" i="20"/>
  <c r="N57" i="20"/>
  <c r="M57" i="20"/>
  <c r="K57" i="20"/>
  <c r="J57" i="20"/>
  <c r="I57" i="20"/>
  <c r="H57" i="20"/>
  <c r="F57" i="20"/>
  <c r="E57" i="20"/>
  <c r="D57" i="20"/>
  <c r="C57" i="20"/>
  <c r="B57" i="20"/>
  <c r="A57" i="20"/>
  <c r="N56" i="20"/>
  <c r="M56" i="20"/>
  <c r="K56" i="20"/>
  <c r="J56" i="20"/>
  <c r="I56" i="20"/>
  <c r="H56" i="20"/>
  <c r="F56" i="20"/>
  <c r="E56" i="20"/>
  <c r="D56" i="20"/>
  <c r="C56" i="20"/>
  <c r="B56" i="20"/>
  <c r="A56" i="20"/>
  <c r="N55" i="20"/>
  <c r="M55" i="20"/>
  <c r="K55" i="20"/>
  <c r="J55" i="20"/>
  <c r="I55" i="20"/>
  <c r="H55" i="20"/>
  <c r="F55" i="20"/>
  <c r="E55" i="20"/>
  <c r="D55" i="20"/>
  <c r="C55" i="20"/>
  <c r="B55" i="20"/>
  <c r="A55" i="20"/>
  <c r="N54" i="20"/>
  <c r="M54" i="20"/>
  <c r="K54" i="20"/>
  <c r="J54" i="20"/>
  <c r="I54" i="20"/>
  <c r="H54" i="20"/>
  <c r="F54" i="20"/>
  <c r="E54" i="20"/>
  <c r="D54" i="20"/>
  <c r="C54" i="20"/>
  <c r="B54" i="20"/>
  <c r="A54" i="20"/>
  <c r="N53" i="20"/>
  <c r="M53" i="20"/>
  <c r="K53" i="20"/>
  <c r="J53" i="20"/>
  <c r="I53" i="20"/>
  <c r="H53" i="20"/>
  <c r="F53" i="20"/>
  <c r="E53" i="20"/>
  <c r="D53" i="20"/>
  <c r="C53" i="20"/>
  <c r="B53" i="20"/>
  <c r="A53" i="20"/>
  <c r="N52" i="20"/>
  <c r="M52" i="20"/>
  <c r="K52" i="20"/>
  <c r="J52" i="20"/>
  <c r="I52" i="20"/>
  <c r="H52" i="20"/>
  <c r="F52" i="20"/>
  <c r="E52" i="20"/>
  <c r="D52" i="20"/>
  <c r="C52" i="20"/>
  <c r="B52" i="20"/>
  <c r="A52" i="20"/>
  <c r="N51" i="20"/>
  <c r="M51" i="20"/>
  <c r="K51" i="20"/>
  <c r="J51" i="20"/>
  <c r="I51" i="20"/>
  <c r="H51" i="20"/>
  <c r="F51" i="20"/>
  <c r="E51" i="20"/>
  <c r="D51" i="20"/>
  <c r="C51" i="20"/>
  <c r="B51" i="20"/>
  <c r="A51" i="20"/>
  <c r="A50" i="20"/>
  <c r="N48" i="20"/>
  <c r="M48" i="20"/>
  <c r="K48" i="20"/>
  <c r="J48" i="20"/>
  <c r="I48" i="20"/>
  <c r="H48" i="20"/>
  <c r="F48" i="20"/>
  <c r="E48" i="20"/>
  <c r="D48" i="20"/>
  <c r="C48" i="20"/>
  <c r="B48" i="20"/>
  <c r="A48" i="20"/>
  <c r="N47" i="20"/>
  <c r="M47" i="20"/>
  <c r="K47" i="20"/>
  <c r="J47" i="20"/>
  <c r="I47" i="20"/>
  <c r="H47" i="20"/>
  <c r="F47" i="20"/>
  <c r="E47" i="20"/>
  <c r="D47" i="20"/>
  <c r="C47" i="20"/>
  <c r="B47" i="20"/>
  <c r="A47" i="20"/>
  <c r="N46" i="20"/>
  <c r="M46" i="20"/>
  <c r="K46" i="20"/>
  <c r="J46" i="20"/>
  <c r="I46" i="20"/>
  <c r="H46" i="20"/>
  <c r="F46" i="20"/>
  <c r="E46" i="20"/>
  <c r="D46" i="20"/>
  <c r="C46" i="20"/>
  <c r="B46" i="20"/>
  <c r="A46" i="20"/>
  <c r="N45" i="20"/>
  <c r="M45" i="20"/>
  <c r="K45" i="20"/>
  <c r="J45" i="20"/>
  <c r="I45" i="20"/>
  <c r="H45" i="20"/>
  <c r="F45" i="20"/>
  <c r="E45" i="20"/>
  <c r="D45" i="20"/>
  <c r="C45" i="20"/>
  <c r="B45" i="20"/>
  <c r="A45" i="20"/>
  <c r="N44" i="20"/>
  <c r="M44" i="20"/>
  <c r="K44" i="20"/>
  <c r="J44" i="20"/>
  <c r="I44" i="20"/>
  <c r="H44" i="20"/>
  <c r="F44" i="20"/>
  <c r="E44" i="20"/>
  <c r="D44" i="20"/>
  <c r="C44" i="20"/>
  <c r="B44" i="20"/>
  <c r="A44" i="20"/>
  <c r="N43" i="20"/>
  <c r="M43" i="20"/>
  <c r="K43" i="20"/>
  <c r="J43" i="20"/>
  <c r="I43" i="20"/>
  <c r="H43" i="20"/>
  <c r="F43" i="20"/>
  <c r="E43" i="20"/>
  <c r="D43" i="20"/>
  <c r="C43" i="20"/>
  <c r="B43" i="20"/>
  <c r="A43" i="20"/>
  <c r="N42" i="20"/>
  <c r="M42" i="20"/>
  <c r="K42" i="20"/>
  <c r="J42" i="20"/>
  <c r="I42" i="20"/>
  <c r="H42" i="20"/>
  <c r="F42" i="20"/>
  <c r="E42" i="20"/>
  <c r="D42" i="20"/>
  <c r="C42" i="20"/>
  <c r="B42" i="20"/>
  <c r="A42" i="20"/>
  <c r="N41" i="20"/>
  <c r="M41" i="20"/>
  <c r="K41" i="20"/>
  <c r="J41" i="20"/>
  <c r="I41" i="20"/>
  <c r="H41" i="20"/>
  <c r="F41" i="20"/>
  <c r="E41" i="20"/>
  <c r="D41" i="20"/>
  <c r="C41" i="20"/>
  <c r="B41" i="20"/>
  <c r="A41" i="20"/>
  <c r="N40" i="20"/>
  <c r="M40" i="20"/>
  <c r="K40" i="20"/>
  <c r="J40" i="20"/>
  <c r="I40" i="20"/>
  <c r="H40" i="20"/>
  <c r="F40" i="20"/>
  <c r="E40" i="20"/>
  <c r="D40" i="20"/>
  <c r="C40" i="20"/>
  <c r="B40" i="20"/>
  <c r="A40" i="20"/>
  <c r="N39" i="20"/>
  <c r="M39" i="20"/>
  <c r="K39" i="20"/>
  <c r="J39" i="20"/>
  <c r="I39" i="20"/>
  <c r="H39" i="20"/>
  <c r="F39" i="20"/>
  <c r="E39" i="20"/>
  <c r="D39" i="20"/>
  <c r="C39" i="20"/>
  <c r="B39" i="20"/>
  <c r="A39" i="20"/>
  <c r="A38" i="20"/>
  <c r="N35" i="20"/>
  <c r="M35" i="20"/>
  <c r="K35" i="20"/>
  <c r="J35" i="20"/>
  <c r="I35" i="20"/>
  <c r="H35" i="20"/>
  <c r="F35" i="20"/>
  <c r="E35" i="20"/>
  <c r="D35" i="20"/>
  <c r="B35" i="20"/>
  <c r="N34" i="20"/>
  <c r="M34" i="20"/>
  <c r="K34" i="20"/>
  <c r="J34" i="20"/>
  <c r="H34" i="20"/>
  <c r="G34" i="20"/>
  <c r="E34" i="20"/>
  <c r="D34" i="20"/>
  <c r="C34" i="20"/>
  <c r="B34" i="20"/>
  <c r="A34" i="20"/>
  <c r="L29" i="20"/>
  <c r="K29" i="20"/>
  <c r="I29" i="20"/>
  <c r="H29" i="20"/>
  <c r="G29" i="20"/>
  <c r="E29" i="20"/>
  <c r="D29" i="20"/>
  <c r="C29" i="20"/>
  <c r="B29" i="20"/>
  <c r="A29" i="20"/>
  <c r="L28" i="20"/>
  <c r="K28" i="20"/>
  <c r="I28" i="20"/>
  <c r="H28" i="20"/>
  <c r="G28" i="20"/>
  <c r="E28" i="20"/>
  <c r="D28" i="20"/>
  <c r="C28" i="20"/>
  <c r="B28" i="20"/>
  <c r="A28" i="20"/>
  <c r="L27" i="20"/>
  <c r="K27" i="20"/>
  <c r="I27" i="20"/>
  <c r="H27" i="20"/>
  <c r="G27" i="20"/>
  <c r="E27" i="20"/>
  <c r="D27" i="20"/>
  <c r="C27" i="20"/>
  <c r="B27" i="20"/>
  <c r="A27" i="20"/>
  <c r="L26" i="20"/>
  <c r="K26" i="20"/>
  <c r="I26" i="20"/>
  <c r="H26" i="20"/>
  <c r="G26" i="20"/>
  <c r="E26" i="20"/>
  <c r="D26" i="20"/>
  <c r="C26" i="20"/>
  <c r="B26" i="20"/>
  <c r="A26" i="20"/>
  <c r="L25" i="20"/>
  <c r="K25" i="20"/>
  <c r="I25" i="20"/>
  <c r="H25" i="20"/>
  <c r="G25" i="20"/>
  <c r="E25" i="20"/>
  <c r="D25" i="20"/>
  <c r="C25" i="20"/>
  <c r="B25" i="20"/>
  <c r="A25" i="20"/>
  <c r="L24" i="20"/>
  <c r="K24" i="20"/>
  <c r="I24" i="20"/>
  <c r="H24" i="20"/>
  <c r="G24" i="20"/>
  <c r="E24" i="20"/>
  <c r="D24" i="20"/>
  <c r="C24" i="20"/>
  <c r="B24" i="20"/>
  <c r="A24" i="20"/>
  <c r="L23" i="20"/>
  <c r="K23" i="20"/>
  <c r="I23" i="20"/>
  <c r="H23" i="20"/>
  <c r="G23" i="20"/>
  <c r="E23" i="20"/>
  <c r="D23" i="20"/>
  <c r="C23" i="20"/>
  <c r="B23" i="20"/>
  <c r="A23" i="20"/>
  <c r="L22" i="20"/>
  <c r="K22" i="20"/>
  <c r="I22" i="20"/>
  <c r="H22" i="20"/>
  <c r="G22" i="20"/>
  <c r="E22" i="20"/>
  <c r="D22" i="20"/>
  <c r="C22" i="20"/>
  <c r="B22" i="20"/>
  <c r="A22" i="20"/>
  <c r="L21" i="20"/>
  <c r="K21" i="20"/>
  <c r="I21" i="20"/>
  <c r="H21" i="20"/>
  <c r="G21" i="20"/>
  <c r="E21" i="20"/>
  <c r="D21" i="20"/>
  <c r="C21" i="20"/>
  <c r="B21" i="20"/>
  <c r="A21" i="20"/>
  <c r="L20" i="20"/>
  <c r="K20" i="20"/>
  <c r="I20" i="20"/>
  <c r="H20" i="20"/>
  <c r="G20" i="20"/>
  <c r="E20" i="20"/>
  <c r="D20" i="20"/>
  <c r="C20" i="20"/>
  <c r="B20" i="20"/>
  <c r="A20" i="20"/>
  <c r="A19" i="20"/>
  <c r="L17" i="20"/>
  <c r="K17" i="20"/>
  <c r="I17" i="20"/>
  <c r="H17" i="20"/>
  <c r="G17" i="20"/>
  <c r="E17" i="20"/>
  <c r="D17" i="20"/>
  <c r="C17" i="20"/>
  <c r="B17" i="20"/>
  <c r="A17" i="20"/>
  <c r="L16" i="20"/>
  <c r="K16" i="20"/>
  <c r="I16" i="20"/>
  <c r="H16" i="20"/>
  <c r="G16" i="20"/>
  <c r="E16" i="20"/>
  <c r="D16" i="20"/>
  <c r="C16" i="20"/>
  <c r="B16" i="20"/>
  <c r="A16" i="20"/>
  <c r="L15" i="20"/>
  <c r="K15" i="20"/>
  <c r="I15" i="20"/>
  <c r="H15" i="20"/>
  <c r="G15" i="20"/>
  <c r="E15" i="20"/>
  <c r="D15" i="20"/>
  <c r="C15" i="20"/>
  <c r="B15" i="20"/>
  <c r="A15" i="20"/>
  <c r="L14" i="20"/>
  <c r="K14" i="20"/>
  <c r="I14" i="20"/>
  <c r="H14" i="20"/>
  <c r="G14" i="20"/>
  <c r="E14" i="20"/>
  <c r="D14" i="20"/>
  <c r="C14" i="20"/>
  <c r="B14" i="20"/>
  <c r="A14" i="20"/>
  <c r="L13" i="20"/>
  <c r="K13" i="20"/>
  <c r="I13" i="20"/>
  <c r="H13" i="20"/>
  <c r="G13" i="20"/>
  <c r="E13" i="20"/>
  <c r="D13" i="20"/>
  <c r="C13" i="20"/>
  <c r="B13" i="20"/>
  <c r="A13" i="20"/>
  <c r="L12" i="20"/>
  <c r="K12" i="20"/>
  <c r="I12" i="20"/>
  <c r="H12" i="20"/>
  <c r="G12" i="20"/>
  <c r="E12" i="20"/>
  <c r="D12" i="20"/>
  <c r="C12" i="20"/>
  <c r="B12" i="20"/>
  <c r="A12" i="20"/>
  <c r="L11" i="20"/>
  <c r="K11" i="20"/>
  <c r="I11" i="20"/>
  <c r="H11" i="20"/>
  <c r="G11" i="20"/>
  <c r="E11" i="20"/>
  <c r="D11" i="20"/>
  <c r="C11" i="20"/>
  <c r="B11" i="20"/>
  <c r="A11" i="20"/>
  <c r="L10" i="20"/>
  <c r="K10" i="20"/>
  <c r="I10" i="20"/>
  <c r="H10" i="20"/>
  <c r="G10" i="20"/>
  <c r="E10" i="20"/>
  <c r="D10" i="20"/>
  <c r="C10" i="20"/>
  <c r="B10" i="20"/>
  <c r="A10" i="20"/>
  <c r="L9" i="20"/>
  <c r="K9" i="20"/>
  <c r="I9" i="20"/>
  <c r="H9" i="20"/>
  <c r="G9" i="20"/>
  <c r="E9" i="20"/>
  <c r="D9" i="20"/>
  <c r="C9" i="20"/>
  <c r="B9" i="20"/>
  <c r="A9" i="20"/>
  <c r="L8" i="20"/>
  <c r="K8" i="20"/>
  <c r="I8" i="20"/>
  <c r="H8" i="20"/>
  <c r="G8" i="20"/>
  <c r="E8" i="20"/>
  <c r="D8" i="20"/>
  <c r="C8" i="20"/>
  <c r="B8" i="20"/>
  <c r="A8" i="20"/>
  <c r="A7" i="20"/>
  <c r="L4" i="20"/>
  <c r="K4" i="20"/>
  <c r="I4" i="20"/>
  <c r="H4" i="20"/>
  <c r="D4" i="20"/>
  <c r="B4" i="20"/>
  <c r="L3" i="20"/>
  <c r="K3" i="20"/>
  <c r="I3" i="20"/>
  <c r="H3" i="20"/>
  <c r="G3" i="20"/>
  <c r="F3" i="20"/>
  <c r="E3" i="20"/>
  <c r="D3" i="20"/>
  <c r="C3" i="20"/>
  <c r="B3" i="20"/>
  <c r="A3" i="20"/>
  <c r="G27" i="18"/>
  <c r="F27" i="18"/>
  <c r="D27" i="18"/>
  <c r="C27" i="18"/>
  <c r="G26" i="18"/>
  <c r="F26" i="18"/>
  <c r="D26" i="18"/>
  <c r="C26" i="18"/>
  <c r="G25" i="18"/>
  <c r="F25" i="18"/>
  <c r="D25" i="18"/>
  <c r="C25" i="18"/>
  <c r="G24" i="18"/>
  <c r="F24" i="18"/>
  <c r="D24" i="18"/>
  <c r="C24" i="18"/>
  <c r="G23" i="18"/>
  <c r="F23" i="18"/>
  <c r="D23" i="18"/>
  <c r="C23" i="18"/>
  <c r="G22" i="18"/>
  <c r="F22" i="18"/>
  <c r="D22" i="18"/>
  <c r="C22" i="18"/>
  <c r="G21" i="18"/>
  <c r="F21" i="18"/>
  <c r="D21" i="18"/>
  <c r="C21" i="18"/>
  <c r="G20" i="18"/>
  <c r="F20" i="18"/>
  <c r="D20" i="18"/>
  <c r="C20" i="18"/>
  <c r="G19" i="18"/>
  <c r="F19" i="18"/>
  <c r="D19" i="18"/>
  <c r="C19" i="18"/>
  <c r="G16" i="18"/>
  <c r="F16" i="18"/>
  <c r="D16" i="18"/>
  <c r="C16" i="18"/>
  <c r="G15" i="18"/>
  <c r="F15" i="18"/>
  <c r="D15" i="18"/>
  <c r="C15" i="18"/>
  <c r="G14" i="18"/>
  <c r="F14" i="18"/>
  <c r="D14" i="18"/>
  <c r="C14" i="18"/>
  <c r="G13" i="18"/>
  <c r="F13" i="18"/>
  <c r="D13" i="18"/>
  <c r="C13" i="18"/>
  <c r="G12" i="18"/>
  <c r="F12" i="18"/>
  <c r="D12" i="18"/>
  <c r="C12" i="18"/>
  <c r="G11" i="18"/>
  <c r="F11" i="18"/>
  <c r="D11" i="18"/>
  <c r="C11" i="18"/>
  <c r="G10" i="18"/>
  <c r="F10" i="18"/>
  <c r="D10" i="18"/>
  <c r="C10" i="18"/>
  <c r="G9" i="18"/>
  <c r="F9" i="18"/>
  <c r="D9" i="18"/>
  <c r="C9" i="18"/>
  <c r="G8" i="18"/>
  <c r="F8" i="18"/>
  <c r="D8" i="18"/>
  <c r="C8" i="18"/>
  <c r="G27" i="16"/>
  <c r="F27" i="16"/>
  <c r="D27" i="16"/>
  <c r="C27" i="16"/>
  <c r="G26" i="16"/>
  <c r="F26" i="16"/>
  <c r="D26" i="16"/>
  <c r="C26" i="16"/>
  <c r="G25" i="16"/>
  <c r="F25" i="16"/>
  <c r="D25" i="16"/>
  <c r="C25" i="16"/>
  <c r="G24" i="16"/>
  <c r="F24" i="16"/>
  <c r="D24" i="16"/>
  <c r="C24" i="16"/>
  <c r="G23" i="16"/>
  <c r="F23" i="16"/>
  <c r="D23" i="16"/>
  <c r="C23" i="16"/>
  <c r="G22" i="16"/>
  <c r="F22" i="16"/>
  <c r="D22" i="16"/>
  <c r="C22" i="16"/>
  <c r="G21" i="16"/>
  <c r="F21" i="16"/>
  <c r="D21" i="16"/>
  <c r="C21" i="16"/>
  <c r="G20" i="16"/>
  <c r="F20" i="16"/>
  <c r="D20" i="16"/>
  <c r="C20" i="16"/>
  <c r="G19" i="16"/>
  <c r="F19" i="16"/>
  <c r="D19" i="16"/>
  <c r="C19" i="16"/>
  <c r="G16" i="16"/>
  <c r="F16" i="16"/>
  <c r="D16" i="16"/>
  <c r="C16" i="16"/>
  <c r="G15" i="16"/>
  <c r="F15" i="16"/>
  <c r="D15" i="16"/>
  <c r="C15" i="16"/>
  <c r="G14" i="16"/>
  <c r="F14" i="16"/>
  <c r="D14" i="16"/>
  <c r="C14" i="16"/>
  <c r="G13" i="16"/>
  <c r="F13" i="16"/>
  <c r="D13" i="16"/>
  <c r="C13" i="16"/>
  <c r="G12" i="16"/>
  <c r="F12" i="16"/>
  <c r="D12" i="16"/>
  <c r="C12" i="16"/>
  <c r="G11" i="16"/>
  <c r="F11" i="16"/>
  <c r="D11" i="16"/>
  <c r="C11" i="16"/>
  <c r="G10" i="16"/>
  <c r="F10" i="16"/>
  <c r="D10" i="16"/>
  <c r="C10" i="16"/>
  <c r="G9" i="16"/>
  <c r="F9" i="16"/>
  <c r="D9" i="16"/>
  <c r="C9" i="16"/>
  <c r="G8" i="16"/>
  <c r="F8" i="16"/>
  <c r="D8" i="16"/>
  <c r="C8" i="16"/>
  <c r="D47" i="16" l="1"/>
  <c r="D48" i="16"/>
  <c r="D36" i="16"/>
  <c r="D37" i="16"/>
  <c r="E117" i="25" l="1"/>
  <c r="E118" i="25"/>
  <c r="E119" i="25"/>
  <c r="E120" i="25"/>
  <c r="E121" i="25"/>
  <c r="E106" i="25"/>
  <c r="E107" i="25"/>
  <c r="E108" i="25"/>
  <c r="E109" i="25"/>
  <c r="E110" i="25"/>
  <c r="E116" i="25"/>
  <c r="E105" i="25"/>
  <c r="G117" i="25"/>
  <c r="G118" i="25"/>
  <c r="G119" i="25"/>
  <c r="G120" i="25"/>
  <c r="G121" i="25"/>
  <c r="G106" i="25"/>
  <c r="G107" i="25"/>
  <c r="G108" i="25"/>
  <c r="G109" i="25"/>
  <c r="G110" i="25"/>
  <c r="G116" i="25"/>
  <c r="G105" i="25"/>
  <c r="E88" i="25"/>
  <c r="E89" i="25"/>
  <c r="E90" i="25"/>
  <c r="E91" i="25"/>
  <c r="E92" i="25"/>
  <c r="E87" i="25"/>
  <c r="G88" i="25"/>
  <c r="G89" i="25"/>
  <c r="G90" i="25"/>
  <c r="G91" i="25"/>
  <c r="G92" i="25"/>
  <c r="G87" i="25"/>
  <c r="E77" i="25"/>
  <c r="E78" i="25"/>
  <c r="E79" i="25"/>
  <c r="E80" i="25"/>
  <c r="E81" i="25"/>
  <c r="E76" i="25"/>
  <c r="G77" i="25"/>
  <c r="G78" i="25"/>
  <c r="G79" i="25"/>
  <c r="G80" i="25"/>
  <c r="G81" i="25"/>
  <c r="G76" i="25"/>
  <c r="D88" i="25"/>
  <c r="D89" i="25"/>
  <c r="D90" i="25"/>
  <c r="D91" i="25"/>
  <c r="D92" i="25"/>
  <c r="D87" i="25"/>
  <c r="D77" i="25"/>
  <c r="D78" i="25"/>
  <c r="D79" i="25"/>
  <c r="D80" i="25"/>
  <c r="D81" i="25"/>
  <c r="D76" i="25"/>
  <c r="H154" i="20" l="1"/>
  <c r="F154" i="20"/>
  <c r="F153" i="20"/>
  <c r="E153" i="20"/>
  <c r="H152" i="20"/>
  <c r="F152" i="20"/>
  <c r="F151" i="20"/>
  <c r="E151" i="20"/>
  <c r="H150" i="20"/>
  <c r="F150" i="20"/>
  <c r="F149" i="20"/>
  <c r="E149" i="20"/>
  <c r="H148" i="20"/>
  <c r="F148" i="20"/>
  <c r="F147" i="20"/>
  <c r="E147" i="20"/>
  <c r="I143" i="20"/>
  <c r="H143" i="20"/>
  <c r="H142" i="20"/>
  <c r="F142" i="20"/>
  <c r="I141" i="20"/>
  <c r="H141" i="20"/>
  <c r="H140" i="20"/>
  <c r="F140" i="20"/>
  <c r="I139" i="20"/>
  <c r="H139" i="20"/>
  <c r="H138" i="20"/>
  <c r="F138" i="20"/>
  <c r="I137" i="20"/>
  <c r="H137" i="20"/>
  <c r="H136" i="20"/>
  <c r="F136" i="20"/>
  <c r="E139" i="20" l="1"/>
  <c r="E141" i="20"/>
  <c r="E143" i="20"/>
  <c r="I148" i="20"/>
  <c r="I150" i="20"/>
  <c r="I152" i="20"/>
  <c r="I154" i="20"/>
  <c r="I136" i="20"/>
  <c r="F137" i="20"/>
  <c r="I138" i="20"/>
  <c r="F139" i="20"/>
  <c r="I140" i="20"/>
  <c r="F141" i="20"/>
  <c r="I142" i="20"/>
  <c r="F143" i="20"/>
  <c r="H147" i="20"/>
  <c r="E148" i="20"/>
  <c r="H149" i="20"/>
  <c r="E150" i="20"/>
  <c r="H151" i="20"/>
  <c r="E152" i="20"/>
  <c r="H153" i="20"/>
  <c r="E154" i="20"/>
  <c r="E137" i="20"/>
  <c r="E136" i="20"/>
  <c r="E138" i="20"/>
  <c r="E140" i="20"/>
  <c r="E142" i="20"/>
  <c r="I147" i="20"/>
  <c r="I149" i="20"/>
  <c r="I151" i="20"/>
  <c r="I153" i="20"/>
  <c r="F105" i="1"/>
  <c r="F106" i="1"/>
  <c r="F107" i="1"/>
  <c r="F108" i="1"/>
  <c r="F109" i="1"/>
  <c r="F110" i="1"/>
  <c r="F111" i="1"/>
  <c r="F104" i="1"/>
  <c r="F94" i="1"/>
  <c r="F95" i="1"/>
  <c r="F96" i="1"/>
  <c r="F97" i="1"/>
  <c r="F98" i="1"/>
  <c r="F99" i="1"/>
  <c r="F100" i="1"/>
  <c r="F93" i="1"/>
  <c r="D28" i="1"/>
  <c r="D29" i="1"/>
  <c r="D30" i="1"/>
  <c r="D31" i="1"/>
  <c r="D32" i="1"/>
  <c r="D33" i="1"/>
  <c r="D27" i="1"/>
  <c r="D26" i="1"/>
  <c r="C28" i="1"/>
  <c r="C29" i="1"/>
  <c r="C30" i="1"/>
  <c r="C31" i="1"/>
  <c r="C32" i="1"/>
  <c r="C33" i="1"/>
  <c r="C27" i="1"/>
  <c r="C26" i="1"/>
  <c r="D6" i="8"/>
  <c r="D7" i="8"/>
  <c r="D5" i="8"/>
  <c r="F6" i="8"/>
  <c r="F7" i="8"/>
  <c r="F5" i="8"/>
  <c r="E5" i="8"/>
  <c r="E6" i="8"/>
  <c r="E7" i="8"/>
  <c r="B121" i="25"/>
  <c r="B120" i="25"/>
  <c r="B119" i="25"/>
  <c r="B118" i="25"/>
  <c r="B117" i="25"/>
  <c r="B116" i="25"/>
  <c r="B115" i="25"/>
  <c r="B114" i="25"/>
  <c r="B110" i="25"/>
  <c r="B109" i="25"/>
  <c r="B108" i="25"/>
  <c r="B107" i="25"/>
  <c r="B106" i="25"/>
  <c r="B105" i="25"/>
  <c r="B104" i="25"/>
  <c r="B103" i="25"/>
  <c r="B92" i="25"/>
  <c r="C92" i="25" s="1"/>
  <c r="B91" i="25"/>
  <c r="C91" i="25" s="1"/>
  <c r="B90" i="25"/>
  <c r="C90" i="25" s="1"/>
  <c r="B89" i="25"/>
  <c r="C89" i="25" s="1"/>
  <c r="B88" i="25"/>
  <c r="C88" i="25" s="1"/>
  <c r="B87" i="25"/>
  <c r="C87" i="25" s="1"/>
  <c r="B86" i="25"/>
  <c r="B85" i="25"/>
  <c r="B81" i="25"/>
  <c r="C81" i="25" s="1"/>
  <c r="B80" i="25"/>
  <c r="C80" i="25" s="1"/>
  <c r="B79" i="25"/>
  <c r="C79" i="25" s="1"/>
  <c r="B78" i="25"/>
  <c r="C78" i="25" s="1"/>
  <c r="B77" i="25"/>
  <c r="C77" i="25" s="1"/>
  <c r="B76" i="25"/>
  <c r="C76" i="25" s="1"/>
  <c r="B75" i="25"/>
  <c r="B74" i="25"/>
  <c r="B93" i="25" l="1"/>
  <c r="B111" i="25"/>
  <c r="B82" i="25"/>
  <c r="L114" i="25"/>
  <c r="Q102" i="22" s="1"/>
  <c r="I114" i="25"/>
  <c r="Q46" i="22" s="1"/>
  <c r="H114" i="25"/>
  <c r="Q18" i="22" s="1"/>
  <c r="I76" i="25"/>
  <c r="P37" i="22" s="1"/>
  <c r="H76" i="25"/>
  <c r="P9" i="22" s="1"/>
  <c r="L76" i="25"/>
  <c r="L79" i="25"/>
  <c r="I79" i="25"/>
  <c r="P40" i="22" s="1"/>
  <c r="H79" i="25"/>
  <c r="P12" i="22" s="1"/>
  <c r="L81" i="25"/>
  <c r="I81" i="25"/>
  <c r="P42" i="22" s="1"/>
  <c r="H81" i="25"/>
  <c r="P14" i="22" s="1"/>
  <c r="L87" i="25"/>
  <c r="I87" i="25"/>
  <c r="P48" i="22" s="1"/>
  <c r="H87" i="25"/>
  <c r="P20" i="22" s="1"/>
  <c r="L89" i="25"/>
  <c r="I89" i="25"/>
  <c r="P50" i="22" s="1"/>
  <c r="H89" i="25"/>
  <c r="P22" i="22" s="1"/>
  <c r="I90" i="25"/>
  <c r="P51" i="22" s="1"/>
  <c r="H90" i="25"/>
  <c r="P23" i="22" s="1"/>
  <c r="L90" i="25"/>
  <c r="I103" i="25"/>
  <c r="Q35" i="22" s="1"/>
  <c r="H103" i="25"/>
  <c r="Q7" i="22" s="1"/>
  <c r="L103" i="25"/>
  <c r="Q91" i="22" s="1"/>
  <c r="L104" i="25"/>
  <c r="I104" i="25"/>
  <c r="Q36" i="22" s="1"/>
  <c r="H104" i="25"/>
  <c r="Q8" i="22" s="1"/>
  <c r="I115" i="25"/>
  <c r="Q47" i="22" s="1"/>
  <c r="H115" i="25"/>
  <c r="Q19" i="22" s="1"/>
  <c r="L115" i="25"/>
  <c r="I74" i="25"/>
  <c r="P35" i="22" s="1"/>
  <c r="H74" i="25"/>
  <c r="P7" i="22" s="1"/>
  <c r="L74" i="25"/>
  <c r="P91" i="22" s="1"/>
  <c r="L77" i="25"/>
  <c r="I77" i="25"/>
  <c r="P38" i="22" s="1"/>
  <c r="H77" i="25"/>
  <c r="P10" i="22" s="1"/>
  <c r="I80" i="25"/>
  <c r="P41" i="22" s="1"/>
  <c r="H80" i="25"/>
  <c r="L80" i="25"/>
  <c r="I86" i="25"/>
  <c r="P47" i="22" s="1"/>
  <c r="H86" i="25"/>
  <c r="P19" i="22" s="1"/>
  <c r="L86" i="25"/>
  <c r="L91" i="25"/>
  <c r="I91" i="25"/>
  <c r="H91" i="25"/>
  <c r="P24" i="22" s="1"/>
  <c r="L75" i="25"/>
  <c r="I75" i="25"/>
  <c r="H75" i="25"/>
  <c r="P8" i="22" s="1"/>
  <c r="I78" i="25"/>
  <c r="P39" i="22" s="1"/>
  <c r="L78" i="25"/>
  <c r="H78" i="25"/>
  <c r="L85" i="25"/>
  <c r="P102" i="22" s="1"/>
  <c r="I85" i="25"/>
  <c r="P46" i="22" s="1"/>
  <c r="H85" i="25"/>
  <c r="P18" i="22" s="1"/>
  <c r="I88" i="25"/>
  <c r="H88" i="25"/>
  <c r="P21" i="22" s="1"/>
  <c r="L88" i="25"/>
  <c r="I92" i="25"/>
  <c r="P53" i="22" s="1"/>
  <c r="H92" i="25"/>
  <c r="L92" i="25"/>
  <c r="B122" i="25"/>
  <c r="K87" i="25" l="1"/>
  <c r="P76" i="22" s="1"/>
  <c r="P104" i="22"/>
  <c r="K90" i="25"/>
  <c r="P79" i="22" s="1"/>
  <c r="P107" i="22"/>
  <c r="K92" i="25"/>
  <c r="P81" i="22" s="1"/>
  <c r="P109" i="22"/>
  <c r="K89" i="25"/>
  <c r="P78" i="22" s="1"/>
  <c r="P106" i="22"/>
  <c r="K91" i="25"/>
  <c r="P80" i="22" s="1"/>
  <c r="P108" i="22"/>
  <c r="K80" i="25"/>
  <c r="P69" i="22" s="1"/>
  <c r="P97" i="22"/>
  <c r="K79" i="25"/>
  <c r="P68" i="22" s="1"/>
  <c r="P96" i="22"/>
  <c r="K88" i="25"/>
  <c r="P77" i="22" s="1"/>
  <c r="P105" i="22"/>
  <c r="K104" i="25"/>
  <c r="Q64" i="22" s="1"/>
  <c r="Q92" i="22"/>
  <c r="K78" i="25"/>
  <c r="P67" i="22" s="1"/>
  <c r="P95" i="22"/>
  <c r="K75" i="25"/>
  <c r="P64" i="22" s="1"/>
  <c r="P92" i="22"/>
  <c r="K86" i="25"/>
  <c r="P75" i="22" s="1"/>
  <c r="P103" i="22"/>
  <c r="K77" i="25"/>
  <c r="P66" i="22" s="1"/>
  <c r="P94" i="22"/>
  <c r="K115" i="25"/>
  <c r="Q75" i="22" s="1"/>
  <c r="Q103" i="22"/>
  <c r="K81" i="25"/>
  <c r="P70" i="22" s="1"/>
  <c r="P98" i="22"/>
  <c r="K76" i="25"/>
  <c r="P65" i="22" s="1"/>
  <c r="P93" i="22"/>
  <c r="P25" i="22"/>
  <c r="P13" i="22"/>
  <c r="P49" i="22"/>
  <c r="P11" i="22"/>
  <c r="C133" i="25"/>
  <c r="P36" i="22"/>
  <c r="P52" i="22"/>
  <c r="B133" i="25"/>
  <c r="B143" i="25"/>
  <c r="H93" i="25"/>
  <c r="P26" i="22" s="1"/>
  <c r="C143" i="25"/>
  <c r="I93" i="25"/>
  <c r="P54" i="22" s="1"/>
  <c r="L93" i="25"/>
  <c r="P110" i="22" s="1"/>
  <c r="K85" i="25"/>
  <c r="B144" i="25"/>
  <c r="L82" i="25"/>
  <c r="P99" i="22" s="1"/>
  <c r="K74" i="25"/>
  <c r="I82" i="25"/>
  <c r="P43" i="22" s="1"/>
  <c r="C132" i="25"/>
  <c r="C144" i="25"/>
  <c r="H82" i="25"/>
  <c r="P15" i="22" s="1"/>
  <c r="B132" i="25"/>
  <c r="K103" i="25"/>
  <c r="Q63" i="22" s="1"/>
  <c r="K114" i="25"/>
  <c r="Q74" i="22" s="1"/>
  <c r="K93" i="25" l="1"/>
  <c r="P82" i="22" s="1"/>
  <c r="P74" i="22"/>
  <c r="K82" i="25"/>
  <c r="P71" i="22" s="1"/>
  <c r="P63" i="22"/>
  <c r="I20" i="6"/>
  <c r="D76" i="1"/>
  <c r="D77" i="1"/>
  <c r="D78" i="1"/>
  <c r="D79" i="1"/>
  <c r="D80" i="1"/>
  <c r="D81" i="1"/>
  <c r="D82" i="1"/>
  <c r="D75" i="1"/>
  <c r="D65" i="1"/>
  <c r="D66" i="1"/>
  <c r="D67" i="1"/>
  <c r="D68" i="1"/>
  <c r="D69" i="1"/>
  <c r="D70" i="1"/>
  <c r="D71" i="1"/>
  <c r="D64" i="1"/>
  <c r="L48" i="6"/>
  <c r="M48" i="6" s="1"/>
  <c r="L47" i="6"/>
  <c r="M47" i="6" s="1"/>
  <c r="L46" i="6"/>
  <c r="M46" i="6" s="1"/>
  <c r="L45" i="6"/>
  <c r="M45" i="6" s="1"/>
  <c r="L44" i="6"/>
  <c r="M44" i="6" s="1"/>
  <c r="L43" i="6"/>
  <c r="M43" i="6" s="1"/>
  <c r="L42" i="6"/>
  <c r="M42" i="6" s="1"/>
  <c r="L38" i="6"/>
  <c r="M38" i="6" s="1"/>
  <c r="L37" i="6"/>
  <c r="M37" i="6" s="1"/>
  <c r="L36" i="6"/>
  <c r="M36" i="6" s="1"/>
  <c r="L35" i="6"/>
  <c r="M35" i="6" s="1"/>
  <c r="L34" i="6"/>
  <c r="M34" i="6" s="1"/>
  <c r="L33" i="6"/>
  <c r="M33" i="6" s="1"/>
  <c r="M32" i="6"/>
  <c r="L32" i="6"/>
  <c r="G5" i="6"/>
  <c r="F5" i="6"/>
  <c r="F6" i="6"/>
  <c r="G6" i="6"/>
  <c r="F7" i="6"/>
  <c r="G7" i="6"/>
  <c r="F8" i="6"/>
  <c r="G8" i="6"/>
  <c r="F9" i="6"/>
  <c r="G9" i="6"/>
  <c r="F10" i="6"/>
  <c r="G10" i="6"/>
  <c r="C11" i="6"/>
  <c r="B7" i="1"/>
  <c r="G11" i="6" l="1"/>
  <c r="E11" i="6" s="1"/>
  <c r="F11" i="6"/>
  <c r="G64" i="1"/>
  <c r="G71" i="1" l="1"/>
  <c r="G67" i="1"/>
  <c r="G82" i="1"/>
  <c r="G80" i="1"/>
  <c r="G76" i="1"/>
  <c r="G78" i="1"/>
  <c r="G69" i="1"/>
  <c r="G65" i="1"/>
  <c r="G81" i="1"/>
  <c r="G79" i="1"/>
  <c r="G77" i="1"/>
  <c r="G75" i="1"/>
  <c r="G70" i="1"/>
  <c r="G68" i="1"/>
  <c r="G66" i="1"/>
  <c r="B48" i="1" l="1"/>
  <c r="C48" i="1"/>
  <c r="D48" i="1"/>
  <c r="E48" i="1"/>
  <c r="F48" i="1"/>
  <c r="G48" i="1"/>
  <c r="H48" i="1"/>
  <c r="I48" i="1"/>
  <c r="B47" i="1"/>
  <c r="C47" i="1"/>
  <c r="D47" i="1"/>
  <c r="E47" i="1"/>
  <c r="F47" i="1"/>
  <c r="G47" i="1"/>
  <c r="H47" i="1"/>
  <c r="I47" i="1"/>
  <c r="J47" i="1" l="1"/>
  <c r="J48" i="1"/>
  <c r="G166" i="19"/>
  <c r="O46" i="22" s="1"/>
  <c r="F166" i="19"/>
  <c r="O18" i="22" s="1"/>
  <c r="G155" i="19"/>
  <c r="O35" i="22" s="1"/>
  <c r="F155" i="19"/>
  <c r="O7" i="22" s="1"/>
  <c r="C166" i="19"/>
  <c r="K166" i="19" s="1"/>
  <c r="B166" i="19"/>
  <c r="C155" i="19"/>
  <c r="K155" i="19" s="1"/>
  <c r="B155" i="19"/>
  <c r="N7" i="22" s="1"/>
  <c r="Q32" i="21"/>
  <c r="R32" i="21"/>
  <c r="S32" i="21"/>
  <c r="Q33" i="21"/>
  <c r="R33" i="21"/>
  <c r="S33" i="21"/>
  <c r="K59" i="21" s="1"/>
  <c r="D109" i="19" s="1"/>
  <c r="M109" i="19" s="1"/>
  <c r="R34" i="21"/>
  <c r="S34" i="21"/>
  <c r="K60" i="21" s="1"/>
  <c r="D111" i="19" s="1"/>
  <c r="R35" i="21"/>
  <c r="S35" i="21"/>
  <c r="K61" i="21" s="1"/>
  <c r="D113" i="19" s="1"/>
  <c r="R36" i="21"/>
  <c r="S36" i="21"/>
  <c r="K62" i="21" s="1"/>
  <c r="D115" i="19" s="1"/>
  <c r="R37" i="21"/>
  <c r="S37" i="21"/>
  <c r="K63" i="21" s="1"/>
  <c r="D117" i="19" s="1"/>
  <c r="R38" i="21"/>
  <c r="S38" i="21"/>
  <c r="K64" i="21" s="1"/>
  <c r="D119" i="19" s="1"/>
  <c r="R39" i="21"/>
  <c r="S39" i="21"/>
  <c r="K65" i="21" s="1"/>
  <c r="D121" i="19" s="1"/>
  <c r="R40" i="21"/>
  <c r="S40" i="21"/>
  <c r="K66" i="21" s="1"/>
  <c r="D123" i="19" s="1"/>
  <c r="R41" i="21"/>
  <c r="S41" i="21"/>
  <c r="K67" i="21" s="1"/>
  <c r="Q42" i="21"/>
  <c r="R42" i="21"/>
  <c r="S42" i="21"/>
  <c r="K68" i="21" s="1"/>
  <c r="D128" i="19" s="1"/>
  <c r="M128" i="19" s="1"/>
  <c r="R43" i="21"/>
  <c r="S43" i="21"/>
  <c r="K69" i="21" s="1"/>
  <c r="D130" i="19" s="1"/>
  <c r="R44" i="21"/>
  <c r="S44" i="21"/>
  <c r="K70" i="21" s="1"/>
  <c r="D132" i="19" s="1"/>
  <c r="R45" i="21"/>
  <c r="S45" i="21"/>
  <c r="K71" i="21" s="1"/>
  <c r="D134" i="19" s="1"/>
  <c r="R46" i="21"/>
  <c r="S46" i="21"/>
  <c r="K72" i="21" s="1"/>
  <c r="D136" i="19" s="1"/>
  <c r="R47" i="21"/>
  <c r="S47" i="21"/>
  <c r="K73" i="21" s="1"/>
  <c r="D138" i="19" s="1"/>
  <c r="R48" i="21"/>
  <c r="S48" i="21"/>
  <c r="K74" i="21" s="1"/>
  <c r="D140" i="19" s="1"/>
  <c r="R49" i="21"/>
  <c r="S49" i="21"/>
  <c r="K75" i="21" s="1"/>
  <c r="D142" i="19" s="1"/>
  <c r="R50" i="21"/>
  <c r="S50" i="21"/>
  <c r="K76" i="21" s="1"/>
  <c r="M32" i="21"/>
  <c r="N32" i="21"/>
  <c r="N58" i="21" s="1"/>
  <c r="O32" i="21"/>
  <c r="O58" i="21" s="1"/>
  <c r="M33" i="21"/>
  <c r="M59" i="21" s="1"/>
  <c r="N33" i="21"/>
  <c r="N59" i="21" s="1"/>
  <c r="O33" i="21"/>
  <c r="M34" i="21"/>
  <c r="N34" i="21"/>
  <c r="N60" i="21" s="1"/>
  <c r="O34" i="21"/>
  <c r="M35" i="21"/>
  <c r="N35" i="21"/>
  <c r="N61" i="21" s="1"/>
  <c r="O35" i="21"/>
  <c r="M36" i="21"/>
  <c r="N36" i="21"/>
  <c r="N62" i="21" s="1"/>
  <c r="O36" i="21"/>
  <c r="M37" i="21"/>
  <c r="N37" i="21"/>
  <c r="N63" i="21" s="1"/>
  <c r="O37" i="21"/>
  <c r="M38" i="21"/>
  <c r="N38" i="21"/>
  <c r="N64" i="21" s="1"/>
  <c r="O38" i="21"/>
  <c r="M39" i="21"/>
  <c r="N39" i="21"/>
  <c r="N65" i="21" s="1"/>
  <c r="O39" i="21"/>
  <c r="M40" i="21"/>
  <c r="N40" i="21"/>
  <c r="N66" i="21" s="1"/>
  <c r="O40" i="21"/>
  <c r="M41" i="21"/>
  <c r="N41" i="21"/>
  <c r="N67" i="21" s="1"/>
  <c r="O41" i="21"/>
  <c r="M42" i="21"/>
  <c r="M68" i="21" s="1"/>
  <c r="N42" i="21"/>
  <c r="N68" i="21" s="1"/>
  <c r="O42" i="21"/>
  <c r="M43" i="21"/>
  <c r="N43" i="21"/>
  <c r="N69" i="21" s="1"/>
  <c r="O43" i="21"/>
  <c r="M44" i="21"/>
  <c r="N44" i="21"/>
  <c r="N70" i="21" s="1"/>
  <c r="O44" i="21"/>
  <c r="M45" i="21"/>
  <c r="N45" i="21"/>
  <c r="N71" i="21" s="1"/>
  <c r="O45" i="21"/>
  <c r="M46" i="21"/>
  <c r="N46" i="21"/>
  <c r="N72" i="21" s="1"/>
  <c r="O46" i="21"/>
  <c r="M47" i="21"/>
  <c r="N47" i="21"/>
  <c r="N73" i="21" s="1"/>
  <c r="O47" i="21"/>
  <c r="M48" i="21"/>
  <c r="N48" i="21"/>
  <c r="N74" i="21" s="1"/>
  <c r="O48" i="21"/>
  <c r="M49" i="21"/>
  <c r="N49" i="21"/>
  <c r="N75" i="21" s="1"/>
  <c r="O49" i="21"/>
  <c r="M50" i="21"/>
  <c r="N50" i="21"/>
  <c r="N76" i="21" s="1"/>
  <c r="O50" i="21"/>
  <c r="I32" i="21"/>
  <c r="I58" i="21" s="1"/>
  <c r="J32" i="21"/>
  <c r="J58" i="21" s="1"/>
  <c r="K32" i="21"/>
  <c r="K58" i="21" s="1"/>
  <c r="I33" i="21"/>
  <c r="I59" i="21" s="1"/>
  <c r="J33" i="21"/>
  <c r="J59" i="21" s="1"/>
  <c r="K33" i="21"/>
  <c r="J34" i="21"/>
  <c r="J60" i="21" s="1"/>
  <c r="K34" i="21"/>
  <c r="J35" i="21"/>
  <c r="J61" i="21" s="1"/>
  <c r="K35" i="21"/>
  <c r="J36" i="21"/>
  <c r="J62" i="21" s="1"/>
  <c r="K36" i="21"/>
  <c r="J37" i="21"/>
  <c r="J63" i="21" s="1"/>
  <c r="K37" i="21"/>
  <c r="J38" i="21"/>
  <c r="J64" i="21" s="1"/>
  <c r="K38" i="21"/>
  <c r="J39" i="21"/>
  <c r="J65" i="21" s="1"/>
  <c r="K39" i="21"/>
  <c r="J40" i="21"/>
  <c r="J66" i="21" s="1"/>
  <c r="K40" i="21"/>
  <c r="J41" i="21"/>
  <c r="J67" i="21" s="1"/>
  <c r="K41" i="21"/>
  <c r="I42" i="21"/>
  <c r="I68" i="21" s="1"/>
  <c r="J42" i="21"/>
  <c r="J68" i="21" s="1"/>
  <c r="K42" i="21"/>
  <c r="J43" i="21"/>
  <c r="J69" i="21" s="1"/>
  <c r="K43" i="21"/>
  <c r="J44" i="21"/>
  <c r="J70" i="21" s="1"/>
  <c r="K44" i="21"/>
  <c r="J45" i="21"/>
  <c r="J71" i="21" s="1"/>
  <c r="K45" i="21"/>
  <c r="J46" i="21"/>
  <c r="J72" i="21" s="1"/>
  <c r="K46" i="21"/>
  <c r="J47" i="21"/>
  <c r="J73" i="21" s="1"/>
  <c r="K47" i="21"/>
  <c r="J48" i="21"/>
  <c r="J74" i="21" s="1"/>
  <c r="K48" i="21"/>
  <c r="J49" i="21"/>
  <c r="J75" i="21" s="1"/>
  <c r="K49" i="21"/>
  <c r="J50" i="21"/>
  <c r="J76" i="21" s="1"/>
  <c r="K50" i="21"/>
  <c r="E32" i="21"/>
  <c r="F32" i="21"/>
  <c r="F58" i="21" s="1"/>
  <c r="G32" i="21"/>
  <c r="G58" i="21" s="1"/>
  <c r="E33" i="21"/>
  <c r="E59" i="21" s="1"/>
  <c r="F33" i="21"/>
  <c r="F59" i="21" s="1"/>
  <c r="G33" i="21"/>
  <c r="F34" i="21"/>
  <c r="F60" i="21" s="1"/>
  <c r="G34" i="21"/>
  <c r="F35" i="21"/>
  <c r="F61" i="21" s="1"/>
  <c r="G35" i="21"/>
  <c r="F36" i="21"/>
  <c r="F62" i="21" s="1"/>
  <c r="G36" i="21"/>
  <c r="F37" i="21"/>
  <c r="F63" i="21" s="1"/>
  <c r="G37" i="21"/>
  <c r="F38" i="21"/>
  <c r="F64" i="21" s="1"/>
  <c r="G38" i="21"/>
  <c r="F39" i="21"/>
  <c r="F65" i="21" s="1"/>
  <c r="G39" i="21"/>
  <c r="F40" i="21"/>
  <c r="F66" i="21" s="1"/>
  <c r="G40" i="21"/>
  <c r="F41" i="21"/>
  <c r="F67" i="21" s="1"/>
  <c r="G41" i="21"/>
  <c r="E42" i="21"/>
  <c r="E68" i="21" s="1"/>
  <c r="F42" i="21"/>
  <c r="F68" i="21" s="1"/>
  <c r="G42" i="21"/>
  <c r="F43" i="21"/>
  <c r="F69" i="21" s="1"/>
  <c r="G43" i="21"/>
  <c r="F44" i="21"/>
  <c r="F70" i="21" s="1"/>
  <c r="G44" i="21"/>
  <c r="F45" i="21"/>
  <c r="F71" i="21" s="1"/>
  <c r="G45" i="21"/>
  <c r="F46" i="21"/>
  <c r="F72" i="21" s="1"/>
  <c r="G46" i="21"/>
  <c r="F47" i="21"/>
  <c r="F73" i="21" s="1"/>
  <c r="G47" i="21"/>
  <c r="F48" i="21"/>
  <c r="F74" i="21" s="1"/>
  <c r="G48" i="21"/>
  <c r="F49" i="21"/>
  <c r="F75" i="21" s="1"/>
  <c r="G49" i="21"/>
  <c r="F50" i="21"/>
  <c r="F76" i="21" s="1"/>
  <c r="G50" i="21"/>
  <c r="A32" i="21"/>
  <c r="A58" i="21" s="1"/>
  <c r="B32" i="21"/>
  <c r="B58" i="21" s="1"/>
  <c r="C32" i="21"/>
  <c r="C58" i="21" s="1"/>
  <c r="A33" i="21"/>
  <c r="A59" i="21" s="1"/>
  <c r="B33" i="21"/>
  <c r="B59" i="21" s="1"/>
  <c r="C33" i="21"/>
  <c r="B34" i="21"/>
  <c r="B60" i="21" s="1"/>
  <c r="C34" i="21"/>
  <c r="B35" i="21"/>
  <c r="B61" i="21" s="1"/>
  <c r="C35" i="21"/>
  <c r="B36" i="21"/>
  <c r="B62" i="21" s="1"/>
  <c r="C36" i="21"/>
  <c r="B37" i="21"/>
  <c r="B63" i="21" s="1"/>
  <c r="C37" i="21"/>
  <c r="B38" i="21"/>
  <c r="B64" i="21" s="1"/>
  <c r="C38" i="21"/>
  <c r="B39" i="21"/>
  <c r="B65" i="21" s="1"/>
  <c r="C39" i="21"/>
  <c r="B40" i="21"/>
  <c r="B66" i="21" s="1"/>
  <c r="C40" i="21"/>
  <c r="B41" i="21"/>
  <c r="B67" i="21" s="1"/>
  <c r="C41" i="21"/>
  <c r="A42" i="21"/>
  <c r="A68" i="21" s="1"/>
  <c r="B42" i="21"/>
  <c r="B68" i="21" s="1"/>
  <c r="C42" i="21"/>
  <c r="B43" i="21"/>
  <c r="B69" i="21" s="1"/>
  <c r="C43" i="21"/>
  <c r="B44" i="21"/>
  <c r="B70" i="21" s="1"/>
  <c r="C44" i="21"/>
  <c r="B45" i="21"/>
  <c r="B71" i="21" s="1"/>
  <c r="C45" i="21"/>
  <c r="B46" i="21"/>
  <c r="B72" i="21" s="1"/>
  <c r="C46" i="21"/>
  <c r="B47" i="21"/>
  <c r="B73" i="21" s="1"/>
  <c r="C47" i="21"/>
  <c r="B48" i="21"/>
  <c r="B74" i="21" s="1"/>
  <c r="C48" i="21"/>
  <c r="B49" i="21"/>
  <c r="B75" i="21" s="1"/>
  <c r="C49" i="21"/>
  <c r="B50" i="21"/>
  <c r="B76" i="21" s="1"/>
  <c r="C50" i="21"/>
  <c r="Q6" i="21"/>
  <c r="R6" i="21"/>
  <c r="S6" i="21"/>
  <c r="Q7" i="21"/>
  <c r="R7" i="21"/>
  <c r="S7" i="21"/>
  <c r="C59" i="21" s="1"/>
  <c r="D64" i="19" s="1"/>
  <c r="M64" i="19" s="1"/>
  <c r="R8" i="21"/>
  <c r="S8" i="21"/>
  <c r="C60" i="21" s="1"/>
  <c r="D66" i="19" s="1"/>
  <c r="R9" i="21"/>
  <c r="S9" i="21"/>
  <c r="C61" i="21" s="1"/>
  <c r="D68" i="19" s="1"/>
  <c r="R10" i="21"/>
  <c r="S10" i="21"/>
  <c r="C62" i="21" s="1"/>
  <c r="D70" i="19" s="1"/>
  <c r="R11" i="21"/>
  <c r="S11" i="21"/>
  <c r="C63" i="21" s="1"/>
  <c r="D72" i="19" s="1"/>
  <c r="R12" i="21"/>
  <c r="S12" i="21"/>
  <c r="C64" i="21" s="1"/>
  <c r="D74" i="19" s="1"/>
  <c r="R13" i="21"/>
  <c r="S13" i="21"/>
  <c r="C65" i="21" s="1"/>
  <c r="D76" i="19" s="1"/>
  <c r="R14" i="21"/>
  <c r="S14" i="21"/>
  <c r="C66" i="21" s="1"/>
  <c r="D78" i="19" s="1"/>
  <c r="R15" i="21"/>
  <c r="S15" i="21"/>
  <c r="C67" i="21" s="1"/>
  <c r="Q16" i="21"/>
  <c r="R16" i="21"/>
  <c r="S16" i="21"/>
  <c r="C68" i="21" s="1"/>
  <c r="D83" i="19" s="1"/>
  <c r="M83" i="19" s="1"/>
  <c r="R17" i="21"/>
  <c r="S17" i="21"/>
  <c r="C69" i="21" s="1"/>
  <c r="D85" i="19" s="1"/>
  <c r="R18" i="21"/>
  <c r="S18" i="21"/>
  <c r="C70" i="21" s="1"/>
  <c r="D87" i="19" s="1"/>
  <c r="R19" i="21"/>
  <c r="S19" i="21"/>
  <c r="C71" i="21" s="1"/>
  <c r="D89" i="19" s="1"/>
  <c r="R20" i="21"/>
  <c r="S20" i="21"/>
  <c r="C72" i="21" s="1"/>
  <c r="D91" i="19" s="1"/>
  <c r="R21" i="21"/>
  <c r="S21" i="21"/>
  <c r="C73" i="21" s="1"/>
  <c r="D93" i="19" s="1"/>
  <c r="R22" i="21"/>
  <c r="S22" i="21"/>
  <c r="C74" i="21" s="1"/>
  <c r="D95" i="19" s="1"/>
  <c r="R23" i="21"/>
  <c r="S23" i="21"/>
  <c r="C75" i="21" s="1"/>
  <c r="D97" i="19" s="1"/>
  <c r="R24" i="21"/>
  <c r="S24" i="21"/>
  <c r="C76" i="21" s="1"/>
  <c r="M6" i="21"/>
  <c r="N6" i="21"/>
  <c r="O6" i="21"/>
  <c r="M7" i="21"/>
  <c r="N7" i="21"/>
  <c r="O7" i="21"/>
  <c r="N8" i="21"/>
  <c r="O8" i="21"/>
  <c r="N9" i="21"/>
  <c r="O9" i="21"/>
  <c r="N10" i="21"/>
  <c r="O10" i="21"/>
  <c r="N11" i="21"/>
  <c r="O11" i="21"/>
  <c r="N12" i="21"/>
  <c r="O12" i="21"/>
  <c r="N13" i="21"/>
  <c r="O13" i="21"/>
  <c r="N14" i="21"/>
  <c r="O14" i="21"/>
  <c r="N15" i="21"/>
  <c r="O15" i="21"/>
  <c r="M16" i="21"/>
  <c r="N16" i="21"/>
  <c r="O16" i="21"/>
  <c r="N17" i="21"/>
  <c r="O17" i="21"/>
  <c r="N18" i="21"/>
  <c r="O18" i="21"/>
  <c r="N19" i="21"/>
  <c r="O19" i="21"/>
  <c r="N20" i="21"/>
  <c r="O20" i="21"/>
  <c r="N21" i="21"/>
  <c r="O21" i="21"/>
  <c r="N22" i="21"/>
  <c r="O22" i="21"/>
  <c r="N23" i="21"/>
  <c r="O23" i="21"/>
  <c r="N24" i="21"/>
  <c r="O24" i="21"/>
  <c r="I6" i="21"/>
  <c r="J6" i="21"/>
  <c r="K6" i="21"/>
  <c r="I7" i="21"/>
  <c r="J7" i="21"/>
  <c r="K7" i="21"/>
  <c r="J8" i="21"/>
  <c r="K8" i="21"/>
  <c r="J9" i="21"/>
  <c r="K9" i="21"/>
  <c r="J10" i="21"/>
  <c r="K10" i="21"/>
  <c r="J11" i="21"/>
  <c r="K11" i="21"/>
  <c r="J12" i="21"/>
  <c r="K12" i="21"/>
  <c r="J13" i="21"/>
  <c r="K13" i="21"/>
  <c r="J14" i="21"/>
  <c r="K14" i="21"/>
  <c r="J15" i="21"/>
  <c r="K15" i="21"/>
  <c r="I16" i="21"/>
  <c r="J16" i="21"/>
  <c r="K16" i="21"/>
  <c r="J17" i="21"/>
  <c r="K17" i="21"/>
  <c r="J18" i="21"/>
  <c r="K18" i="21"/>
  <c r="J19" i="21"/>
  <c r="K19" i="21"/>
  <c r="J20" i="21"/>
  <c r="K20" i="21"/>
  <c r="J21" i="21"/>
  <c r="K21" i="21"/>
  <c r="J22" i="21"/>
  <c r="K22" i="21"/>
  <c r="J23" i="21"/>
  <c r="K23" i="21"/>
  <c r="J24" i="21"/>
  <c r="K24" i="21"/>
  <c r="E6" i="21"/>
  <c r="F6" i="21"/>
  <c r="G6" i="21"/>
  <c r="E7" i="21"/>
  <c r="F7" i="21"/>
  <c r="G7" i="21"/>
  <c r="F8" i="21"/>
  <c r="G8" i="21"/>
  <c r="F9" i="21"/>
  <c r="G9" i="21"/>
  <c r="F10" i="21"/>
  <c r="G10" i="21"/>
  <c r="F11" i="21"/>
  <c r="G11" i="21"/>
  <c r="F12" i="21"/>
  <c r="G12" i="21"/>
  <c r="F13" i="21"/>
  <c r="G13" i="21"/>
  <c r="F14" i="21"/>
  <c r="G14" i="21"/>
  <c r="F15" i="21"/>
  <c r="G15" i="21"/>
  <c r="E16" i="21"/>
  <c r="F16" i="21"/>
  <c r="G16" i="21"/>
  <c r="F17" i="21"/>
  <c r="G17" i="21"/>
  <c r="F18" i="21"/>
  <c r="G18" i="21"/>
  <c r="F19" i="21"/>
  <c r="G19" i="21"/>
  <c r="F20" i="21"/>
  <c r="G20" i="21"/>
  <c r="F21" i="21"/>
  <c r="G21" i="21"/>
  <c r="F22" i="21"/>
  <c r="G22" i="21"/>
  <c r="F23" i="21"/>
  <c r="G23" i="21"/>
  <c r="F24" i="21"/>
  <c r="G24" i="21"/>
  <c r="A6" i="21"/>
  <c r="B6" i="21"/>
  <c r="C6" i="21"/>
  <c r="A7" i="21"/>
  <c r="B7" i="21"/>
  <c r="C7" i="21"/>
  <c r="B8" i="21"/>
  <c r="C8" i="21"/>
  <c r="B9" i="21"/>
  <c r="C9" i="21"/>
  <c r="B10" i="21"/>
  <c r="C10" i="21"/>
  <c r="B11" i="21"/>
  <c r="C11" i="21"/>
  <c r="B12" i="21"/>
  <c r="C12" i="21"/>
  <c r="B13" i="21"/>
  <c r="C13" i="21"/>
  <c r="B14" i="21"/>
  <c r="C14" i="21"/>
  <c r="B15" i="21"/>
  <c r="C15" i="21"/>
  <c r="A16" i="21"/>
  <c r="B16" i="21"/>
  <c r="C16" i="21"/>
  <c r="B17" i="21"/>
  <c r="C17" i="21"/>
  <c r="B18" i="21"/>
  <c r="C18" i="21"/>
  <c r="B19" i="21"/>
  <c r="C19" i="21"/>
  <c r="B20" i="21"/>
  <c r="C20" i="21"/>
  <c r="B21" i="21"/>
  <c r="C21" i="21"/>
  <c r="B22" i="21"/>
  <c r="C22" i="21"/>
  <c r="B23" i="21"/>
  <c r="C23" i="21"/>
  <c r="B24" i="21"/>
  <c r="C24" i="21"/>
  <c r="R166" i="19" l="1"/>
  <c r="S155" i="19"/>
  <c r="G66" i="21"/>
  <c r="D79" i="19" s="1"/>
  <c r="G64" i="21"/>
  <c r="D75" i="19" s="1"/>
  <c r="G62" i="21"/>
  <c r="D71" i="19" s="1"/>
  <c r="G60" i="21"/>
  <c r="D67" i="19" s="1"/>
  <c r="O76" i="21"/>
  <c r="O74" i="21"/>
  <c r="O72" i="21"/>
  <c r="D137" i="19" s="1"/>
  <c r="O70" i="21"/>
  <c r="D133" i="19" s="1"/>
  <c r="O68" i="21"/>
  <c r="D129" i="19" s="1"/>
  <c r="M129" i="19" s="1"/>
  <c r="S166" i="19" s="1"/>
  <c r="R155" i="19"/>
  <c r="G67" i="21"/>
  <c r="G65" i="21"/>
  <c r="D77" i="19" s="1"/>
  <c r="G63" i="21"/>
  <c r="D73" i="19" s="1"/>
  <c r="G61" i="21"/>
  <c r="D69" i="19" s="1"/>
  <c r="G59" i="21"/>
  <c r="D65" i="19" s="1"/>
  <c r="M65" i="19" s="1"/>
  <c r="O75" i="21"/>
  <c r="D143" i="19" s="1"/>
  <c r="O73" i="21"/>
  <c r="D139" i="19" s="1"/>
  <c r="O71" i="21"/>
  <c r="D135" i="19" s="1"/>
  <c r="O69" i="21"/>
  <c r="D131" i="19" s="1"/>
  <c r="G75" i="21"/>
  <c r="D98" i="19" s="1"/>
  <c r="G73" i="21"/>
  <c r="D94" i="19" s="1"/>
  <c r="G71" i="21"/>
  <c r="D90" i="19" s="1"/>
  <c r="G69" i="21"/>
  <c r="D86" i="19" s="1"/>
  <c r="O66" i="21"/>
  <c r="D124" i="19" s="1"/>
  <c r="O64" i="21"/>
  <c r="D120" i="19" s="1"/>
  <c r="O62" i="21"/>
  <c r="D116" i="19" s="1"/>
  <c r="O60" i="21"/>
  <c r="D112" i="19" s="1"/>
  <c r="D141" i="19"/>
  <c r="G76" i="21"/>
  <c r="G74" i="21"/>
  <c r="D96" i="19" s="1"/>
  <c r="G72" i="21"/>
  <c r="D92" i="19" s="1"/>
  <c r="G70" i="21"/>
  <c r="D88" i="19" s="1"/>
  <c r="G68" i="21"/>
  <c r="D84" i="19" s="1"/>
  <c r="M84" i="19" s="1"/>
  <c r="O67" i="21"/>
  <c r="O65" i="21"/>
  <c r="D122" i="19" s="1"/>
  <c r="O63" i="21"/>
  <c r="D118" i="19" s="1"/>
  <c r="O61" i="21"/>
  <c r="D114" i="19" s="1"/>
  <c r="O59" i="21"/>
  <c r="D110" i="19" s="1"/>
  <c r="M110" i="19" s="1"/>
  <c r="J155" i="19"/>
  <c r="N18" i="22"/>
  <c r="N46" i="22"/>
  <c r="J166" i="19"/>
  <c r="N35" i="22"/>
  <c r="O102" i="22" l="1"/>
  <c r="O91" i="22"/>
  <c r="N102" i="22"/>
  <c r="N91" i="22"/>
  <c r="D99" i="19"/>
  <c r="D144" i="19"/>
  <c r="D80" i="19"/>
  <c r="D125" i="19"/>
  <c r="D174" i="20"/>
  <c r="D175" i="20"/>
  <c r="D163" i="20"/>
  <c r="D164" i="20"/>
  <c r="F81" i="15" l="1"/>
  <c r="K64" i="22" s="1"/>
  <c r="G81" i="15"/>
  <c r="K92" i="22" s="1"/>
  <c r="F91" i="15"/>
  <c r="K74" i="22" s="1"/>
  <c r="G91" i="15"/>
  <c r="K102" i="22" s="1"/>
  <c r="C80" i="15"/>
  <c r="K7" i="22" s="1"/>
  <c r="D91" i="15"/>
  <c r="K46" i="22" s="1"/>
  <c r="D92" i="15"/>
  <c r="K47" i="22" s="1"/>
  <c r="G81" i="17"/>
  <c r="M92" i="22" s="1"/>
  <c r="B97" i="12"/>
  <c r="B96" i="12"/>
  <c r="B95" i="12"/>
  <c r="B94" i="12"/>
  <c r="B93" i="12"/>
  <c r="B92" i="12"/>
  <c r="B91" i="12"/>
  <c r="B90" i="12"/>
  <c r="B86" i="12"/>
  <c r="B85" i="12"/>
  <c r="B84" i="12"/>
  <c r="B83" i="12"/>
  <c r="B82" i="12"/>
  <c r="B81" i="12"/>
  <c r="B80" i="12"/>
  <c r="B79" i="12"/>
  <c r="B69" i="12"/>
  <c r="B68" i="12"/>
  <c r="B67" i="12"/>
  <c r="B66" i="12"/>
  <c r="B65" i="12"/>
  <c r="B64" i="12"/>
  <c r="B63" i="12"/>
  <c r="B62" i="12"/>
  <c r="B58" i="12"/>
  <c r="B57" i="12"/>
  <c r="B56" i="12"/>
  <c r="B55" i="12"/>
  <c r="B54" i="12"/>
  <c r="B53" i="12"/>
  <c r="B52" i="12"/>
  <c r="B51" i="12"/>
  <c r="A160" i="20"/>
  <c r="C160" i="20"/>
  <c r="B160" i="20"/>
  <c r="C161" i="20"/>
  <c r="D161" i="20"/>
  <c r="A162" i="20"/>
  <c r="A163" i="20"/>
  <c r="A164" i="20"/>
  <c r="A165" i="20"/>
  <c r="A166" i="20"/>
  <c r="A167" i="20"/>
  <c r="A168" i="20"/>
  <c r="A169" i="20"/>
  <c r="A170" i="20"/>
  <c r="A171" i="20"/>
  <c r="A173" i="20"/>
  <c r="A174" i="20"/>
  <c r="A175" i="20"/>
  <c r="A176" i="20"/>
  <c r="A177" i="20"/>
  <c r="A178" i="20"/>
  <c r="A179" i="20"/>
  <c r="A180" i="20"/>
  <c r="A181" i="20"/>
  <c r="A182" i="20"/>
  <c r="B154" i="20"/>
  <c r="B153" i="20"/>
  <c r="B152" i="20"/>
  <c r="B151" i="20"/>
  <c r="B150" i="20"/>
  <c r="B149" i="20"/>
  <c r="B148" i="20"/>
  <c r="B147" i="20"/>
  <c r="B143" i="20"/>
  <c r="B142" i="20"/>
  <c r="B141" i="20"/>
  <c r="B140" i="20"/>
  <c r="B139" i="20"/>
  <c r="B138" i="20"/>
  <c r="B137" i="20"/>
  <c r="B136" i="20"/>
  <c r="K113" i="20"/>
  <c r="K98" i="20"/>
  <c r="C114" i="20"/>
  <c r="C115" i="20"/>
  <c r="C116" i="20"/>
  <c r="C117" i="20"/>
  <c r="C118" i="20"/>
  <c r="C119" i="20"/>
  <c r="C120" i="20"/>
  <c r="C121" i="20"/>
  <c r="C122" i="20"/>
  <c r="C123" i="20"/>
  <c r="C125" i="20"/>
  <c r="B114" i="20"/>
  <c r="B115" i="20"/>
  <c r="B116" i="20"/>
  <c r="B117" i="20"/>
  <c r="B118" i="20"/>
  <c r="B119" i="20"/>
  <c r="B120" i="20"/>
  <c r="B121" i="20"/>
  <c r="B122" i="20"/>
  <c r="B123" i="20"/>
  <c r="B125" i="20"/>
  <c r="A125" i="20"/>
  <c r="C100" i="20"/>
  <c r="C101" i="20"/>
  <c r="C102" i="20"/>
  <c r="C103" i="20"/>
  <c r="C104" i="20"/>
  <c r="C105" i="20"/>
  <c r="C106" i="20"/>
  <c r="C107" i="20"/>
  <c r="C108" i="20"/>
  <c r="C109" i="20"/>
  <c r="C111" i="20"/>
  <c r="B100" i="20"/>
  <c r="B101" i="20"/>
  <c r="B102" i="20"/>
  <c r="B103" i="20"/>
  <c r="B104" i="20"/>
  <c r="B105" i="20"/>
  <c r="B106" i="20"/>
  <c r="B107" i="20"/>
  <c r="B108" i="20"/>
  <c r="B109" i="20"/>
  <c r="B111" i="20"/>
  <c r="A100" i="20"/>
  <c r="A114" i="20" s="1"/>
  <c r="A101" i="20"/>
  <c r="A115" i="20" s="1"/>
  <c r="A102" i="20"/>
  <c r="A116" i="20" s="1"/>
  <c r="A103" i="20"/>
  <c r="A117" i="20" s="1"/>
  <c r="A104" i="20"/>
  <c r="A118" i="20" s="1"/>
  <c r="A105" i="20"/>
  <c r="A119" i="20" s="1"/>
  <c r="A106" i="20"/>
  <c r="A120" i="20" s="1"/>
  <c r="A107" i="20"/>
  <c r="A121" i="20" s="1"/>
  <c r="A108" i="20"/>
  <c r="A122" i="20" s="1"/>
  <c r="A109" i="20"/>
  <c r="A123" i="20" s="1"/>
  <c r="G142" i="19"/>
  <c r="G143" i="19"/>
  <c r="G140" i="19"/>
  <c r="G141" i="19"/>
  <c r="G138" i="19"/>
  <c r="G139" i="19"/>
  <c r="G136" i="19"/>
  <c r="G137" i="19"/>
  <c r="G134" i="19"/>
  <c r="G135" i="19"/>
  <c r="G132" i="19"/>
  <c r="G133" i="19"/>
  <c r="G130" i="19"/>
  <c r="G131" i="19"/>
  <c r="G123" i="19"/>
  <c r="G124" i="19"/>
  <c r="G121" i="19"/>
  <c r="G122" i="19"/>
  <c r="G119" i="19"/>
  <c r="G120" i="19"/>
  <c r="G117" i="19"/>
  <c r="G118" i="19"/>
  <c r="G115" i="19"/>
  <c r="G116" i="19"/>
  <c r="G113" i="19"/>
  <c r="G114" i="19"/>
  <c r="G111" i="19"/>
  <c r="G112" i="19"/>
  <c r="F92" i="17"/>
  <c r="M75" i="22" s="1"/>
  <c r="G92" i="17"/>
  <c r="M103" i="22" s="1"/>
  <c r="G91" i="17"/>
  <c r="M102" i="22" s="1"/>
  <c r="F91" i="17"/>
  <c r="M74" i="22" s="1"/>
  <c r="G80" i="17"/>
  <c r="M91" i="22" s="1"/>
  <c r="F81" i="17"/>
  <c r="M64" i="22" s="1"/>
  <c r="F80" i="17"/>
  <c r="M63" i="22" s="1"/>
  <c r="D92" i="17"/>
  <c r="M47" i="22" s="1"/>
  <c r="D91" i="17"/>
  <c r="M46" i="22" s="1"/>
  <c r="C92" i="17"/>
  <c r="M19" i="22" s="1"/>
  <c r="C91" i="17"/>
  <c r="M18" i="22" s="1"/>
  <c r="D81" i="17"/>
  <c r="M36" i="22" s="1"/>
  <c r="D80" i="17"/>
  <c r="M35" i="22" s="1"/>
  <c r="C81" i="17"/>
  <c r="M8" i="22" s="1"/>
  <c r="C80" i="17"/>
  <c r="M7" i="22" s="1"/>
  <c r="G97" i="19"/>
  <c r="G98" i="19"/>
  <c r="G95" i="19"/>
  <c r="G96" i="19"/>
  <c r="G93" i="19"/>
  <c r="G94" i="19"/>
  <c r="G91" i="19"/>
  <c r="G92" i="19"/>
  <c r="G89" i="19"/>
  <c r="G90" i="19"/>
  <c r="G87" i="19"/>
  <c r="G88" i="19"/>
  <c r="G85" i="19"/>
  <c r="G86" i="19"/>
  <c r="G83" i="19"/>
  <c r="G84" i="19"/>
  <c r="G78" i="19"/>
  <c r="G79" i="19"/>
  <c r="G76" i="19"/>
  <c r="G77" i="19"/>
  <c r="G74" i="19"/>
  <c r="G75" i="19"/>
  <c r="G72" i="19"/>
  <c r="G73" i="19"/>
  <c r="G70" i="19"/>
  <c r="G71" i="19"/>
  <c r="G68" i="19"/>
  <c r="G69" i="19"/>
  <c r="G66" i="19"/>
  <c r="G67" i="19"/>
  <c r="G64" i="19"/>
  <c r="G65" i="19"/>
  <c r="H143" i="19"/>
  <c r="H141" i="19"/>
  <c r="H139" i="19"/>
  <c r="H137" i="19"/>
  <c r="H135" i="19"/>
  <c r="H133" i="19"/>
  <c r="H131" i="19"/>
  <c r="H129" i="19"/>
  <c r="L129" i="19" s="1"/>
  <c r="H124" i="19"/>
  <c r="H122" i="19"/>
  <c r="H120" i="19"/>
  <c r="H118" i="19"/>
  <c r="H116" i="19"/>
  <c r="H114" i="19"/>
  <c r="H112" i="19"/>
  <c r="H130" i="19"/>
  <c r="H132" i="19"/>
  <c r="H134" i="19"/>
  <c r="H136" i="19"/>
  <c r="H138" i="19"/>
  <c r="H140" i="19"/>
  <c r="H142" i="19"/>
  <c r="H128" i="19"/>
  <c r="L128" i="19" s="1"/>
  <c r="H110" i="19"/>
  <c r="L110" i="19" s="1"/>
  <c r="H111" i="19"/>
  <c r="H113" i="19"/>
  <c r="H115" i="19"/>
  <c r="H117" i="19"/>
  <c r="H119" i="19"/>
  <c r="H121" i="19"/>
  <c r="H123" i="19"/>
  <c r="H109" i="19"/>
  <c r="L109" i="19" s="1"/>
  <c r="H98" i="19"/>
  <c r="H96" i="19"/>
  <c r="H94" i="19"/>
  <c r="H92" i="19"/>
  <c r="H90" i="19"/>
  <c r="H88" i="19"/>
  <c r="H86" i="19"/>
  <c r="H84" i="19"/>
  <c r="L84" i="19" s="1"/>
  <c r="H79" i="19"/>
  <c r="H77" i="19"/>
  <c r="H75" i="19"/>
  <c r="H73" i="19"/>
  <c r="H71" i="19"/>
  <c r="H69" i="19"/>
  <c r="H67" i="19"/>
  <c r="H65" i="19"/>
  <c r="L65" i="19" s="1"/>
  <c r="H85" i="19"/>
  <c r="H87" i="19"/>
  <c r="H89" i="19"/>
  <c r="H91" i="19"/>
  <c r="H93" i="19"/>
  <c r="H95" i="19"/>
  <c r="H97" i="19"/>
  <c r="H83" i="19"/>
  <c r="L83" i="19" s="1"/>
  <c r="H66" i="19"/>
  <c r="H68" i="19"/>
  <c r="H70" i="19"/>
  <c r="H72" i="19"/>
  <c r="H74" i="19"/>
  <c r="H76" i="19"/>
  <c r="H78" i="19"/>
  <c r="H64" i="19"/>
  <c r="L64" i="19" s="1"/>
  <c r="D40" i="19"/>
  <c r="F143" i="19" s="1"/>
  <c r="M143" i="19" s="1"/>
  <c r="L143" i="19" s="1"/>
  <c r="D39" i="19"/>
  <c r="F141" i="19" s="1"/>
  <c r="M141" i="19" s="1"/>
  <c r="L141" i="19" s="1"/>
  <c r="D38" i="19"/>
  <c r="F139" i="19" s="1"/>
  <c r="M139" i="19" s="1"/>
  <c r="L139" i="19" s="1"/>
  <c r="D37" i="19"/>
  <c r="F137" i="19" s="1"/>
  <c r="M137" i="19" s="1"/>
  <c r="L137" i="19" s="1"/>
  <c r="D36" i="19"/>
  <c r="F135" i="19" s="1"/>
  <c r="M135" i="19" s="1"/>
  <c r="L135" i="19" s="1"/>
  <c r="D35" i="19"/>
  <c r="F133" i="19" s="1"/>
  <c r="M133" i="19" s="1"/>
  <c r="L133" i="19" s="1"/>
  <c r="D34" i="19"/>
  <c r="F131" i="19" s="1"/>
  <c r="M131" i="19" s="1"/>
  <c r="L131" i="19" s="1"/>
  <c r="C40" i="19"/>
  <c r="F124" i="19" s="1"/>
  <c r="M124" i="19" s="1"/>
  <c r="L124" i="19" s="1"/>
  <c r="C39" i="19"/>
  <c r="F122" i="19" s="1"/>
  <c r="M122" i="19" s="1"/>
  <c r="L122" i="19" s="1"/>
  <c r="C38" i="19"/>
  <c r="F120" i="19" s="1"/>
  <c r="M120" i="19" s="1"/>
  <c r="C37" i="19"/>
  <c r="F118" i="19" s="1"/>
  <c r="M118" i="19" s="1"/>
  <c r="L118" i="19" s="1"/>
  <c r="C36" i="19"/>
  <c r="F116" i="19" s="1"/>
  <c r="M116" i="19" s="1"/>
  <c r="L116" i="19" s="1"/>
  <c r="C35" i="19"/>
  <c r="F114" i="19" s="1"/>
  <c r="M114" i="19" s="1"/>
  <c r="L114" i="19" s="1"/>
  <c r="C34" i="19"/>
  <c r="F112" i="19" s="1"/>
  <c r="M112" i="19" s="1"/>
  <c r="D32" i="19"/>
  <c r="F98" i="19" s="1"/>
  <c r="M98" i="19" s="1"/>
  <c r="L98" i="19" s="1"/>
  <c r="D31" i="19"/>
  <c r="F96" i="19" s="1"/>
  <c r="M96" i="19" s="1"/>
  <c r="L96" i="19" s="1"/>
  <c r="D30" i="19"/>
  <c r="F94" i="19" s="1"/>
  <c r="M94" i="19" s="1"/>
  <c r="D29" i="19"/>
  <c r="F92" i="19" s="1"/>
  <c r="M92" i="19" s="1"/>
  <c r="L92" i="19" s="1"/>
  <c r="D28" i="19"/>
  <c r="F90" i="19" s="1"/>
  <c r="M90" i="19" s="1"/>
  <c r="L90" i="19" s="1"/>
  <c r="D27" i="19"/>
  <c r="F88" i="19" s="1"/>
  <c r="M88" i="19" s="1"/>
  <c r="L88" i="19" s="1"/>
  <c r="D26" i="19"/>
  <c r="F86" i="19" s="1"/>
  <c r="M86" i="19" s="1"/>
  <c r="C32" i="19"/>
  <c r="F79" i="19" s="1"/>
  <c r="M79" i="19" s="1"/>
  <c r="L79" i="19" s="1"/>
  <c r="C31" i="19"/>
  <c r="F77" i="19" s="1"/>
  <c r="M77" i="19" s="1"/>
  <c r="L77" i="19" s="1"/>
  <c r="C30" i="19"/>
  <c r="F75" i="19" s="1"/>
  <c r="M75" i="19" s="1"/>
  <c r="C29" i="19"/>
  <c r="F73" i="19" s="1"/>
  <c r="M73" i="19" s="1"/>
  <c r="L73" i="19" s="1"/>
  <c r="C28" i="19"/>
  <c r="F71" i="19" s="1"/>
  <c r="M71" i="19" s="1"/>
  <c r="L71" i="19" s="1"/>
  <c r="C27" i="19"/>
  <c r="F69" i="19" s="1"/>
  <c r="M69" i="19" s="1"/>
  <c r="L69" i="19" s="1"/>
  <c r="C26" i="19"/>
  <c r="F67" i="19" s="1"/>
  <c r="M67" i="19" s="1"/>
  <c r="B142" i="19"/>
  <c r="B140" i="19"/>
  <c r="B138" i="19"/>
  <c r="B136" i="19"/>
  <c r="B134" i="19"/>
  <c r="B132" i="19"/>
  <c r="B130" i="19"/>
  <c r="B128" i="19"/>
  <c r="B123" i="19"/>
  <c r="B121" i="19"/>
  <c r="B119" i="19"/>
  <c r="B117" i="19"/>
  <c r="B115" i="19"/>
  <c r="B113" i="19"/>
  <c r="B111" i="19"/>
  <c r="B109" i="19"/>
  <c r="B97" i="19"/>
  <c r="B95" i="19"/>
  <c r="B93" i="19"/>
  <c r="B91" i="19"/>
  <c r="B89" i="19"/>
  <c r="B87" i="19"/>
  <c r="B85" i="19"/>
  <c r="B83" i="19"/>
  <c r="B78" i="19"/>
  <c r="B76" i="19"/>
  <c r="B74" i="19"/>
  <c r="B72" i="19"/>
  <c r="B70" i="19"/>
  <c r="B68" i="19"/>
  <c r="B66" i="19"/>
  <c r="B64" i="19"/>
  <c r="D47" i="18"/>
  <c r="D48" i="18"/>
  <c r="D36" i="18"/>
  <c r="D37" i="18"/>
  <c r="B54" i="18"/>
  <c r="B53" i="18"/>
  <c r="B52" i="18"/>
  <c r="B51" i="18"/>
  <c r="B50" i="18"/>
  <c r="B49" i="18"/>
  <c r="B48" i="18"/>
  <c r="B47" i="18"/>
  <c r="B43" i="18"/>
  <c r="B42" i="18"/>
  <c r="B41" i="18"/>
  <c r="B40" i="18"/>
  <c r="B39" i="18"/>
  <c r="B38" i="18"/>
  <c r="B37" i="18"/>
  <c r="B36" i="18"/>
  <c r="B98" i="17"/>
  <c r="B97" i="17"/>
  <c r="B96" i="17"/>
  <c r="B95" i="17"/>
  <c r="B94" i="17"/>
  <c r="B93" i="17"/>
  <c r="B92" i="17"/>
  <c r="B91" i="17"/>
  <c r="B87" i="17"/>
  <c r="B86" i="17"/>
  <c r="B85" i="17"/>
  <c r="B84" i="17"/>
  <c r="B83" i="17"/>
  <c r="B82" i="17"/>
  <c r="B81" i="17"/>
  <c r="B80" i="17"/>
  <c r="B69" i="17"/>
  <c r="B26" i="18" s="1"/>
  <c r="B68" i="17"/>
  <c r="B25" i="18" s="1"/>
  <c r="B67" i="17"/>
  <c r="B24" i="18" s="1"/>
  <c r="B66" i="17"/>
  <c r="B23" i="18" s="1"/>
  <c r="B65" i="17"/>
  <c r="B22" i="18" s="1"/>
  <c r="B64" i="17"/>
  <c r="B21" i="18" s="1"/>
  <c r="B63" i="17"/>
  <c r="B20" i="18" s="1"/>
  <c r="B62" i="17"/>
  <c r="B19" i="18" s="1"/>
  <c r="B58" i="17"/>
  <c r="B15" i="18" s="1"/>
  <c r="B57" i="17"/>
  <c r="B14" i="18" s="1"/>
  <c r="B56" i="17"/>
  <c r="B13" i="18" s="1"/>
  <c r="B55" i="17"/>
  <c r="B12" i="18" s="1"/>
  <c r="B54" i="17"/>
  <c r="B11" i="18" s="1"/>
  <c r="B53" i="17"/>
  <c r="B10" i="18" s="1"/>
  <c r="B52" i="17"/>
  <c r="B9" i="18" s="1"/>
  <c r="B51" i="17"/>
  <c r="B8" i="18" s="1"/>
  <c r="G92" i="15"/>
  <c r="K103" i="22" s="1"/>
  <c r="F92" i="15"/>
  <c r="K75" i="22" s="1"/>
  <c r="G80" i="15"/>
  <c r="K91" i="22" s="1"/>
  <c r="F80" i="15"/>
  <c r="K63" i="22" s="1"/>
  <c r="C92" i="15"/>
  <c r="K19" i="22" s="1"/>
  <c r="C91" i="15"/>
  <c r="K18" i="22" s="1"/>
  <c r="D81" i="15"/>
  <c r="K36" i="22" s="1"/>
  <c r="D80" i="15"/>
  <c r="K35" i="22" s="1"/>
  <c r="C81" i="15"/>
  <c r="K8" i="22" s="1"/>
  <c r="B98" i="15"/>
  <c r="B26" i="16" s="1"/>
  <c r="B97" i="15"/>
  <c r="B25" i="16" s="1"/>
  <c r="B96" i="15"/>
  <c r="B24" i="16" s="1"/>
  <c r="B95" i="15"/>
  <c r="B23" i="16" s="1"/>
  <c r="B94" i="15"/>
  <c r="B22" i="16" s="1"/>
  <c r="B93" i="15"/>
  <c r="B21" i="16" s="1"/>
  <c r="B92" i="15"/>
  <c r="B20" i="16" s="1"/>
  <c r="B91" i="15"/>
  <c r="B19" i="16" s="1"/>
  <c r="B87" i="15"/>
  <c r="B15" i="16" s="1"/>
  <c r="B86" i="15"/>
  <c r="B14" i="16" s="1"/>
  <c r="B85" i="15"/>
  <c r="B13" i="16" s="1"/>
  <c r="B84" i="15"/>
  <c r="B12" i="16" s="1"/>
  <c r="B83" i="15"/>
  <c r="B11" i="16" s="1"/>
  <c r="B82" i="15"/>
  <c r="B10" i="16" s="1"/>
  <c r="B81" i="15"/>
  <c r="B9" i="16" s="1"/>
  <c r="B80" i="15"/>
  <c r="B8" i="16" s="1"/>
  <c r="L75" i="1"/>
  <c r="B102" i="22" s="1"/>
  <c r="L76" i="1"/>
  <c r="B103" i="22" s="1"/>
  <c r="L77" i="1"/>
  <c r="B104" i="22" s="1"/>
  <c r="L78" i="1"/>
  <c r="B105" i="22" s="1"/>
  <c r="L79" i="1"/>
  <c r="B106" i="22" s="1"/>
  <c r="L80" i="1"/>
  <c r="B107" i="22" s="1"/>
  <c r="L81" i="1"/>
  <c r="B108" i="22" s="1"/>
  <c r="L82" i="1"/>
  <c r="B109" i="22" s="1"/>
  <c r="L64" i="1"/>
  <c r="B91" i="22" s="1"/>
  <c r="L65" i="1"/>
  <c r="B92" i="22" s="1"/>
  <c r="L66" i="1"/>
  <c r="B93" i="22" s="1"/>
  <c r="L67" i="1"/>
  <c r="B94" i="22" s="1"/>
  <c r="L68" i="1"/>
  <c r="B95" i="22" s="1"/>
  <c r="L69" i="1"/>
  <c r="B96" i="22" s="1"/>
  <c r="L70" i="1"/>
  <c r="B97" i="22" s="1"/>
  <c r="L71" i="1"/>
  <c r="B98" i="22" s="1"/>
  <c r="B54" i="16"/>
  <c r="B181" i="20" s="1"/>
  <c r="B53" i="16"/>
  <c r="B180" i="20" s="1"/>
  <c r="B52" i="16"/>
  <c r="B179" i="20" s="1"/>
  <c r="B51" i="16"/>
  <c r="B178" i="20" s="1"/>
  <c r="B50" i="16"/>
  <c r="B177" i="20" s="1"/>
  <c r="B49" i="16"/>
  <c r="B176" i="20" s="1"/>
  <c r="B48" i="16"/>
  <c r="B175" i="20" s="1"/>
  <c r="B47" i="16"/>
  <c r="B43" i="16"/>
  <c r="B42" i="16"/>
  <c r="B169" i="20" s="1"/>
  <c r="B41" i="16"/>
  <c r="B40" i="16"/>
  <c r="B39" i="16"/>
  <c r="B38" i="16"/>
  <c r="B37" i="16"/>
  <c r="B164" i="20" s="1"/>
  <c r="B36" i="16"/>
  <c r="B69" i="15"/>
  <c r="B68" i="15"/>
  <c r="B67" i="15"/>
  <c r="B66" i="15"/>
  <c r="B65" i="15"/>
  <c r="B64" i="15"/>
  <c r="B63" i="15"/>
  <c r="B62" i="15"/>
  <c r="B58" i="15"/>
  <c r="B57" i="15"/>
  <c r="B56" i="15"/>
  <c r="B55" i="15"/>
  <c r="B54" i="15"/>
  <c r="B53" i="15"/>
  <c r="B52" i="15"/>
  <c r="B51" i="15"/>
  <c r="O166" i="19" l="1"/>
  <c r="L112" i="19"/>
  <c r="L120" i="19"/>
  <c r="L86" i="19"/>
  <c r="L94" i="19"/>
  <c r="L67" i="19"/>
  <c r="L75" i="19"/>
  <c r="N155" i="19"/>
  <c r="N166" i="19"/>
  <c r="O155" i="19"/>
  <c r="C169" i="20"/>
  <c r="C165" i="20"/>
  <c r="C180" i="20"/>
  <c r="C176" i="20"/>
  <c r="C168" i="20"/>
  <c r="C164" i="20"/>
  <c r="E123" i="1"/>
  <c r="C179" i="20"/>
  <c r="C175" i="20"/>
  <c r="E134" i="1"/>
  <c r="C167" i="20"/>
  <c r="C163" i="20"/>
  <c r="E122" i="1"/>
  <c r="C178" i="20"/>
  <c r="C174" i="20"/>
  <c r="E133" i="1"/>
  <c r="C170" i="20"/>
  <c r="C166" i="20"/>
  <c r="C181" i="20"/>
  <c r="C177" i="20"/>
  <c r="B59" i="12"/>
  <c r="B70" i="12"/>
  <c r="B87" i="12"/>
  <c r="B98" i="12"/>
  <c r="B59" i="17"/>
  <c r="B16" i="18" s="1"/>
  <c r="L95" i="1"/>
  <c r="C93" i="22" s="1"/>
  <c r="L97" i="1"/>
  <c r="C95" i="22" s="1"/>
  <c r="L111" i="1"/>
  <c r="C109" i="22" s="1"/>
  <c r="L107" i="1"/>
  <c r="C105" i="22" s="1"/>
  <c r="C42" i="16"/>
  <c r="C38" i="16"/>
  <c r="C54" i="16"/>
  <c r="E54" i="16" s="1"/>
  <c r="C50" i="16"/>
  <c r="B88" i="15"/>
  <c r="B16" i="16" s="1"/>
  <c r="B99" i="15"/>
  <c r="B27" i="16" s="1"/>
  <c r="C43" i="18"/>
  <c r="E43" i="18" s="1"/>
  <c r="C39" i="18"/>
  <c r="C51" i="18"/>
  <c r="C47" i="18"/>
  <c r="E47" i="18" s="1"/>
  <c r="B144" i="20"/>
  <c r="L100" i="1"/>
  <c r="C98" i="22" s="1"/>
  <c r="L96" i="1"/>
  <c r="C94" i="22" s="1"/>
  <c r="L110" i="1"/>
  <c r="C108" i="22" s="1"/>
  <c r="C41" i="16"/>
  <c r="E41" i="16" s="1"/>
  <c r="C37" i="16"/>
  <c r="C53" i="16"/>
  <c r="C49" i="16"/>
  <c r="C42" i="18"/>
  <c r="E42" i="18" s="1"/>
  <c r="C38" i="18"/>
  <c r="C54" i="18"/>
  <c r="C50" i="18"/>
  <c r="B59" i="15"/>
  <c r="B70" i="15"/>
  <c r="B44" i="16"/>
  <c r="B171" i="20" s="1"/>
  <c r="B55" i="16"/>
  <c r="B182" i="20" s="1"/>
  <c r="L72" i="1"/>
  <c r="B99" i="22" s="1"/>
  <c r="L99" i="1"/>
  <c r="C97" i="22" s="1"/>
  <c r="L109" i="1"/>
  <c r="C107" i="22" s="1"/>
  <c r="C40" i="16"/>
  <c r="E40" i="16" s="1"/>
  <c r="C36" i="16"/>
  <c r="C52" i="16"/>
  <c r="C48" i="16"/>
  <c r="E48" i="16" s="1"/>
  <c r="C41" i="18"/>
  <c r="C37" i="18"/>
  <c r="C53" i="18"/>
  <c r="C49" i="18"/>
  <c r="E49" i="18" s="1"/>
  <c r="L83" i="1"/>
  <c r="B110" i="22" s="1"/>
  <c r="L98" i="1"/>
  <c r="C96" i="22" s="1"/>
  <c r="L106" i="1"/>
  <c r="C104" i="22" s="1"/>
  <c r="L108" i="1"/>
  <c r="C106" i="22" s="1"/>
  <c r="C43" i="16"/>
  <c r="E43" i="16" s="1"/>
  <c r="C39" i="16"/>
  <c r="E39" i="16" s="1"/>
  <c r="C51" i="16"/>
  <c r="C47" i="16"/>
  <c r="E47" i="16" s="1"/>
  <c r="B70" i="17"/>
  <c r="B27" i="18" s="1"/>
  <c r="C40" i="18"/>
  <c r="E40" i="18" s="1"/>
  <c r="C36" i="18"/>
  <c r="C52" i="18"/>
  <c r="E52" i="18" s="1"/>
  <c r="C48" i="18"/>
  <c r="E48" i="18" s="1"/>
  <c r="E66" i="19"/>
  <c r="E67" i="19"/>
  <c r="E71" i="19"/>
  <c r="E70" i="19"/>
  <c r="E74" i="19"/>
  <c r="E75" i="19"/>
  <c r="E79" i="19"/>
  <c r="E78" i="19"/>
  <c r="E85" i="19"/>
  <c r="E86" i="19"/>
  <c r="E90" i="19"/>
  <c r="E89" i="19"/>
  <c r="E93" i="19"/>
  <c r="E94" i="19"/>
  <c r="E98" i="19"/>
  <c r="E97" i="19"/>
  <c r="E112" i="19"/>
  <c r="E111" i="19"/>
  <c r="E116" i="19"/>
  <c r="E115" i="19"/>
  <c r="E120" i="19"/>
  <c r="E119" i="19"/>
  <c r="E124" i="19"/>
  <c r="E123" i="19"/>
  <c r="E130" i="19"/>
  <c r="E131" i="19"/>
  <c r="E134" i="19"/>
  <c r="E135" i="19"/>
  <c r="E138" i="19"/>
  <c r="E139" i="19"/>
  <c r="E142" i="19"/>
  <c r="E143" i="19"/>
  <c r="I69" i="19"/>
  <c r="J69" i="19"/>
  <c r="I73" i="19"/>
  <c r="J73" i="19"/>
  <c r="I77" i="19"/>
  <c r="J77" i="19"/>
  <c r="I86" i="19"/>
  <c r="J86" i="19"/>
  <c r="I90" i="19"/>
  <c r="J90" i="19"/>
  <c r="I94" i="19"/>
  <c r="J94" i="19"/>
  <c r="I98" i="19"/>
  <c r="J98" i="19"/>
  <c r="J114" i="19"/>
  <c r="I114" i="19"/>
  <c r="J118" i="19"/>
  <c r="I118" i="19"/>
  <c r="J122" i="19"/>
  <c r="I122" i="19"/>
  <c r="J131" i="19"/>
  <c r="I131" i="19"/>
  <c r="J135" i="19"/>
  <c r="I135" i="19"/>
  <c r="J139" i="19"/>
  <c r="I139" i="19"/>
  <c r="J143" i="19"/>
  <c r="I143" i="19"/>
  <c r="E64" i="19"/>
  <c r="E65" i="19"/>
  <c r="E68" i="19"/>
  <c r="E69" i="19"/>
  <c r="E72" i="19"/>
  <c r="E73" i="19"/>
  <c r="E76" i="19"/>
  <c r="E77" i="19"/>
  <c r="E84" i="19"/>
  <c r="E83" i="19"/>
  <c r="E88" i="19"/>
  <c r="E87" i="19"/>
  <c r="E92" i="19"/>
  <c r="E91" i="19"/>
  <c r="E96" i="19"/>
  <c r="E95" i="19"/>
  <c r="E109" i="19"/>
  <c r="E110" i="19"/>
  <c r="E113" i="19"/>
  <c r="E114" i="19"/>
  <c r="E117" i="19"/>
  <c r="E118" i="19"/>
  <c r="E121" i="19"/>
  <c r="E122" i="19"/>
  <c r="E128" i="19"/>
  <c r="E129" i="19"/>
  <c r="E132" i="19"/>
  <c r="E133" i="19"/>
  <c r="E136" i="19"/>
  <c r="E137" i="19"/>
  <c r="E140" i="19"/>
  <c r="E141" i="19"/>
  <c r="I67" i="19"/>
  <c r="J67" i="19"/>
  <c r="I71" i="19"/>
  <c r="J71" i="19"/>
  <c r="I75" i="19"/>
  <c r="J75" i="19"/>
  <c r="I79" i="19"/>
  <c r="J79" i="19"/>
  <c r="I88" i="19"/>
  <c r="J88" i="19"/>
  <c r="I92" i="19"/>
  <c r="J92" i="19"/>
  <c r="I96" i="19"/>
  <c r="J96" i="19"/>
  <c r="I112" i="19"/>
  <c r="J112" i="19"/>
  <c r="I116" i="19"/>
  <c r="J116" i="19"/>
  <c r="I120" i="19"/>
  <c r="J120" i="19"/>
  <c r="I124" i="19"/>
  <c r="J124" i="19"/>
  <c r="I133" i="19"/>
  <c r="J133" i="19"/>
  <c r="I137" i="19"/>
  <c r="J137" i="19"/>
  <c r="I141" i="19"/>
  <c r="J141" i="19"/>
  <c r="E36" i="16"/>
  <c r="E37" i="16"/>
  <c r="E42" i="16"/>
  <c r="E49" i="16"/>
  <c r="E51" i="16"/>
  <c r="E53" i="16"/>
  <c r="B170" i="20"/>
  <c r="B168" i="20"/>
  <c r="B167" i="20"/>
  <c r="B166" i="20"/>
  <c r="B165" i="20"/>
  <c r="B163" i="20"/>
  <c r="E38" i="16"/>
  <c r="E50" i="16"/>
  <c r="E52" i="16"/>
  <c r="B88" i="17"/>
  <c r="B99" i="17"/>
  <c r="B155" i="20"/>
  <c r="B174" i="20"/>
  <c r="B110" i="20"/>
  <c r="D107" i="20" s="1"/>
  <c r="F107" i="20" s="1"/>
  <c r="H107" i="20" s="1"/>
  <c r="C124" i="20"/>
  <c r="E120" i="20" s="1"/>
  <c r="G120" i="20" s="1"/>
  <c r="I120" i="20" s="1"/>
  <c r="K106" i="20"/>
  <c r="K120" i="20" s="1"/>
  <c r="K104" i="20"/>
  <c r="K118" i="20" s="1"/>
  <c r="K102" i="20"/>
  <c r="K116" i="20" s="1"/>
  <c r="K100" i="20"/>
  <c r="K114" i="20" s="1"/>
  <c r="C110" i="20"/>
  <c r="E102" i="20" s="1"/>
  <c r="G102" i="20" s="1"/>
  <c r="I102" i="20" s="1"/>
  <c r="B124" i="20"/>
  <c r="D122" i="20" s="1"/>
  <c r="F122" i="20" s="1"/>
  <c r="H122" i="20" s="1"/>
  <c r="E106" i="20"/>
  <c r="G106" i="20" s="1"/>
  <c r="I106" i="20" s="1"/>
  <c r="E122" i="20"/>
  <c r="G122" i="20" s="1"/>
  <c r="I122" i="20" s="1"/>
  <c r="E121" i="20"/>
  <c r="G121" i="20" s="1"/>
  <c r="I121" i="20" s="1"/>
  <c r="E118" i="20"/>
  <c r="G118" i="20" s="1"/>
  <c r="I118" i="20" s="1"/>
  <c r="E117" i="20"/>
  <c r="G117" i="20" s="1"/>
  <c r="I117" i="20" s="1"/>
  <c r="K107" i="20"/>
  <c r="K121" i="20" s="1"/>
  <c r="K105" i="20"/>
  <c r="K119" i="20" s="1"/>
  <c r="K103" i="20"/>
  <c r="K117" i="20" s="1"/>
  <c r="K101" i="20"/>
  <c r="K115" i="20" s="1"/>
  <c r="E53" i="18"/>
  <c r="E51" i="18"/>
  <c r="E41" i="18"/>
  <c r="E39" i="18"/>
  <c r="E37" i="18"/>
  <c r="B44" i="18"/>
  <c r="B55" i="18"/>
  <c r="E38" i="18"/>
  <c r="E36" i="18"/>
  <c r="E54" i="18"/>
  <c r="E50" i="18"/>
  <c r="F66" i="19"/>
  <c r="M66" i="19" s="1"/>
  <c r="F68" i="19"/>
  <c r="M68" i="19" s="1"/>
  <c r="F70" i="19"/>
  <c r="M70" i="19" s="1"/>
  <c r="F72" i="19"/>
  <c r="M72" i="19" s="1"/>
  <c r="F74" i="19"/>
  <c r="M74" i="19" s="1"/>
  <c r="L74" i="19" s="1"/>
  <c r="F76" i="19"/>
  <c r="M76" i="19" s="1"/>
  <c r="R160" i="19" s="1"/>
  <c r="N96" i="22" s="1"/>
  <c r="F78" i="19"/>
  <c r="M78" i="19" s="1"/>
  <c r="F85" i="19"/>
  <c r="M85" i="19" s="1"/>
  <c r="F87" i="19"/>
  <c r="M87" i="19" s="1"/>
  <c r="F89" i="19"/>
  <c r="M89" i="19" s="1"/>
  <c r="F91" i="19"/>
  <c r="M91" i="19" s="1"/>
  <c r="F93" i="19"/>
  <c r="M93" i="19" s="1"/>
  <c r="F97" i="19"/>
  <c r="M97" i="19" s="1"/>
  <c r="F111" i="19"/>
  <c r="M111" i="19" s="1"/>
  <c r="F113" i="19"/>
  <c r="M113" i="19" s="1"/>
  <c r="F115" i="19"/>
  <c r="M115" i="19" s="1"/>
  <c r="F117" i="19"/>
  <c r="M117" i="19" s="1"/>
  <c r="F119" i="19"/>
  <c r="M119" i="19" s="1"/>
  <c r="F121" i="19"/>
  <c r="M121" i="19" s="1"/>
  <c r="F123" i="19"/>
  <c r="M123" i="19" s="1"/>
  <c r="F130" i="19"/>
  <c r="M130" i="19" s="1"/>
  <c r="F132" i="19"/>
  <c r="M132" i="19" s="1"/>
  <c r="F134" i="19"/>
  <c r="M134" i="19" s="1"/>
  <c r="F136" i="19"/>
  <c r="M136" i="19" s="1"/>
  <c r="F138" i="19"/>
  <c r="M138" i="19" s="1"/>
  <c r="F140" i="19"/>
  <c r="M140" i="19" s="1"/>
  <c r="F142" i="19"/>
  <c r="M142" i="19" s="1"/>
  <c r="F95" i="19"/>
  <c r="M95" i="19" s="1"/>
  <c r="B80" i="19"/>
  <c r="B99" i="19"/>
  <c r="B125" i="19"/>
  <c r="B144" i="19"/>
  <c r="H119" i="13"/>
  <c r="H120" i="13"/>
  <c r="H121" i="13"/>
  <c r="H122" i="13"/>
  <c r="H123" i="13"/>
  <c r="H124" i="13"/>
  <c r="H125" i="13"/>
  <c r="H126" i="13"/>
  <c r="H127" i="13"/>
  <c r="H128" i="13"/>
  <c r="H129" i="13"/>
  <c r="H130" i="13"/>
  <c r="H131" i="13"/>
  <c r="H132" i="13"/>
  <c r="H133" i="13"/>
  <c r="H137" i="13"/>
  <c r="H138" i="13"/>
  <c r="H139" i="13"/>
  <c r="H140" i="13"/>
  <c r="H141" i="13"/>
  <c r="H142" i="13"/>
  <c r="H143" i="13"/>
  <c r="H144" i="13"/>
  <c r="H145" i="13"/>
  <c r="H146" i="13"/>
  <c r="H147" i="13"/>
  <c r="H148" i="13"/>
  <c r="H149" i="13"/>
  <c r="H150" i="13"/>
  <c r="H151" i="13"/>
  <c r="H152" i="13"/>
  <c r="H118" i="13"/>
  <c r="G137" i="13"/>
  <c r="G138" i="13"/>
  <c r="G139" i="13"/>
  <c r="G140" i="13"/>
  <c r="G141" i="13"/>
  <c r="G142" i="13"/>
  <c r="G143" i="13"/>
  <c r="G144" i="13"/>
  <c r="G145" i="13"/>
  <c r="G146" i="13"/>
  <c r="G147" i="13"/>
  <c r="G148" i="13"/>
  <c r="G149" i="13"/>
  <c r="G150" i="13"/>
  <c r="G151" i="13"/>
  <c r="G152" i="13"/>
  <c r="G118" i="13"/>
  <c r="G119" i="13"/>
  <c r="G120" i="13"/>
  <c r="G121" i="13"/>
  <c r="G122" i="13"/>
  <c r="G123" i="13"/>
  <c r="G124" i="13"/>
  <c r="G125" i="13"/>
  <c r="G126" i="13"/>
  <c r="G127" i="13"/>
  <c r="G128" i="13"/>
  <c r="G129" i="13"/>
  <c r="G130" i="13"/>
  <c r="G131" i="13"/>
  <c r="G132" i="13"/>
  <c r="G133" i="13"/>
  <c r="F152" i="13"/>
  <c r="F150" i="13"/>
  <c r="F148" i="13"/>
  <c r="F146" i="13"/>
  <c r="F144" i="13"/>
  <c r="F142" i="13"/>
  <c r="F140" i="13"/>
  <c r="F138" i="13"/>
  <c r="F133" i="13"/>
  <c r="F131" i="13"/>
  <c r="F129" i="13"/>
  <c r="F127" i="13"/>
  <c r="F125" i="13"/>
  <c r="F123" i="13"/>
  <c r="F121" i="13"/>
  <c r="F119" i="13"/>
  <c r="H74" i="13"/>
  <c r="H75" i="13"/>
  <c r="H76" i="13"/>
  <c r="H77" i="13"/>
  <c r="H78" i="13"/>
  <c r="H79" i="13"/>
  <c r="H80" i="13"/>
  <c r="H81" i="13"/>
  <c r="H82" i="13"/>
  <c r="H83" i="13"/>
  <c r="H84" i="13"/>
  <c r="H85" i="13"/>
  <c r="H86" i="13"/>
  <c r="H87" i="13"/>
  <c r="H88" i="13"/>
  <c r="H92" i="13"/>
  <c r="H93" i="13"/>
  <c r="H94" i="13"/>
  <c r="H95" i="13"/>
  <c r="H96" i="13"/>
  <c r="H97" i="13"/>
  <c r="H98" i="13"/>
  <c r="H99" i="13"/>
  <c r="H100" i="13"/>
  <c r="H101" i="13"/>
  <c r="H102" i="13"/>
  <c r="H103" i="13"/>
  <c r="H104" i="13"/>
  <c r="H105" i="13"/>
  <c r="H106" i="13"/>
  <c r="H107" i="13"/>
  <c r="H73" i="13"/>
  <c r="G92" i="13"/>
  <c r="G93" i="13"/>
  <c r="G94" i="13"/>
  <c r="G95" i="13"/>
  <c r="G96" i="13"/>
  <c r="G97" i="13"/>
  <c r="G98" i="13"/>
  <c r="G99" i="13"/>
  <c r="G100" i="13"/>
  <c r="G101" i="13"/>
  <c r="G102" i="13"/>
  <c r="G103" i="13"/>
  <c r="G104" i="13"/>
  <c r="G105" i="13"/>
  <c r="G106" i="13"/>
  <c r="G107" i="13"/>
  <c r="F107" i="13"/>
  <c r="F105" i="13"/>
  <c r="F103" i="13"/>
  <c r="F101" i="13"/>
  <c r="F99" i="13"/>
  <c r="F97" i="13"/>
  <c r="F95" i="13"/>
  <c r="F93" i="13"/>
  <c r="E107" i="13"/>
  <c r="E106" i="13"/>
  <c r="F88" i="13"/>
  <c r="F86" i="13"/>
  <c r="F84" i="13"/>
  <c r="F82" i="13"/>
  <c r="F80" i="13"/>
  <c r="F78" i="13"/>
  <c r="F76" i="13"/>
  <c r="F74" i="13"/>
  <c r="E88" i="13"/>
  <c r="E87" i="13"/>
  <c r="G73" i="13"/>
  <c r="G74" i="13"/>
  <c r="G75" i="13"/>
  <c r="G76" i="13"/>
  <c r="G77" i="13"/>
  <c r="G78" i="13"/>
  <c r="G79" i="13"/>
  <c r="G80" i="13"/>
  <c r="G81" i="13"/>
  <c r="G82" i="13"/>
  <c r="G83" i="13"/>
  <c r="G84" i="13"/>
  <c r="G85" i="13"/>
  <c r="G86" i="13"/>
  <c r="G87" i="13"/>
  <c r="G88" i="13"/>
  <c r="B151" i="13"/>
  <c r="B149" i="13"/>
  <c r="B147" i="13"/>
  <c r="B145" i="13"/>
  <c r="B143" i="13"/>
  <c r="B141" i="13"/>
  <c r="B139" i="13"/>
  <c r="D140" i="13" s="1"/>
  <c r="B137" i="13"/>
  <c r="B132" i="13"/>
  <c r="B130" i="13"/>
  <c r="B128" i="13"/>
  <c r="B126" i="13"/>
  <c r="B124" i="13"/>
  <c r="B122" i="13"/>
  <c r="B120" i="13"/>
  <c r="D121" i="13" s="1"/>
  <c r="B118" i="13"/>
  <c r="D118" i="13" s="1"/>
  <c r="A130" i="14"/>
  <c r="D116" i="14"/>
  <c r="D130" i="14" s="1"/>
  <c r="E116" i="14"/>
  <c r="E130" i="14" s="1"/>
  <c r="F116" i="14"/>
  <c r="F130" i="14" s="1"/>
  <c r="G116" i="14"/>
  <c r="G130" i="14" s="1"/>
  <c r="H116" i="14"/>
  <c r="H130" i="14" s="1"/>
  <c r="I116" i="14"/>
  <c r="I130" i="14" s="1"/>
  <c r="J116" i="14"/>
  <c r="J130" i="14" s="1"/>
  <c r="B57" i="14"/>
  <c r="C57" i="14"/>
  <c r="D57" i="14"/>
  <c r="E57" i="14"/>
  <c r="F57" i="14"/>
  <c r="G57" i="14"/>
  <c r="H57" i="14"/>
  <c r="I57" i="14"/>
  <c r="A58" i="14"/>
  <c r="A72" i="14" s="1"/>
  <c r="A59" i="14"/>
  <c r="A73" i="14" s="1"/>
  <c r="A60" i="14"/>
  <c r="A74" i="14" s="1"/>
  <c r="A61" i="14"/>
  <c r="A75" i="14" s="1"/>
  <c r="A62" i="14"/>
  <c r="A76" i="14" s="1"/>
  <c r="A63" i="14"/>
  <c r="A77" i="14" s="1"/>
  <c r="A64" i="14"/>
  <c r="A78" i="14" s="1"/>
  <c r="A65" i="14"/>
  <c r="A79" i="14" s="1"/>
  <c r="A66" i="14"/>
  <c r="A80" i="14" s="1"/>
  <c r="A117" i="14"/>
  <c r="B116" i="14" s="1"/>
  <c r="B130" i="14" s="1"/>
  <c r="A118" i="14"/>
  <c r="C116" i="14" s="1"/>
  <c r="C130" i="14" s="1"/>
  <c r="A119" i="14"/>
  <c r="A133" i="14" s="1"/>
  <c r="A120" i="14"/>
  <c r="A134" i="14" s="1"/>
  <c r="A121" i="14"/>
  <c r="A135" i="14" s="1"/>
  <c r="A122" i="14"/>
  <c r="A136" i="14" s="1"/>
  <c r="A123" i="14"/>
  <c r="A137" i="14" s="1"/>
  <c r="A124" i="14"/>
  <c r="A138" i="14" s="1"/>
  <c r="A125" i="14"/>
  <c r="A139" i="14" s="1"/>
  <c r="I71" i="14"/>
  <c r="H71" i="14"/>
  <c r="G71" i="14"/>
  <c r="F71" i="14"/>
  <c r="E71" i="14"/>
  <c r="D71" i="14"/>
  <c r="C71" i="14"/>
  <c r="B71" i="14"/>
  <c r="A44" i="14"/>
  <c r="A102" i="14" s="1"/>
  <c r="A45" i="14"/>
  <c r="A103" i="14" s="1"/>
  <c r="A46" i="14"/>
  <c r="A104" i="14" s="1"/>
  <c r="A47" i="14"/>
  <c r="A105" i="14" s="1"/>
  <c r="A48" i="14"/>
  <c r="A106" i="14" s="1"/>
  <c r="A49" i="14"/>
  <c r="A107" i="14" s="1"/>
  <c r="A50" i="14"/>
  <c r="A108" i="14" s="1"/>
  <c r="A51" i="14"/>
  <c r="A109" i="14" s="1"/>
  <c r="A52" i="14"/>
  <c r="A110" i="14" s="1"/>
  <c r="D20" i="14"/>
  <c r="B20" i="14" s="1"/>
  <c r="E20" i="14"/>
  <c r="C20" i="14" s="1"/>
  <c r="D21" i="14"/>
  <c r="B21" i="14" s="1"/>
  <c r="E21" i="14"/>
  <c r="C21" i="14" s="1"/>
  <c r="B106" i="13"/>
  <c r="B104" i="13"/>
  <c r="B102" i="13"/>
  <c r="B100" i="13"/>
  <c r="B98" i="13"/>
  <c r="B96" i="13"/>
  <c r="B94" i="13"/>
  <c r="B92" i="13"/>
  <c r="D92" i="13" s="1"/>
  <c r="B87" i="13"/>
  <c r="B85" i="13"/>
  <c r="B83" i="13"/>
  <c r="B81" i="13"/>
  <c r="B79" i="13"/>
  <c r="B77" i="13"/>
  <c r="B75" i="13"/>
  <c r="B73" i="13"/>
  <c r="D74" i="13" s="1"/>
  <c r="D40" i="9"/>
  <c r="E112" i="9" s="1"/>
  <c r="D41" i="9"/>
  <c r="E113" i="9" s="1"/>
  <c r="D42" i="9"/>
  <c r="E114" i="9" s="1"/>
  <c r="D43" i="9"/>
  <c r="E115" i="9" s="1"/>
  <c r="D44" i="9"/>
  <c r="E116" i="9" s="1"/>
  <c r="D45" i="9"/>
  <c r="E117" i="9" s="1"/>
  <c r="D46" i="9"/>
  <c r="E118" i="9" s="1"/>
  <c r="D47" i="9"/>
  <c r="E119" i="9" s="1"/>
  <c r="C40" i="9"/>
  <c r="E101" i="9" s="1"/>
  <c r="C41" i="9"/>
  <c r="E102" i="9" s="1"/>
  <c r="C42" i="9"/>
  <c r="E103" i="9" s="1"/>
  <c r="C43" i="9"/>
  <c r="E104" i="9" s="1"/>
  <c r="C44" i="9"/>
  <c r="E105" i="9" s="1"/>
  <c r="C45" i="9"/>
  <c r="E106" i="9" s="1"/>
  <c r="C46" i="9"/>
  <c r="E107" i="9" s="1"/>
  <c r="C47" i="9"/>
  <c r="E108" i="9" s="1"/>
  <c r="D32" i="9"/>
  <c r="E83" i="9" s="1"/>
  <c r="D33" i="9"/>
  <c r="E84" i="9" s="1"/>
  <c r="D34" i="9"/>
  <c r="E85" i="9" s="1"/>
  <c r="D35" i="9"/>
  <c r="E86" i="9" s="1"/>
  <c r="D36" i="9"/>
  <c r="E87" i="9" s="1"/>
  <c r="D37" i="9"/>
  <c r="E88" i="9" s="1"/>
  <c r="D38" i="9"/>
  <c r="E89" i="9" s="1"/>
  <c r="D39" i="9"/>
  <c r="E90" i="9" s="1"/>
  <c r="C32" i="9"/>
  <c r="E72" i="9" s="1"/>
  <c r="C33" i="9"/>
  <c r="E73" i="9" s="1"/>
  <c r="C34" i="9"/>
  <c r="E74" i="9" s="1"/>
  <c r="C35" i="9"/>
  <c r="E75" i="9" s="1"/>
  <c r="C36" i="9"/>
  <c r="E76" i="9" s="1"/>
  <c r="C37" i="9"/>
  <c r="E77" i="9" s="1"/>
  <c r="C38" i="9"/>
  <c r="E78" i="9" s="1"/>
  <c r="C39" i="9"/>
  <c r="E79" i="9" s="1"/>
  <c r="G102" i="9"/>
  <c r="G103" i="9"/>
  <c r="G104" i="9"/>
  <c r="G105" i="9"/>
  <c r="G106" i="9"/>
  <c r="G107" i="9"/>
  <c r="G108" i="9"/>
  <c r="G112" i="9"/>
  <c r="G113" i="9"/>
  <c r="G114" i="9"/>
  <c r="G115" i="9"/>
  <c r="G116" i="9"/>
  <c r="G117" i="9"/>
  <c r="G118" i="9"/>
  <c r="G119" i="9"/>
  <c r="G101" i="9"/>
  <c r="F112" i="9"/>
  <c r="F113" i="9"/>
  <c r="F114" i="9"/>
  <c r="F115" i="9"/>
  <c r="F116" i="9"/>
  <c r="F117" i="9"/>
  <c r="F118" i="9"/>
  <c r="F119" i="9"/>
  <c r="F101" i="9"/>
  <c r="F102" i="9"/>
  <c r="F103" i="9"/>
  <c r="F104" i="9"/>
  <c r="F105" i="9"/>
  <c r="F106" i="9"/>
  <c r="F107" i="9"/>
  <c r="F108" i="9"/>
  <c r="D112" i="9"/>
  <c r="D113" i="9"/>
  <c r="D114" i="9"/>
  <c r="D115" i="9"/>
  <c r="D116" i="9"/>
  <c r="D117" i="9"/>
  <c r="D118" i="9"/>
  <c r="D119" i="9"/>
  <c r="D101" i="9"/>
  <c r="D102" i="9"/>
  <c r="D103" i="9"/>
  <c r="D104" i="9"/>
  <c r="D105" i="9"/>
  <c r="D106" i="9"/>
  <c r="D107" i="9"/>
  <c r="D108" i="9"/>
  <c r="G84" i="9"/>
  <c r="G85" i="9"/>
  <c r="G86" i="9"/>
  <c r="G87" i="9"/>
  <c r="G88" i="9"/>
  <c r="G89" i="9"/>
  <c r="G90" i="9"/>
  <c r="G83" i="9"/>
  <c r="G73" i="9"/>
  <c r="G74" i="9"/>
  <c r="G75" i="9"/>
  <c r="G76" i="9"/>
  <c r="G77" i="9"/>
  <c r="G78" i="9"/>
  <c r="G79" i="9"/>
  <c r="G72" i="9"/>
  <c r="F83" i="9"/>
  <c r="F84" i="9"/>
  <c r="F85" i="9"/>
  <c r="F86" i="9"/>
  <c r="F87" i="9"/>
  <c r="F88" i="9"/>
  <c r="F89" i="9"/>
  <c r="F90" i="9"/>
  <c r="F72" i="9"/>
  <c r="F73" i="9"/>
  <c r="F74" i="9"/>
  <c r="F75" i="9"/>
  <c r="F76" i="9"/>
  <c r="F77" i="9"/>
  <c r="F78" i="9"/>
  <c r="F79" i="9"/>
  <c r="D83" i="9"/>
  <c r="D84" i="9"/>
  <c r="D85" i="9"/>
  <c r="D86" i="9"/>
  <c r="D87" i="9"/>
  <c r="D88" i="9"/>
  <c r="D89" i="9"/>
  <c r="D90" i="9"/>
  <c r="D72" i="9"/>
  <c r="D73" i="9"/>
  <c r="D74" i="9"/>
  <c r="D75" i="9"/>
  <c r="D76" i="9"/>
  <c r="D77" i="9"/>
  <c r="D78" i="9"/>
  <c r="D79" i="9"/>
  <c r="D34" i="1"/>
  <c r="E104" i="1" s="1"/>
  <c r="D35" i="1"/>
  <c r="E43" i="13" s="1"/>
  <c r="F139" i="13" s="1"/>
  <c r="D36" i="1"/>
  <c r="E106" i="1" s="1"/>
  <c r="D37" i="1"/>
  <c r="E45" i="13" s="1"/>
  <c r="F143" i="13" s="1"/>
  <c r="D38" i="1"/>
  <c r="E108" i="1" s="1"/>
  <c r="D39" i="1"/>
  <c r="E47" i="13" s="1"/>
  <c r="F147" i="13" s="1"/>
  <c r="D40" i="1"/>
  <c r="E110" i="1" s="1"/>
  <c r="D41" i="1"/>
  <c r="E49" i="13" s="1"/>
  <c r="F151" i="13" s="1"/>
  <c r="C34" i="1"/>
  <c r="D42" i="13" s="1"/>
  <c r="F118" i="13" s="1"/>
  <c r="C35" i="1"/>
  <c r="D43" i="13" s="1"/>
  <c r="F120" i="13" s="1"/>
  <c r="C36" i="1"/>
  <c r="E95" i="1" s="1"/>
  <c r="C37" i="1"/>
  <c r="D45" i="13" s="1"/>
  <c r="F124" i="13" s="1"/>
  <c r="C38" i="1"/>
  <c r="D46" i="13" s="1"/>
  <c r="F126" i="13" s="1"/>
  <c r="C39" i="1"/>
  <c r="D47" i="13" s="1"/>
  <c r="F128" i="13" s="1"/>
  <c r="C40" i="1"/>
  <c r="E99" i="1" s="1"/>
  <c r="C41" i="1"/>
  <c r="D49" i="13" s="1"/>
  <c r="F132" i="13" s="1"/>
  <c r="F75" i="1"/>
  <c r="F76" i="1"/>
  <c r="F77" i="1"/>
  <c r="F78" i="1"/>
  <c r="F79" i="1"/>
  <c r="F80" i="1"/>
  <c r="F81" i="1"/>
  <c r="F82" i="1"/>
  <c r="F64" i="1"/>
  <c r="F65" i="1"/>
  <c r="F66" i="1"/>
  <c r="F67" i="1"/>
  <c r="F68" i="1"/>
  <c r="F69" i="1"/>
  <c r="F70" i="1"/>
  <c r="F71" i="1"/>
  <c r="B68" i="1"/>
  <c r="F50" i="1" s="1"/>
  <c r="D97" i="1"/>
  <c r="D10" i="14" s="1"/>
  <c r="B107" i="14" s="1"/>
  <c r="B69" i="1"/>
  <c r="G50" i="1" s="1"/>
  <c r="D98" i="1"/>
  <c r="D11" i="14" s="1"/>
  <c r="B70" i="1"/>
  <c r="H50" i="1" s="1"/>
  <c r="D99" i="1"/>
  <c r="D12" i="14" s="1"/>
  <c r="B71" i="1"/>
  <c r="I50" i="1" s="1"/>
  <c r="D100" i="1"/>
  <c r="D13" i="14" s="1"/>
  <c r="E75" i="1"/>
  <c r="E76" i="1"/>
  <c r="E77" i="1"/>
  <c r="E78" i="1"/>
  <c r="E79" i="1"/>
  <c r="E80" i="1"/>
  <c r="E81" i="1"/>
  <c r="E82" i="1"/>
  <c r="E64" i="1"/>
  <c r="E65" i="1"/>
  <c r="E66" i="1"/>
  <c r="E67" i="1"/>
  <c r="E68" i="1"/>
  <c r="E69" i="1"/>
  <c r="E70" i="1"/>
  <c r="E71" i="1"/>
  <c r="E6" i="14"/>
  <c r="C102" i="14" s="1"/>
  <c r="C7" i="14"/>
  <c r="C45" i="14" s="1"/>
  <c r="D106" i="1"/>
  <c r="E8" i="14" s="1"/>
  <c r="C104" i="14" s="1"/>
  <c r="C9" i="14"/>
  <c r="C48" i="14" s="1"/>
  <c r="D108" i="1"/>
  <c r="E10" i="14" s="1"/>
  <c r="C11" i="14"/>
  <c r="D110" i="1"/>
  <c r="E12" i="14" s="1"/>
  <c r="C13" i="14"/>
  <c r="D6" i="14"/>
  <c r="B102" i="14" s="1"/>
  <c r="D7" i="14"/>
  <c r="B103" i="14" s="1"/>
  <c r="D95" i="1"/>
  <c r="D8" i="14" s="1"/>
  <c r="D96" i="1"/>
  <c r="D9" i="14" s="1"/>
  <c r="B106" i="14" s="1"/>
  <c r="C23" i="11"/>
  <c r="C24" i="11"/>
  <c r="C25" i="11"/>
  <c r="C26" i="11"/>
  <c r="C27" i="11"/>
  <c r="C28" i="11"/>
  <c r="C29" i="11"/>
  <c r="C30" i="11"/>
  <c r="B23" i="11"/>
  <c r="B24" i="11"/>
  <c r="B25" i="11"/>
  <c r="B26" i="11"/>
  <c r="B27" i="11"/>
  <c r="B28" i="11"/>
  <c r="B29" i="11"/>
  <c r="B30" i="11"/>
  <c r="C23" i="10"/>
  <c r="C24" i="10"/>
  <c r="C25" i="10"/>
  <c r="C26" i="10"/>
  <c r="C27" i="10"/>
  <c r="C28" i="10"/>
  <c r="C29" i="10"/>
  <c r="C30" i="10"/>
  <c r="B23" i="10"/>
  <c r="B24" i="10"/>
  <c r="B25" i="10"/>
  <c r="B26" i="10"/>
  <c r="B27" i="10"/>
  <c r="B28" i="10"/>
  <c r="B29" i="10"/>
  <c r="B30" i="10"/>
  <c r="C13" i="11"/>
  <c r="B13" i="11"/>
  <c r="C12" i="11"/>
  <c r="B12" i="11"/>
  <c r="C11" i="11"/>
  <c r="B11" i="11"/>
  <c r="C10" i="11"/>
  <c r="B10" i="11"/>
  <c r="C9" i="11"/>
  <c r="B9" i="11"/>
  <c r="C8" i="11"/>
  <c r="B8" i="11"/>
  <c r="C7" i="11"/>
  <c r="B7" i="11"/>
  <c r="C6" i="11"/>
  <c r="B6" i="11"/>
  <c r="C6" i="10"/>
  <c r="C7" i="10"/>
  <c r="C8" i="10"/>
  <c r="C9" i="10"/>
  <c r="C10" i="10"/>
  <c r="C11" i="10"/>
  <c r="C12" i="10"/>
  <c r="C13" i="10"/>
  <c r="B6" i="10"/>
  <c r="K6" i="10" s="1"/>
  <c r="B7" i="10"/>
  <c r="K7" i="10" s="1"/>
  <c r="B8" i="10"/>
  <c r="K8" i="10" s="1"/>
  <c r="B9" i="10"/>
  <c r="K9" i="10" s="1"/>
  <c r="B10" i="10"/>
  <c r="K10" i="10" s="1"/>
  <c r="B11" i="10"/>
  <c r="K11" i="10" s="1"/>
  <c r="B12" i="10"/>
  <c r="K12" i="10" s="1"/>
  <c r="B13" i="10"/>
  <c r="K13" i="10" s="1"/>
  <c r="B119" i="9"/>
  <c r="B118" i="9"/>
  <c r="B117" i="9"/>
  <c r="B116" i="9"/>
  <c r="B115" i="9"/>
  <c r="B114" i="9"/>
  <c r="B113" i="9"/>
  <c r="B112" i="9"/>
  <c r="B108" i="9"/>
  <c r="B107" i="9"/>
  <c r="B106" i="9"/>
  <c r="B105" i="9"/>
  <c r="B104" i="9"/>
  <c r="B103" i="9"/>
  <c r="B102" i="9"/>
  <c r="B101" i="9"/>
  <c r="B90" i="9"/>
  <c r="B89" i="9"/>
  <c r="B88" i="9"/>
  <c r="B87" i="9"/>
  <c r="B86" i="9"/>
  <c r="B85" i="9"/>
  <c r="B84" i="9"/>
  <c r="B83" i="9"/>
  <c r="B79" i="9"/>
  <c r="B78" i="9"/>
  <c r="B77" i="9"/>
  <c r="C77" i="9" s="1"/>
  <c r="B76" i="9"/>
  <c r="B75" i="9"/>
  <c r="B74" i="9"/>
  <c r="B73" i="9"/>
  <c r="C73" i="9" s="1"/>
  <c r="B72" i="9"/>
  <c r="C23" i="8"/>
  <c r="C24" i="8"/>
  <c r="C25" i="8"/>
  <c r="C26" i="8"/>
  <c r="C27" i="8"/>
  <c r="C28" i="8"/>
  <c r="C29" i="8"/>
  <c r="C30" i="8"/>
  <c r="B23" i="8"/>
  <c r="B24" i="8"/>
  <c r="B25" i="8"/>
  <c r="B26" i="8"/>
  <c r="B27" i="8"/>
  <c r="B28" i="8"/>
  <c r="B29" i="8"/>
  <c r="B30" i="8"/>
  <c r="C8" i="8"/>
  <c r="C9" i="8"/>
  <c r="C10" i="8"/>
  <c r="C11" i="8"/>
  <c r="C12" i="8"/>
  <c r="C7" i="8"/>
  <c r="B8" i="8"/>
  <c r="B9" i="8"/>
  <c r="B10" i="8"/>
  <c r="B11" i="8"/>
  <c r="B12" i="8"/>
  <c r="B7" i="8"/>
  <c r="S171" i="19" l="1"/>
  <c r="O107" i="22" s="1"/>
  <c r="L138" i="19"/>
  <c r="O171" i="19" s="1"/>
  <c r="O79" i="22" s="1"/>
  <c r="S167" i="19"/>
  <c r="L130" i="19"/>
  <c r="M144" i="19"/>
  <c r="L117" i="19"/>
  <c r="O159" i="19" s="1"/>
  <c r="O67" i="22" s="1"/>
  <c r="S159" i="19"/>
  <c r="O95" i="22" s="1"/>
  <c r="L97" i="19"/>
  <c r="N173" i="19" s="1"/>
  <c r="N81" i="22" s="1"/>
  <c r="R173" i="19"/>
  <c r="N109" i="22" s="1"/>
  <c r="R168" i="19"/>
  <c r="N104" i="22" s="1"/>
  <c r="L87" i="19"/>
  <c r="N168" i="19" s="1"/>
  <c r="N76" i="22" s="1"/>
  <c r="R156" i="19"/>
  <c r="L66" i="19"/>
  <c r="M80" i="19"/>
  <c r="E114" i="20"/>
  <c r="G114" i="20" s="1"/>
  <c r="I114" i="20" s="1"/>
  <c r="R172" i="19"/>
  <c r="N108" i="22" s="1"/>
  <c r="L95" i="19"/>
  <c r="N172" i="19" s="1"/>
  <c r="N80" i="22" s="1"/>
  <c r="S170" i="19"/>
  <c r="O106" i="22" s="1"/>
  <c r="L136" i="19"/>
  <c r="O170" i="19" s="1"/>
  <c r="O78" i="22" s="1"/>
  <c r="L123" i="19"/>
  <c r="O162" i="19" s="1"/>
  <c r="O70" i="22" s="1"/>
  <c r="S162" i="19"/>
  <c r="O98" i="22" s="1"/>
  <c r="L115" i="19"/>
  <c r="O158" i="19" s="1"/>
  <c r="O66" i="22" s="1"/>
  <c r="S158" i="19"/>
  <c r="O94" i="22" s="1"/>
  <c r="R171" i="19"/>
  <c r="N107" i="22" s="1"/>
  <c r="L93" i="19"/>
  <c r="N171" i="19" s="1"/>
  <c r="N79" i="22" s="1"/>
  <c r="R167" i="19"/>
  <c r="L85" i="19"/>
  <c r="M99" i="19"/>
  <c r="R159" i="19"/>
  <c r="N95" i="22" s="1"/>
  <c r="L72" i="19"/>
  <c r="N159" i="19" s="1"/>
  <c r="N67" i="22" s="1"/>
  <c r="N63" i="22"/>
  <c r="S173" i="19"/>
  <c r="O109" i="22" s="1"/>
  <c r="L142" i="19"/>
  <c r="O173" i="19" s="1"/>
  <c r="O81" i="22" s="1"/>
  <c r="S169" i="19"/>
  <c r="O105" i="22" s="1"/>
  <c r="L134" i="19"/>
  <c r="O169" i="19" s="1"/>
  <c r="O77" i="22" s="1"/>
  <c r="L121" i="19"/>
  <c r="O161" i="19" s="1"/>
  <c r="O69" i="22" s="1"/>
  <c r="S161" i="19"/>
  <c r="O97" i="22" s="1"/>
  <c r="L113" i="19"/>
  <c r="O157" i="19" s="1"/>
  <c r="O65" i="22" s="1"/>
  <c r="S157" i="19"/>
  <c r="O93" i="22" s="1"/>
  <c r="R170" i="19"/>
  <c r="N106" i="22" s="1"/>
  <c r="L91" i="19"/>
  <c r="N170" i="19" s="1"/>
  <c r="N78" i="22" s="1"/>
  <c r="L78" i="19"/>
  <c r="N162" i="19" s="1"/>
  <c r="N70" i="22" s="1"/>
  <c r="R162" i="19"/>
  <c r="N98" i="22" s="1"/>
  <c r="R158" i="19"/>
  <c r="N94" i="22" s="1"/>
  <c r="L70" i="19"/>
  <c r="N158" i="19" s="1"/>
  <c r="N66" i="22" s="1"/>
  <c r="O63" i="22"/>
  <c r="S172" i="19"/>
  <c r="O108" i="22" s="1"/>
  <c r="L140" i="19"/>
  <c r="O172" i="19" s="1"/>
  <c r="O80" i="22" s="1"/>
  <c r="S168" i="19"/>
  <c r="O104" i="22" s="1"/>
  <c r="L132" i="19"/>
  <c r="O168" i="19" s="1"/>
  <c r="O76" i="22" s="1"/>
  <c r="L119" i="19"/>
  <c r="O160" i="19" s="1"/>
  <c r="O68" i="22" s="1"/>
  <c r="S160" i="19"/>
  <c r="O96" i="22" s="1"/>
  <c r="L111" i="19"/>
  <c r="S156" i="19"/>
  <c r="M125" i="19"/>
  <c r="R169" i="19"/>
  <c r="N105" i="22" s="1"/>
  <c r="L89" i="19"/>
  <c r="N169" i="19" s="1"/>
  <c r="N77" i="22" s="1"/>
  <c r="R161" i="19"/>
  <c r="N97" i="22" s="1"/>
  <c r="L76" i="19"/>
  <c r="N161" i="19" s="1"/>
  <c r="N69" i="22" s="1"/>
  <c r="R157" i="19"/>
  <c r="N93" i="22" s="1"/>
  <c r="L68" i="19"/>
  <c r="N157" i="19" s="1"/>
  <c r="N65" i="22" s="1"/>
  <c r="N74" i="22"/>
  <c r="N160" i="19"/>
  <c r="N68" i="22" s="1"/>
  <c r="O74" i="22"/>
  <c r="E127" i="1"/>
  <c r="E140" i="1"/>
  <c r="F51" i="12"/>
  <c r="F63" i="22" s="1"/>
  <c r="G51" i="12"/>
  <c r="F91" i="22" s="1"/>
  <c r="F79" i="12"/>
  <c r="G63" i="22" s="1"/>
  <c r="G79" i="12"/>
  <c r="G91" i="22" s="1"/>
  <c r="E139" i="1"/>
  <c r="E126" i="1"/>
  <c r="G62" i="12"/>
  <c r="F102" i="22" s="1"/>
  <c r="F62" i="12"/>
  <c r="F74" i="22" s="1"/>
  <c r="G90" i="12"/>
  <c r="G102" i="22" s="1"/>
  <c r="F90" i="12"/>
  <c r="G74" i="22" s="1"/>
  <c r="E137" i="1"/>
  <c r="E138" i="1"/>
  <c r="E125" i="1"/>
  <c r="E124" i="1"/>
  <c r="G52" i="12"/>
  <c r="F92" i="22" s="1"/>
  <c r="G80" i="12"/>
  <c r="G92" i="22" s="1"/>
  <c r="E135" i="1"/>
  <c r="E128" i="1"/>
  <c r="E129" i="1"/>
  <c r="E136" i="1"/>
  <c r="G63" i="12"/>
  <c r="F103" i="22" s="1"/>
  <c r="G91" i="12"/>
  <c r="G103" i="22" s="1"/>
  <c r="G55" i="15"/>
  <c r="J95" i="22" s="1"/>
  <c r="F55" i="15"/>
  <c r="J67" i="22" s="1"/>
  <c r="D55" i="15"/>
  <c r="J39" i="22" s="1"/>
  <c r="C55" i="15"/>
  <c r="J11" i="22" s="1"/>
  <c r="E115" i="20"/>
  <c r="G115" i="20" s="1"/>
  <c r="I115" i="20" s="1"/>
  <c r="E119" i="20"/>
  <c r="G119" i="20" s="1"/>
  <c r="I119" i="20" s="1"/>
  <c r="E123" i="20"/>
  <c r="G123" i="20" s="1"/>
  <c r="I123" i="20" s="1"/>
  <c r="B110" i="14"/>
  <c r="F110" i="14" s="1"/>
  <c r="C75" i="9"/>
  <c r="C79" i="9"/>
  <c r="E116" i="20"/>
  <c r="G116" i="20" s="1"/>
  <c r="I116" i="20" s="1"/>
  <c r="D114" i="20"/>
  <c r="F114" i="20" s="1"/>
  <c r="H114" i="20" s="1"/>
  <c r="B105" i="14"/>
  <c r="L77" i="9"/>
  <c r="E98" i="1"/>
  <c r="E94" i="1"/>
  <c r="E109" i="1"/>
  <c r="E105" i="1"/>
  <c r="B12" i="14"/>
  <c r="B8" i="14"/>
  <c r="B46" i="14" s="1"/>
  <c r="D46" i="14" s="1"/>
  <c r="D60" i="14" s="1"/>
  <c r="C12" i="14"/>
  <c r="C52" i="14" s="1"/>
  <c r="C8" i="14"/>
  <c r="C47" i="14" s="1"/>
  <c r="E39" i="13"/>
  <c r="F104" i="13" s="1"/>
  <c r="E37" i="13"/>
  <c r="F100" i="13" s="1"/>
  <c r="E35" i="13"/>
  <c r="F96" i="13" s="1"/>
  <c r="E33" i="13"/>
  <c r="F92" i="13" s="1"/>
  <c r="J92" i="13" s="1"/>
  <c r="E48" i="13"/>
  <c r="F149" i="13" s="1"/>
  <c r="E46" i="13"/>
  <c r="F145" i="13" s="1"/>
  <c r="E44" i="13"/>
  <c r="F141" i="13" s="1"/>
  <c r="E42" i="13"/>
  <c r="F137" i="13" s="1"/>
  <c r="D100" i="20"/>
  <c r="F100" i="20" s="1"/>
  <c r="H100" i="20" s="1"/>
  <c r="D102" i="20"/>
  <c r="F102" i="20" s="1"/>
  <c r="H102" i="20" s="1"/>
  <c r="D168" i="20"/>
  <c r="G84" i="12" s="1"/>
  <c r="G96" i="22" s="1"/>
  <c r="D41" i="16"/>
  <c r="F41" i="16" s="1"/>
  <c r="D41" i="18"/>
  <c r="F41" i="18" s="1"/>
  <c r="D85" i="17" s="1"/>
  <c r="M40" i="22" s="1"/>
  <c r="D169" i="20"/>
  <c r="G85" i="12" s="1"/>
  <c r="G97" i="22" s="1"/>
  <c r="D42" i="18"/>
  <c r="F42" i="18" s="1"/>
  <c r="D42" i="16"/>
  <c r="F42" i="16" s="1"/>
  <c r="D166" i="20"/>
  <c r="G82" i="12" s="1"/>
  <c r="G94" i="22" s="1"/>
  <c r="D39" i="18"/>
  <c r="F39" i="18" s="1"/>
  <c r="C83" i="17" s="1"/>
  <c r="M10" i="22" s="1"/>
  <c r="D39" i="16"/>
  <c r="F39" i="16" s="1"/>
  <c r="D181" i="20"/>
  <c r="G97" i="12" s="1"/>
  <c r="G109" i="22" s="1"/>
  <c r="D54" i="18"/>
  <c r="F54" i="18" s="1"/>
  <c r="D98" i="17" s="1"/>
  <c r="M53" i="22" s="1"/>
  <c r="D54" i="16"/>
  <c r="F54" i="16" s="1"/>
  <c r="F98" i="15" s="1"/>
  <c r="K81" i="22" s="1"/>
  <c r="L75" i="9"/>
  <c r="E97" i="1"/>
  <c r="E93" i="1"/>
  <c r="B11" i="14"/>
  <c r="B7" i="14"/>
  <c r="B45" i="14" s="1"/>
  <c r="D39" i="13"/>
  <c r="F85" i="13" s="1"/>
  <c r="D37" i="13"/>
  <c r="F81" i="13" s="1"/>
  <c r="D35" i="13"/>
  <c r="F77" i="13" s="1"/>
  <c r="D33" i="13"/>
  <c r="F73" i="13" s="1"/>
  <c r="D48" i="13"/>
  <c r="F130" i="13" s="1"/>
  <c r="D44" i="13"/>
  <c r="F122" i="13" s="1"/>
  <c r="D108" i="20"/>
  <c r="F108" i="20" s="1"/>
  <c r="H108" i="20" s="1"/>
  <c r="C182" i="20"/>
  <c r="C55" i="16"/>
  <c r="C55" i="18"/>
  <c r="C171" i="20"/>
  <c r="C44" i="18"/>
  <c r="C44" i="16"/>
  <c r="D170" i="20"/>
  <c r="G86" i="12" s="1"/>
  <c r="G98" i="22" s="1"/>
  <c r="D43" i="18"/>
  <c r="F43" i="18" s="1"/>
  <c r="C87" i="17" s="1"/>
  <c r="M14" i="22" s="1"/>
  <c r="D43" i="16"/>
  <c r="F43" i="16" s="1"/>
  <c r="D167" i="20"/>
  <c r="G83" i="12" s="1"/>
  <c r="G95" i="22" s="1"/>
  <c r="D40" i="18"/>
  <c r="F40" i="18" s="1"/>
  <c r="F84" i="17" s="1"/>
  <c r="M67" i="22" s="1"/>
  <c r="D40" i="16"/>
  <c r="F40" i="16" s="1"/>
  <c r="G84" i="15" s="1"/>
  <c r="K95" i="22" s="1"/>
  <c r="L79" i="9"/>
  <c r="E100" i="1"/>
  <c r="E96" i="1"/>
  <c r="E111" i="1"/>
  <c r="E107" i="1"/>
  <c r="B10" i="14"/>
  <c r="B6" i="14"/>
  <c r="B44" i="14" s="1"/>
  <c r="F44" i="14" s="1"/>
  <c r="C58" i="14" s="1"/>
  <c r="C10" i="14"/>
  <c r="C49" i="14" s="1"/>
  <c r="G49" i="14" s="1"/>
  <c r="H77" i="14" s="1"/>
  <c r="C6" i="14"/>
  <c r="C44" i="14" s="1"/>
  <c r="E40" i="13"/>
  <c r="F106" i="13" s="1"/>
  <c r="E38" i="13"/>
  <c r="F102" i="13" s="1"/>
  <c r="E36" i="13"/>
  <c r="F98" i="13" s="1"/>
  <c r="E34" i="13"/>
  <c r="F94" i="13" s="1"/>
  <c r="J118" i="13"/>
  <c r="B153" i="13"/>
  <c r="D178" i="20"/>
  <c r="G94" i="12" s="1"/>
  <c r="G106" i="22" s="1"/>
  <c r="D51" i="16"/>
  <c r="F51" i="16" s="1"/>
  <c r="D51" i="18"/>
  <c r="F51" i="18" s="1"/>
  <c r="D95" i="17" s="1"/>
  <c r="M50" i="22" s="1"/>
  <c r="D165" i="20"/>
  <c r="G81" i="12" s="1"/>
  <c r="G93" i="22" s="1"/>
  <c r="D38" i="18"/>
  <c r="F38" i="18" s="1"/>
  <c r="D82" i="17" s="1"/>
  <c r="M37" i="22" s="1"/>
  <c r="D38" i="16"/>
  <c r="F38" i="16" s="1"/>
  <c r="L101" i="1"/>
  <c r="L73" i="9"/>
  <c r="B13" i="14"/>
  <c r="B9" i="14"/>
  <c r="B48" i="14" s="1"/>
  <c r="D40" i="13"/>
  <c r="F87" i="13" s="1"/>
  <c r="D38" i="13"/>
  <c r="F83" i="13" s="1"/>
  <c r="D36" i="13"/>
  <c r="F79" i="13" s="1"/>
  <c r="D34" i="13"/>
  <c r="F75" i="13" s="1"/>
  <c r="D176" i="20"/>
  <c r="G92" i="12" s="1"/>
  <c r="G104" i="22" s="1"/>
  <c r="D49" i="16"/>
  <c r="F49" i="16" s="1"/>
  <c r="C93" i="15" s="1"/>
  <c r="K20" i="22" s="1"/>
  <c r="L112" i="1"/>
  <c r="D49" i="18"/>
  <c r="F49" i="18" s="1"/>
  <c r="C93" i="17" s="1"/>
  <c r="M20" i="22" s="1"/>
  <c r="D179" i="20"/>
  <c r="G95" i="12" s="1"/>
  <c r="G107" i="22" s="1"/>
  <c r="D52" i="16"/>
  <c r="F52" i="16" s="1"/>
  <c r="D96" i="15" s="1"/>
  <c r="K51" i="22" s="1"/>
  <c r="D52" i="18"/>
  <c r="F52" i="18" s="1"/>
  <c r="C96" i="17" s="1"/>
  <c r="M23" i="22" s="1"/>
  <c r="D180" i="20"/>
  <c r="G96" i="12" s="1"/>
  <c r="G108" i="22" s="1"/>
  <c r="D53" i="16"/>
  <c r="F53" i="16" s="1"/>
  <c r="C97" i="15" s="1"/>
  <c r="K24" i="22" s="1"/>
  <c r="D53" i="18"/>
  <c r="F53" i="18" s="1"/>
  <c r="G97" i="17" s="1"/>
  <c r="M108" i="22" s="1"/>
  <c r="D177" i="20"/>
  <c r="G93" i="12" s="1"/>
  <c r="G105" i="22" s="1"/>
  <c r="D50" i="18"/>
  <c r="F50" i="18" s="1"/>
  <c r="D94" i="17" s="1"/>
  <c r="M49" i="22" s="1"/>
  <c r="D50" i="16"/>
  <c r="F50" i="16" s="1"/>
  <c r="F94" i="15" s="1"/>
  <c r="K77" i="22" s="1"/>
  <c r="J138" i="19"/>
  <c r="G171" i="19" s="1"/>
  <c r="O51" i="22" s="1"/>
  <c r="I138" i="19"/>
  <c r="F171" i="19" s="1"/>
  <c r="O23" i="22" s="1"/>
  <c r="J134" i="19"/>
  <c r="G169" i="19" s="1"/>
  <c r="O49" i="22" s="1"/>
  <c r="I134" i="19"/>
  <c r="F169" i="19" s="1"/>
  <c r="O21" i="22" s="1"/>
  <c r="J121" i="19"/>
  <c r="G161" i="19" s="1"/>
  <c r="O41" i="22" s="1"/>
  <c r="I121" i="19"/>
  <c r="F161" i="19" s="1"/>
  <c r="O13" i="22" s="1"/>
  <c r="J113" i="19"/>
  <c r="G157" i="19" s="1"/>
  <c r="O37" i="22" s="1"/>
  <c r="I113" i="19"/>
  <c r="F157" i="19" s="1"/>
  <c r="O9" i="22" s="1"/>
  <c r="J91" i="19"/>
  <c r="C170" i="19" s="1"/>
  <c r="I91" i="19"/>
  <c r="B170" i="19" s="1"/>
  <c r="J78" i="19"/>
  <c r="C162" i="19" s="1"/>
  <c r="I78" i="19"/>
  <c r="B162" i="19" s="1"/>
  <c r="J74" i="19"/>
  <c r="C160" i="19" s="1"/>
  <c r="I74" i="19"/>
  <c r="B160" i="19" s="1"/>
  <c r="J66" i="19"/>
  <c r="C156" i="19" s="1"/>
  <c r="I66" i="19"/>
  <c r="B156" i="19" s="1"/>
  <c r="J95" i="19"/>
  <c r="C172" i="19" s="1"/>
  <c r="I95" i="19"/>
  <c r="B172" i="19" s="1"/>
  <c r="J140" i="19"/>
  <c r="G172" i="19" s="1"/>
  <c r="O52" i="22" s="1"/>
  <c r="I140" i="19"/>
  <c r="F172" i="19" s="1"/>
  <c r="O24" i="22" s="1"/>
  <c r="J136" i="19"/>
  <c r="G170" i="19" s="1"/>
  <c r="O50" i="22" s="1"/>
  <c r="I136" i="19"/>
  <c r="F170" i="19" s="1"/>
  <c r="O22" i="22" s="1"/>
  <c r="J132" i="19"/>
  <c r="G168" i="19" s="1"/>
  <c r="O48" i="22" s="1"/>
  <c r="I132" i="19"/>
  <c r="F168" i="19" s="1"/>
  <c r="O20" i="22" s="1"/>
  <c r="J123" i="19"/>
  <c r="G162" i="19" s="1"/>
  <c r="O42" i="22" s="1"/>
  <c r="I123" i="19"/>
  <c r="F162" i="19" s="1"/>
  <c r="O14" i="22" s="1"/>
  <c r="J119" i="19"/>
  <c r="G160" i="19" s="1"/>
  <c r="O40" i="22" s="1"/>
  <c r="I119" i="19"/>
  <c r="F160" i="19" s="1"/>
  <c r="O12" i="22" s="1"/>
  <c r="J115" i="19"/>
  <c r="G158" i="19" s="1"/>
  <c r="O38" i="22" s="1"/>
  <c r="I115" i="19"/>
  <c r="F158" i="19" s="1"/>
  <c r="O10" i="22" s="1"/>
  <c r="J111" i="19"/>
  <c r="G156" i="19" s="1"/>
  <c r="I111" i="19"/>
  <c r="F156" i="19" s="1"/>
  <c r="J93" i="19"/>
  <c r="C171" i="19" s="1"/>
  <c r="I93" i="19"/>
  <c r="B171" i="19" s="1"/>
  <c r="J89" i="19"/>
  <c r="C169" i="19" s="1"/>
  <c r="I89" i="19"/>
  <c r="B169" i="19" s="1"/>
  <c r="J85" i="19"/>
  <c r="C167" i="19" s="1"/>
  <c r="I85" i="19"/>
  <c r="B167" i="19" s="1"/>
  <c r="I76" i="19"/>
  <c r="B161" i="19" s="1"/>
  <c r="J76" i="19"/>
  <c r="C161" i="19" s="1"/>
  <c r="J72" i="19"/>
  <c r="C159" i="19" s="1"/>
  <c r="I72" i="19"/>
  <c r="B159" i="19" s="1"/>
  <c r="I68" i="19"/>
  <c r="B157" i="19" s="1"/>
  <c r="J68" i="19"/>
  <c r="C157" i="19" s="1"/>
  <c r="J142" i="19"/>
  <c r="G173" i="19" s="1"/>
  <c r="O53" i="22" s="1"/>
  <c r="I142" i="19"/>
  <c r="F173" i="19" s="1"/>
  <c r="O25" i="22" s="1"/>
  <c r="J130" i="19"/>
  <c r="I130" i="19"/>
  <c r="J117" i="19"/>
  <c r="G159" i="19" s="1"/>
  <c r="O39" i="22" s="1"/>
  <c r="I117" i="19"/>
  <c r="F159" i="19" s="1"/>
  <c r="O11" i="22" s="1"/>
  <c r="J97" i="19"/>
  <c r="C173" i="19" s="1"/>
  <c r="I97" i="19"/>
  <c r="B173" i="19" s="1"/>
  <c r="J87" i="19"/>
  <c r="C168" i="19" s="1"/>
  <c r="I87" i="19"/>
  <c r="B168" i="19" s="1"/>
  <c r="J70" i="19"/>
  <c r="C158" i="19" s="1"/>
  <c r="I70" i="19"/>
  <c r="B158" i="19" s="1"/>
  <c r="J121" i="13"/>
  <c r="I121" i="13"/>
  <c r="J140" i="13"/>
  <c r="I140" i="13"/>
  <c r="G98" i="17"/>
  <c r="M109" i="22" s="1"/>
  <c r="G48" i="18"/>
  <c r="G63" i="17"/>
  <c r="L103" i="22" s="1"/>
  <c r="F63" i="17"/>
  <c r="L75" i="22" s="1"/>
  <c r="D63" i="17"/>
  <c r="C63" i="17"/>
  <c r="G67" i="17"/>
  <c r="L107" i="22" s="1"/>
  <c r="F67" i="17"/>
  <c r="L79" i="22" s="1"/>
  <c r="D67" i="17"/>
  <c r="L51" i="22" s="1"/>
  <c r="C67" i="17"/>
  <c r="L23" i="22" s="1"/>
  <c r="G36" i="18"/>
  <c r="G51" i="17"/>
  <c r="L91" i="22" s="1"/>
  <c r="F51" i="17"/>
  <c r="L63" i="22" s="1"/>
  <c r="D51" i="17"/>
  <c r="L35" i="22" s="1"/>
  <c r="C51" i="17"/>
  <c r="L7" i="22" s="1"/>
  <c r="G55" i="17"/>
  <c r="L95" i="22" s="1"/>
  <c r="F55" i="17"/>
  <c r="L67" i="22" s="1"/>
  <c r="D55" i="17"/>
  <c r="C55" i="17"/>
  <c r="G54" i="17"/>
  <c r="L94" i="22" s="1"/>
  <c r="F54" i="17"/>
  <c r="L66" i="22" s="1"/>
  <c r="D54" i="17"/>
  <c r="C54" i="17"/>
  <c r="G58" i="17"/>
  <c r="L98" i="22" s="1"/>
  <c r="F58" i="17"/>
  <c r="L70" i="22" s="1"/>
  <c r="D58" i="17"/>
  <c r="C58" i="17"/>
  <c r="F95" i="17"/>
  <c r="M78" i="22" s="1"/>
  <c r="G95" i="17"/>
  <c r="M106" i="22" s="1"/>
  <c r="C95" i="17"/>
  <c r="M22" i="22" s="1"/>
  <c r="G47" i="18"/>
  <c r="G62" i="17"/>
  <c r="L102" i="22" s="1"/>
  <c r="F62" i="17"/>
  <c r="L74" i="22" s="1"/>
  <c r="D62" i="17"/>
  <c r="L46" i="22" s="1"/>
  <c r="C62" i="17"/>
  <c r="L18" i="22" s="1"/>
  <c r="G66" i="17"/>
  <c r="L106" i="22" s="1"/>
  <c r="F66" i="17"/>
  <c r="L78" i="22" s="1"/>
  <c r="D66" i="17"/>
  <c r="C66" i="17"/>
  <c r="G69" i="15"/>
  <c r="J109" i="22" s="1"/>
  <c r="F69" i="15"/>
  <c r="J81" i="22" s="1"/>
  <c r="D69" i="15"/>
  <c r="J53" i="22" s="1"/>
  <c r="C69" i="15"/>
  <c r="J25" i="22" s="1"/>
  <c r="G65" i="15"/>
  <c r="J105" i="22" s="1"/>
  <c r="F65" i="15"/>
  <c r="J77" i="22" s="1"/>
  <c r="D65" i="15"/>
  <c r="J49" i="22" s="1"/>
  <c r="C65" i="15"/>
  <c r="J21" i="22" s="1"/>
  <c r="G50" i="16"/>
  <c r="G58" i="15"/>
  <c r="J98" i="22" s="1"/>
  <c r="F58" i="15"/>
  <c r="J70" i="22" s="1"/>
  <c r="D58" i="15"/>
  <c r="C58" i="15"/>
  <c r="G43" i="16"/>
  <c r="D97" i="15"/>
  <c r="K52" i="22" s="1"/>
  <c r="G66" i="15"/>
  <c r="J106" i="22" s="1"/>
  <c r="F66" i="15"/>
  <c r="J78" i="22" s="1"/>
  <c r="D66" i="15"/>
  <c r="J50" i="22" s="1"/>
  <c r="C66" i="15"/>
  <c r="J22" i="22" s="1"/>
  <c r="G51" i="16"/>
  <c r="G62" i="15"/>
  <c r="J102" i="22" s="1"/>
  <c r="F62" i="15"/>
  <c r="J74" i="22" s="1"/>
  <c r="D62" i="15"/>
  <c r="J46" i="22" s="1"/>
  <c r="C62" i="15"/>
  <c r="J18" i="22" s="1"/>
  <c r="G47" i="16"/>
  <c r="G57" i="15"/>
  <c r="J97" i="22" s="1"/>
  <c r="F57" i="15"/>
  <c r="J69" i="22" s="1"/>
  <c r="D57" i="15"/>
  <c r="J41" i="22" s="1"/>
  <c r="C57" i="15"/>
  <c r="J13" i="22" s="1"/>
  <c r="G42" i="16"/>
  <c r="G54" i="15"/>
  <c r="J94" i="22" s="1"/>
  <c r="F54" i="15"/>
  <c r="J66" i="22" s="1"/>
  <c r="D54" i="15"/>
  <c r="C54" i="15"/>
  <c r="G39" i="16"/>
  <c r="D87" i="13"/>
  <c r="D106" i="13"/>
  <c r="I92" i="13"/>
  <c r="D120" i="13"/>
  <c r="D137" i="13"/>
  <c r="D139" i="13"/>
  <c r="I118" i="13"/>
  <c r="F96" i="17"/>
  <c r="M79" i="22" s="1"/>
  <c r="D96" i="17"/>
  <c r="M51" i="22" s="1"/>
  <c r="G96" i="17"/>
  <c r="M107" i="22" s="1"/>
  <c r="G86" i="17"/>
  <c r="M97" i="22" s="1"/>
  <c r="F86" i="17"/>
  <c r="M69" i="22" s="1"/>
  <c r="D86" i="17"/>
  <c r="M41" i="22" s="1"/>
  <c r="C86" i="17"/>
  <c r="M13" i="22" s="1"/>
  <c r="G65" i="17"/>
  <c r="L105" i="22" s="1"/>
  <c r="F65" i="17"/>
  <c r="L77" i="22" s="1"/>
  <c r="D65" i="17"/>
  <c r="C65" i="17"/>
  <c r="G69" i="17"/>
  <c r="L109" i="22" s="1"/>
  <c r="F69" i="17"/>
  <c r="L81" i="22" s="1"/>
  <c r="D69" i="17"/>
  <c r="C69" i="17"/>
  <c r="G53" i="17"/>
  <c r="L93" i="22" s="1"/>
  <c r="F53" i="17"/>
  <c r="L65" i="22" s="1"/>
  <c r="D53" i="17"/>
  <c r="C53" i="17"/>
  <c r="G57" i="17"/>
  <c r="L97" i="22" s="1"/>
  <c r="F57" i="17"/>
  <c r="L69" i="22" s="1"/>
  <c r="D57" i="17"/>
  <c r="C57" i="17"/>
  <c r="G37" i="18"/>
  <c r="G52" i="17"/>
  <c r="L92" i="22" s="1"/>
  <c r="F52" i="17"/>
  <c r="L64" i="22" s="1"/>
  <c r="D52" i="17"/>
  <c r="C52" i="17"/>
  <c r="G56" i="17"/>
  <c r="L96" i="22" s="1"/>
  <c r="F56" i="17"/>
  <c r="L68" i="22" s="1"/>
  <c r="D56" i="17"/>
  <c r="C56" i="17"/>
  <c r="F93" i="17"/>
  <c r="M76" i="22" s="1"/>
  <c r="G93" i="17"/>
  <c r="M104" i="22" s="1"/>
  <c r="D93" i="17"/>
  <c r="M48" i="22" s="1"/>
  <c r="G64" i="17"/>
  <c r="L104" i="22" s="1"/>
  <c r="F64" i="17"/>
  <c r="L76" i="22" s="1"/>
  <c r="D64" i="17"/>
  <c r="C64" i="17"/>
  <c r="G68" i="17"/>
  <c r="L108" i="22" s="1"/>
  <c r="F68" i="17"/>
  <c r="L80" i="22" s="1"/>
  <c r="D68" i="17"/>
  <c r="C68" i="17"/>
  <c r="G98" i="15"/>
  <c r="K109" i="22" s="1"/>
  <c r="G67" i="15"/>
  <c r="J107" i="22" s="1"/>
  <c r="F67" i="15"/>
  <c r="J79" i="22" s="1"/>
  <c r="D67" i="15"/>
  <c r="C67" i="15"/>
  <c r="G63" i="15"/>
  <c r="J103" i="22" s="1"/>
  <c r="F63" i="15"/>
  <c r="J75" i="22" s="1"/>
  <c r="D63" i="15"/>
  <c r="C63" i="15"/>
  <c r="G48" i="16"/>
  <c r="G53" i="15"/>
  <c r="J93" i="22" s="1"/>
  <c r="F53" i="15"/>
  <c r="J65" i="22" s="1"/>
  <c r="D53" i="15"/>
  <c r="C53" i="15"/>
  <c r="G38" i="16"/>
  <c r="G95" i="15"/>
  <c r="K106" i="22" s="1"/>
  <c r="F95" i="15"/>
  <c r="K78" i="22" s="1"/>
  <c r="D95" i="15"/>
  <c r="K50" i="22" s="1"/>
  <c r="C95" i="15"/>
  <c r="K22" i="22" s="1"/>
  <c r="G68" i="15"/>
  <c r="J108" i="22" s="1"/>
  <c r="F68" i="15"/>
  <c r="J80" i="22" s="1"/>
  <c r="D68" i="15"/>
  <c r="C68" i="15"/>
  <c r="G64" i="15"/>
  <c r="J104" i="22" s="1"/>
  <c r="F64" i="15"/>
  <c r="J76" i="22" s="1"/>
  <c r="D64" i="15"/>
  <c r="C64" i="15"/>
  <c r="G86" i="15"/>
  <c r="K97" i="22" s="1"/>
  <c r="F86" i="15"/>
  <c r="K69" i="22" s="1"/>
  <c r="D86" i="15"/>
  <c r="K41" i="22" s="1"/>
  <c r="C86" i="15"/>
  <c r="K13" i="22" s="1"/>
  <c r="G56" i="15"/>
  <c r="J96" i="22" s="1"/>
  <c r="F56" i="15"/>
  <c r="J68" i="22" s="1"/>
  <c r="D56" i="15"/>
  <c r="C56" i="15"/>
  <c r="G41" i="16"/>
  <c r="G52" i="15"/>
  <c r="J92" i="22" s="1"/>
  <c r="F52" i="15"/>
  <c r="J64" i="22" s="1"/>
  <c r="D52" i="15"/>
  <c r="C52" i="15"/>
  <c r="G37" i="16"/>
  <c r="G51" i="15"/>
  <c r="J91" i="22" s="1"/>
  <c r="F51" i="15"/>
  <c r="J63" i="22" s="1"/>
  <c r="D51" i="15"/>
  <c r="J35" i="22" s="1"/>
  <c r="C51" i="15"/>
  <c r="J7" i="22" s="1"/>
  <c r="G36" i="16"/>
  <c r="B134" i="13"/>
  <c r="M118" i="13"/>
  <c r="D88" i="13"/>
  <c r="D107" i="13"/>
  <c r="D119" i="13"/>
  <c r="D138" i="13"/>
  <c r="D104" i="20"/>
  <c r="F104" i="20" s="1"/>
  <c r="H104" i="20" s="1"/>
  <c r="D106" i="20"/>
  <c r="F106" i="20" s="1"/>
  <c r="H106" i="20" s="1"/>
  <c r="E110" i="20"/>
  <c r="G110" i="20" s="1"/>
  <c r="I110" i="20" s="1"/>
  <c r="E124" i="20"/>
  <c r="G124" i="20" s="1"/>
  <c r="I124" i="20" s="1"/>
  <c r="D116" i="20"/>
  <c r="F116" i="20" s="1"/>
  <c r="H116" i="20" s="1"/>
  <c r="D118" i="20"/>
  <c r="F118" i="20" s="1"/>
  <c r="H118" i="20" s="1"/>
  <c r="D120" i="20"/>
  <c r="F120" i="20" s="1"/>
  <c r="H120" i="20" s="1"/>
  <c r="E101" i="20"/>
  <c r="G101" i="20" s="1"/>
  <c r="I101" i="20" s="1"/>
  <c r="E105" i="20"/>
  <c r="G105" i="20" s="1"/>
  <c r="I105" i="20" s="1"/>
  <c r="E109" i="20"/>
  <c r="G109" i="20" s="1"/>
  <c r="I109" i="20" s="1"/>
  <c r="D103" i="20"/>
  <c r="F103" i="20" s="1"/>
  <c r="H103" i="20" s="1"/>
  <c r="D124" i="20"/>
  <c r="F124" i="20" s="1"/>
  <c r="H124" i="20" s="1"/>
  <c r="D110" i="20"/>
  <c r="F110" i="20" s="1"/>
  <c r="H110" i="20" s="1"/>
  <c r="E104" i="20"/>
  <c r="G104" i="20" s="1"/>
  <c r="I104" i="20" s="1"/>
  <c r="E108" i="20"/>
  <c r="G108" i="20" s="1"/>
  <c r="I108" i="20" s="1"/>
  <c r="D115" i="20"/>
  <c r="F115" i="20" s="1"/>
  <c r="H115" i="20" s="1"/>
  <c r="D117" i="20"/>
  <c r="F117" i="20" s="1"/>
  <c r="H117" i="20" s="1"/>
  <c r="D119" i="20"/>
  <c r="F119" i="20" s="1"/>
  <c r="H119" i="20" s="1"/>
  <c r="D121" i="20"/>
  <c r="F121" i="20" s="1"/>
  <c r="H121" i="20" s="1"/>
  <c r="D123" i="20"/>
  <c r="F123" i="20" s="1"/>
  <c r="H123" i="20" s="1"/>
  <c r="E103" i="20"/>
  <c r="G103" i="20" s="1"/>
  <c r="I103" i="20" s="1"/>
  <c r="E107" i="20"/>
  <c r="G107" i="20" s="1"/>
  <c r="I107" i="20" s="1"/>
  <c r="E100" i="20"/>
  <c r="G100" i="20" s="1"/>
  <c r="I100" i="20" s="1"/>
  <c r="D101" i="20"/>
  <c r="F101" i="20" s="1"/>
  <c r="H101" i="20" s="1"/>
  <c r="D105" i="20"/>
  <c r="F105" i="20" s="1"/>
  <c r="H105" i="20" s="1"/>
  <c r="D109" i="20"/>
  <c r="F109" i="20" s="1"/>
  <c r="H109" i="20" s="1"/>
  <c r="G49" i="18"/>
  <c r="G52" i="18"/>
  <c r="G51" i="18"/>
  <c r="G50" i="18"/>
  <c r="G42" i="18"/>
  <c r="J88" i="13"/>
  <c r="I88" i="13"/>
  <c r="M74" i="13"/>
  <c r="L74" i="13" s="1"/>
  <c r="J74" i="13"/>
  <c r="I74" i="13"/>
  <c r="M87" i="13"/>
  <c r="J87" i="13"/>
  <c r="D73" i="13"/>
  <c r="M73" i="13" s="1"/>
  <c r="D93" i="13"/>
  <c r="B89" i="13"/>
  <c r="B108" i="13"/>
  <c r="A131" i="14"/>
  <c r="A132" i="14"/>
  <c r="C51" i="14"/>
  <c r="E51" i="14" s="1"/>
  <c r="I79" i="14" s="1"/>
  <c r="B109" i="14"/>
  <c r="D109" i="14" s="1"/>
  <c r="I124" i="14" s="1"/>
  <c r="F106" i="14"/>
  <c r="G121" i="14" s="1"/>
  <c r="D106" i="14"/>
  <c r="F121" i="14" s="1"/>
  <c r="F103" i="14"/>
  <c r="D118" i="14" s="1"/>
  <c r="D103" i="14"/>
  <c r="C118" i="14" s="1"/>
  <c r="F107" i="14"/>
  <c r="H122" i="14" s="1"/>
  <c r="D107" i="14"/>
  <c r="G122" i="14" s="1"/>
  <c r="F105" i="14"/>
  <c r="F120" i="14" s="1"/>
  <c r="D105" i="14"/>
  <c r="E120" i="14" s="1"/>
  <c r="F102" i="14"/>
  <c r="D102" i="14"/>
  <c r="B117" i="14" s="1"/>
  <c r="B127" i="14" s="1"/>
  <c r="G104" i="14"/>
  <c r="E133" i="14" s="1"/>
  <c r="E104" i="14"/>
  <c r="G102" i="14"/>
  <c r="C131" i="14" s="1"/>
  <c r="E102" i="14"/>
  <c r="B131" i="14" s="1"/>
  <c r="B141" i="14" s="1"/>
  <c r="G52" i="14"/>
  <c r="B104" i="14"/>
  <c r="B108" i="14"/>
  <c r="C107" i="14"/>
  <c r="C46" i="14"/>
  <c r="G46" i="14" s="1"/>
  <c r="E74" i="14" s="1"/>
  <c r="B49" i="14"/>
  <c r="D49" i="14" s="1"/>
  <c r="G63" i="14" s="1"/>
  <c r="E52" i="14"/>
  <c r="F48" i="14"/>
  <c r="G62" i="14" s="1"/>
  <c r="D48" i="14"/>
  <c r="F62" i="14" s="1"/>
  <c r="G48" i="14"/>
  <c r="G76" i="14" s="1"/>
  <c r="E48" i="14"/>
  <c r="F76" i="14" s="1"/>
  <c r="G44" i="14"/>
  <c r="C72" i="14" s="1"/>
  <c r="E44" i="14"/>
  <c r="B72" i="14" s="1"/>
  <c r="B82" i="14" s="1"/>
  <c r="L72" i="14" s="1"/>
  <c r="F45" i="14"/>
  <c r="D59" i="14" s="1"/>
  <c r="D45" i="14"/>
  <c r="C59" i="14" s="1"/>
  <c r="G51" i="14"/>
  <c r="G47" i="14"/>
  <c r="F75" i="14" s="1"/>
  <c r="E47" i="14"/>
  <c r="E75" i="14" s="1"/>
  <c r="G45" i="14"/>
  <c r="D73" i="14" s="1"/>
  <c r="E45" i="14"/>
  <c r="C73" i="14" s="1"/>
  <c r="M92" i="13"/>
  <c r="C107" i="9"/>
  <c r="L107" i="9" s="1"/>
  <c r="C105" i="9"/>
  <c r="I105" i="9" s="1"/>
  <c r="E39" i="22" s="1"/>
  <c r="C103" i="9"/>
  <c r="L103" i="9" s="1"/>
  <c r="C101" i="9"/>
  <c r="H101" i="9" s="1"/>
  <c r="E7" i="22" s="1"/>
  <c r="C118" i="9"/>
  <c r="L118" i="9" s="1"/>
  <c r="C116" i="9"/>
  <c r="H116" i="9" s="1"/>
  <c r="E22" i="22" s="1"/>
  <c r="C114" i="9"/>
  <c r="I114" i="9" s="1"/>
  <c r="E48" i="22" s="1"/>
  <c r="C112" i="9"/>
  <c r="H112" i="9" s="1"/>
  <c r="E18" i="22" s="1"/>
  <c r="C108" i="9"/>
  <c r="I108" i="9" s="1"/>
  <c r="E42" i="22" s="1"/>
  <c r="C106" i="9"/>
  <c r="I106" i="9" s="1"/>
  <c r="E40" i="22" s="1"/>
  <c r="C104" i="9"/>
  <c r="I104" i="9" s="1"/>
  <c r="E38" i="22" s="1"/>
  <c r="C102" i="9"/>
  <c r="I102" i="9" s="1"/>
  <c r="E36" i="22" s="1"/>
  <c r="C119" i="9"/>
  <c r="H119" i="9" s="1"/>
  <c r="E25" i="22" s="1"/>
  <c r="C117" i="9"/>
  <c r="I117" i="9" s="1"/>
  <c r="E51" i="22" s="1"/>
  <c r="C115" i="9"/>
  <c r="H115" i="9" s="1"/>
  <c r="E21" i="22" s="1"/>
  <c r="C113" i="9"/>
  <c r="I113" i="9" s="1"/>
  <c r="E47" i="22" s="1"/>
  <c r="H107" i="9"/>
  <c r="E13" i="22" s="1"/>
  <c r="H103" i="9"/>
  <c r="E9" i="22" s="1"/>
  <c r="I101" i="9"/>
  <c r="E35" i="22" s="1"/>
  <c r="I118" i="9"/>
  <c r="E52" i="22" s="1"/>
  <c r="H108" i="9"/>
  <c r="E14" i="22" s="1"/>
  <c r="L104" i="9"/>
  <c r="I119" i="9"/>
  <c r="E53" i="22" s="1"/>
  <c r="L119" i="9"/>
  <c r="I79" i="9"/>
  <c r="D42" i="22" s="1"/>
  <c r="I77" i="9"/>
  <c r="D40" i="22" s="1"/>
  <c r="I75" i="9"/>
  <c r="D38" i="22" s="1"/>
  <c r="I73" i="9"/>
  <c r="D36" i="22" s="1"/>
  <c r="H79" i="9"/>
  <c r="H77" i="9"/>
  <c r="H75" i="9"/>
  <c r="H73" i="9"/>
  <c r="D8" i="22" s="1"/>
  <c r="B91" i="9"/>
  <c r="B109" i="9"/>
  <c r="C78" i="9"/>
  <c r="C76" i="9"/>
  <c r="C74" i="9"/>
  <c r="C72" i="9"/>
  <c r="C89" i="9"/>
  <c r="C87" i="9"/>
  <c r="C85" i="9"/>
  <c r="C83" i="9"/>
  <c r="L83" i="9" s="1"/>
  <c r="D102" i="22" s="1"/>
  <c r="C90" i="9"/>
  <c r="C88" i="9"/>
  <c r="C86" i="9"/>
  <c r="C84" i="9"/>
  <c r="B120" i="9"/>
  <c r="C71" i="1"/>
  <c r="C69" i="1"/>
  <c r="D111" i="1"/>
  <c r="E13" i="14" s="1"/>
  <c r="C110" i="14" s="1"/>
  <c r="D109" i="1"/>
  <c r="E11" i="14" s="1"/>
  <c r="C108" i="14" s="1"/>
  <c r="D107" i="1"/>
  <c r="E9" i="14" s="1"/>
  <c r="C106" i="14" s="1"/>
  <c r="G106" i="14" s="1"/>
  <c r="G135" i="14" s="1"/>
  <c r="E7" i="14"/>
  <c r="C103" i="14" s="1"/>
  <c r="G103" i="14" s="1"/>
  <c r="D132" i="14" s="1"/>
  <c r="K71" i="1"/>
  <c r="B70" i="22" s="1"/>
  <c r="K69" i="1"/>
  <c r="B68" i="22" s="1"/>
  <c r="C70" i="1"/>
  <c r="C68" i="1"/>
  <c r="B80" i="9"/>
  <c r="A5" i="8"/>
  <c r="C36" i="7"/>
  <c r="C37" i="7"/>
  <c r="C38" i="7"/>
  <c r="C39" i="7"/>
  <c r="C40" i="7"/>
  <c r="C41" i="7"/>
  <c r="C42" i="7"/>
  <c r="C43" i="7"/>
  <c r="B36" i="7"/>
  <c r="B37" i="7"/>
  <c r="B38" i="7"/>
  <c r="B39" i="7"/>
  <c r="B40" i="7"/>
  <c r="B41" i="7"/>
  <c r="B42" i="7"/>
  <c r="B43" i="7"/>
  <c r="C20" i="7"/>
  <c r="C21" i="7"/>
  <c r="C22" i="7"/>
  <c r="C23" i="7"/>
  <c r="C24" i="7"/>
  <c r="C25" i="7"/>
  <c r="C26" i="7"/>
  <c r="C27" i="7"/>
  <c r="B20" i="7"/>
  <c r="B21" i="7"/>
  <c r="B22" i="7"/>
  <c r="B23" i="7"/>
  <c r="B24" i="7"/>
  <c r="B25" i="7"/>
  <c r="B26" i="7"/>
  <c r="B27" i="7"/>
  <c r="A6" i="7"/>
  <c r="B6" i="7"/>
  <c r="A7" i="7"/>
  <c r="A8" i="7"/>
  <c r="A9" i="7"/>
  <c r="B21" i="6"/>
  <c r="B9" i="7" s="1"/>
  <c r="B20" i="6"/>
  <c r="B8" i="7" s="1"/>
  <c r="B19" i="6"/>
  <c r="B7" i="7" s="1"/>
  <c r="B11" i="6"/>
  <c r="D11" i="6" s="1"/>
  <c r="L73" i="13" l="1"/>
  <c r="N164" i="13" s="1"/>
  <c r="R164" i="13"/>
  <c r="O156" i="19"/>
  <c r="L125" i="19"/>
  <c r="L113" i="9"/>
  <c r="L102" i="9"/>
  <c r="L112" i="9"/>
  <c r="K103" i="9"/>
  <c r="E65" i="22" s="1"/>
  <c r="E93" i="22"/>
  <c r="J73" i="13"/>
  <c r="C164" i="13" s="1"/>
  <c r="D44" i="14"/>
  <c r="B58" i="14" s="1"/>
  <c r="B68" i="14" s="1"/>
  <c r="L58" i="14" s="1"/>
  <c r="E130" i="1"/>
  <c r="C99" i="22"/>
  <c r="K77" i="9"/>
  <c r="D68" i="22" s="1"/>
  <c r="D96" i="22"/>
  <c r="N167" i="19"/>
  <c r="L99" i="19"/>
  <c r="O103" i="22"/>
  <c r="S174" i="19"/>
  <c r="O110" i="22" s="1"/>
  <c r="N92" i="22"/>
  <c r="R163" i="19"/>
  <c r="N99" i="22" s="1"/>
  <c r="O167" i="19"/>
  <c r="L144" i="19"/>
  <c r="H113" i="9"/>
  <c r="E19" i="22" s="1"/>
  <c r="H102" i="9"/>
  <c r="E8" i="22" s="1"/>
  <c r="I112" i="9"/>
  <c r="E46" i="22" s="1"/>
  <c r="I107" i="9"/>
  <c r="E41" i="22" s="1"/>
  <c r="L87" i="13"/>
  <c r="N171" i="13" s="1"/>
  <c r="H70" i="22" s="1"/>
  <c r="R171" i="13"/>
  <c r="H98" i="22" s="1"/>
  <c r="K79" i="9"/>
  <c r="D70" i="22" s="1"/>
  <c r="D98" i="22"/>
  <c r="R98" i="22" s="1"/>
  <c r="K75" i="9"/>
  <c r="D66" i="22" s="1"/>
  <c r="D94" i="22"/>
  <c r="N103" i="22"/>
  <c r="R174" i="19"/>
  <c r="N110" i="22" s="1"/>
  <c r="K73" i="9"/>
  <c r="D64" i="22" s="1"/>
  <c r="D92" i="22"/>
  <c r="K119" i="9"/>
  <c r="E81" i="22" s="1"/>
  <c r="E109" i="22"/>
  <c r="K104" i="9"/>
  <c r="E66" i="22" s="1"/>
  <c r="E94" i="22"/>
  <c r="K118" i="9"/>
  <c r="E80" i="22" s="1"/>
  <c r="E108" i="22"/>
  <c r="K107" i="9"/>
  <c r="E69" i="22" s="1"/>
  <c r="E97" i="22"/>
  <c r="L118" i="13"/>
  <c r="O164" i="13" s="1"/>
  <c r="S164" i="13"/>
  <c r="F85" i="17"/>
  <c r="M68" i="22" s="1"/>
  <c r="G84" i="17"/>
  <c r="M95" i="22" s="1"/>
  <c r="E141" i="1"/>
  <c r="C110" i="22"/>
  <c r="B51" i="14"/>
  <c r="F51" i="14" s="1"/>
  <c r="O92" i="22"/>
  <c r="S163" i="19"/>
  <c r="O99" i="22" s="1"/>
  <c r="N156" i="19"/>
  <c r="L80" i="19"/>
  <c r="I115" i="9"/>
  <c r="E49" i="22" s="1"/>
  <c r="H114" i="9"/>
  <c r="E20" i="22" s="1"/>
  <c r="I103" i="9"/>
  <c r="E37" i="22" s="1"/>
  <c r="G57" i="12"/>
  <c r="F97" i="22" s="1"/>
  <c r="G58" i="12"/>
  <c r="F98" i="22" s="1"/>
  <c r="G66" i="12"/>
  <c r="F106" i="22" s="1"/>
  <c r="G69" i="12"/>
  <c r="F109" i="22" s="1"/>
  <c r="G56" i="12"/>
  <c r="F96" i="22" s="1"/>
  <c r="G53" i="12"/>
  <c r="F93" i="22" s="1"/>
  <c r="G54" i="12"/>
  <c r="G98" i="12"/>
  <c r="G110" i="22" s="1"/>
  <c r="G64" i="12"/>
  <c r="F104" i="22" s="1"/>
  <c r="H104" i="9"/>
  <c r="E10" i="22" s="1"/>
  <c r="L114" i="9"/>
  <c r="C171" i="13"/>
  <c r="G68" i="12"/>
  <c r="F108" i="22" s="1"/>
  <c r="G67" i="12"/>
  <c r="F107" i="22" s="1"/>
  <c r="L115" i="9"/>
  <c r="G55" i="12"/>
  <c r="F95" i="22" s="1"/>
  <c r="G87" i="12"/>
  <c r="G99" i="22" s="1"/>
  <c r="G65" i="12"/>
  <c r="C94" i="17"/>
  <c r="M21" i="22" s="1"/>
  <c r="G94" i="17"/>
  <c r="M105" i="22" s="1"/>
  <c r="C94" i="15"/>
  <c r="K21" i="22" s="1"/>
  <c r="G85" i="17"/>
  <c r="M96" i="22" s="1"/>
  <c r="F97" i="15"/>
  <c r="K80" i="22" s="1"/>
  <c r="F98" i="17"/>
  <c r="M81" i="22" s="1"/>
  <c r="G53" i="16"/>
  <c r="G94" i="15"/>
  <c r="K105" i="22" s="1"/>
  <c r="C84" i="17"/>
  <c r="M11" i="22" s="1"/>
  <c r="F94" i="17"/>
  <c r="M77" i="22" s="1"/>
  <c r="C80" i="9"/>
  <c r="L106" i="9"/>
  <c r="H118" i="9"/>
  <c r="E24" i="22" s="1"/>
  <c r="I87" i="13"/>
  <c r="B171" i="13" s="1"/>
  <c r="F49" i="14"/>
  <c r="H63" i="14" s="1"/>
  <c r="K70" i="1"/>
  <c r="B69" i="22" s="1"/>
  <c r="F82" i="14"/>
  <c r="G49" i="16"/>
  <c r="G52" i="16"/>
  <c r="F97" i="17"/>
  <c r="M80" i="22" s="1"/>
  <c r="F82" i="17"/>
  <c r="M65" i="22" s="1"/>
  <c r="D87" i="17"/>
  <c r="M42" i="22" s="1"/>
  <c r="G43" i="18"/>
  <c r="C84" i="15"/>
  <c r="K11" i="22" s="1"/>
  <c r="D93" i="15"/>
  <c r="K48" i="22" s="1"/>
  <c r="D83" i="17"/>
  <c r="M38" i="22" s="1"/>
  <c r="F46" i="14"/>
  <c r="E60" i="14" s="1"/>
  <c r="D110" i="14"/>
  <c r="J125" i="14" s="1"/>
  <c r="F96" i="15"/>
  <c r="K79" i="22" s="1"/>
  <c r="D68" i="14"/>
  <c r="D51" i="14"/>
  <c r="I65" i="14" s="1"/>
  <c r="C50" i="14"/>
  <c r="G38" i="18"/>
  <c r="G39" i="18"/>
  <c r="G53" i="18"/>
  <c r="F63" i="12"/>
  <c r="F75" i="22" s="1"/>
  <c r="G59" i="15"/>
  <c r="J99" i="22" s="1"/>
  <c r="C98" i="15"/>
  <c r="K25" i="22" s="1"/>
  <c r="C97" i="17"/>
  <c r="M24" i="22" s="1"/>
  <c r="G54" i="16"/>
  <c r="G96" i="15"/>
  <c r="K107" i="22" s="1"/>
  <c r="F87" i="17"/>
  <c r="M70" i="22" s="1"/>
  <c r="D90" i="12"/>
  <c r="C62" i="12"/>
  <c r="H106" i="9"/>
  <c r="E12" i="22" s="1"/>
  <c r="E49" i="14"/>
  <c r="G77" i="14" s="1"/>
  <c r="G82" i="14" s="1"/>
  <c r="E46" i="14"/>
  <c r="D74" i="14" s="1"/>
  <c r="D82" i="14" s="1"/>
  <c r="G82" i="17"/>
  <c r="M93" i="22" s="1"/>
  <c r="D84" i="15"/>
  <c r="K39" i="22" s="1"/>
  <c r="F93" i="15"/>
  <c r="K76" i="22" s="1"/>
  <c r="F83" i="17"/>
  <c r="M66" i="22" s="1"/>
  <c r="L72" i="9"/>
  <c r="L108" i="9"/>
  <c r="I116" i="9"/>
  <c r="E50" i="22" s="1"/>
  <c r="H105" i="9"/>
  <c r="E11" i="22" s="1"/>
  <c r="B47" i="14"/>
  <c r="G54" i="18"/>
  <c r="G40" i="18"/>
  <c r="F97" i="12"/>
  <c r="G81" i="22" s="1"/>
  <c r="F96" i="12"/>
  <c r="G80" i="22" s="1"/>
  <c r="C147" i="20"/>
  <c r="D147" i="20" s="1"/>
  <c r="D94" i="15"/>
  <c r="K49" i="22" s="1"/>
  <c r="D98" i="15"/>
  <c r="K53" i="22" s="1"/>
  <c r="D97" i="17"/>
  <c r="M52" i="22" s="1"/>
  <c r="C85" i="17"/>
  <c r="M12" i="22" s="1"/>
  <c r="C82" i="17"/>
  <c r="M9" i="22" s="1"/>
  <c r="F84" i="15"/>
  <c r="K67" i="22" s="1"/>
  <c r="G93" i="15"/>
  <c r="K104" i="22" s="1"/>
  <c r="G97" i="15"/>
  <c r="K108" i="22" s="1"/>
  <c r="C96" i="15"/>
  <c r="K23" i="22" s="1"/>
  <c r="G87" i="17"/>
  <c r="M98" i="22" s="1"/>
  <c r="G83" i="17"/>
  <c r="M94" i="22" s="1"/>
  <c r="D84" i="17"/>
  <c r="M39" i="22" s="1"/>
  <c r="C98" i="17"/>
  <c r="M25" i="22" s="1"/>
  <c r="B50" i="14"/>
  <c r="F92" i="12"/>
  <c r="G76" i="22" s="1"/>
  <c r="F64" i="12"/>
  <c r="F76" i="22" s="1"/>
  <c r="L117" i="9"/>
  <c r="G41" i="18"/>
  <c r="F95" i="12"/>
  <c r="G79" i="22" s="1"/>
  <c r="F67" i="12"/>
  <c r="F79" i="22" s="1"/>
  <c r="F66" i="12"/>
  <c r="F78" i="22" s="1"/>
  <c r="F94" i="12"/>
  <c r="G78" i="22" s="1"/>
  <c r="G40" i="16"/>
  <c r="G110" i="14"/>
  <c r="E110" i="14"/>
  <c r="J139" i="14" s="1"/>
  <c r="E108" i="14"/>
  <c r="G108" i="14"/>
  <c r="I137" i="14" s="1"/>
  <c r="B135" i="9"/>
  <c r="D12" i="22"/>
  <c r="H117" i="9"/>
  <c r="E23" i="22" s="1"/>
  <c r="L105" i="9"/>
  <c r="E103" i="14"/>
  <c r="C132" i="14" s="1"/>
  <c r="C141" i="14" s="1"/>
  <c r="F109" i="14"/>
  <c r="J124" i="14" s="1"/>
  <c r="C109" i="14"/>
  <c r="H42" i="22"/>
  <c r="C110" i="15"/>
  <c r="J36" i="22"/>
  <c r="J12" i="22"/>
  <c r="J37" i="22"/>
  <c r="B121" i="15"/>
  <c r="J19" i="22"/>
  <c r="J10" i="22"/>
  <c r="J14" i="22"/>
  <c r="C116" i="17"/>
  <c r="L42" i="22"/>
  <c r="L38" i="22"/>
  <c r="L39" i="22"/>
  <c r="B121" i="17"/>
  <c r="L19" i="22"/>
  <c r="N48" i="22"/>
  <c r="K168" i="19"/>
  <c r="K159" i="19"/>
  <c r="N39" i="22"/>
  <c r="N47" i="22"/>
  <c r="C174" i="19"/>
  <c r="N51" i="22"/>
  <c r="K171" i="19"/>
  <c r="N52" i="22"/>
  <c r="K172" i="19"/>
  <c r="K160" i="19"/>
  <c r="N40" i="22"/>
  <c r="N50" i="22"/>
  <c r="K170" i="19"/>
  <c r="B137" i="9"/>
  <c r="D14" i="22"/>
  <c r="E106" i="14"/>
  <c r="F135" i="14" s="1"/>
  <c r="J40" i="22"/>
  <c r="B122" i="15"/>
  <c r="J20" i="22"/>
  <c r="C121" i="15"/>
  <c r="J47" i="22"/>
  <c r="J23" i="22"/>
  <c r="B126" i="17"/>
  <c r="L24" i="22"/>
  <c r="B122" i="17"/>
  <c r="L20" i="22"/>
  <c r="L12" i="22"/>
  <c r="B110" i="17"/>
  <c r="L8" i="22"/>
  <c r="J38" i="22"/>
  <c r="J42" i="22"/>
  <c r="C121" i="17"/>
  <c r="L47" i="22"/>
  <c r="N10" i="22"/>
  <c r="J158" i="19"/>
  <c r="J173" i="19"/>
  <c r="N25" i="22"/>
  <c r="I144" i="19"/>
  <c r="F167" i="19"/>
  <c r="N37" i="22"/>
  <c r="K157" i="19"/>
  <c r="N41" i="22"/>
  <c r="K161" i="19"/>
  <c r="J169" i="19"/>
  <c r="N21" i="22"/>
  <c r="O8" i="22"/>
  <c r="F163" i="19"/>
  <c r="O15" i="22" s="1"/>
  <c r="N8" i="22"/>
  <c r="J156" i="19"/>
  <c r="B163" i="19"/>
  <c r="N14" i="22"/>
  <c r="J162" i="19"/>
  <c r="B52" i="14"/>
  <c r="H35" i="22"/>
  <c r="C90" i="12"/>
  <c r="J48" i="22"/>
  <c r="B126" i="15"/>
  <c r="J24" i="22"/>
  <c r="C125" i="15"/>
  <c r="J51" i="22"/>
  <c r="C126" i="17"/>
  <c r="L52" i="22"/>
  <c r="C122" i="17"/>
  <c r="L48" i="22"/>
  <c r="C114" i="17"/>
  <c r="L40" i="22"/>
  <c r="C110" i="17"/>
  <c r="L36" i="22"/>
  <c r="B115" i="17"/>
  <c r="L13" i="22"/>
  <c r="L9" i="22"/>
  <c r="L25" i="22"/>
  <c r="L21" i="22"/>
  <c r="B124" i="17"/>
  <c r="L22" i="22"/>
  <c r="N38" i="22"/>
  <c r="K158" i="19"/>
  <c r="N53" i="22"/>
  <c r="K173" i="19"/>
  <c r="J144" i="19"/>
  <c r="G167" i="19"/>
  <c r="N9" i="22"/>
  <c r="J157" i="19"/>
  <c r="N13" i="22"/>
  <c r="J161" i="19"/>
  <c r="N49" i="22"/>
  <c r="K169" i="19"/>
  <c r="O36" i="22"/>
  <c r="G163" i="19"/>
  <c r="O43" i="22" s="1"/>
  <c r="K156" i="19"/>
  <c r="C163" i="19"/>
  <c r="N36" i="22"/>
  <c r="N42" i="22"/>
  <c r="K162" i="19"/>
  <c r="D171" i="20"/>
  <c r="D44" i="18"/>
  <c r="D44" i="16"/>
  <c r="F85" i="15"/>
  <c r="K68" i="22" s="1"/>
  <c r="D85" i="15"/>
  <c r="K40" i="22" s="1"/>
  <c r="C85" i="15"/>
  <c r="K12" i="22" s="1"/>
  <c r="G85" i="15"/>
  <c r="K96" i="22" s="1"/>
  <c r="B133" i="9"/>
  <c r="D10" i="22"/>
  <c r="C105" i="14"/>
  <c r="E105" i="14" s="1"/>
  <c r="H14" i="22"/>
  <c r="B110" i="15"/>
  <c r="J8" i="22"/>
  <c r="C126" i="15"/>
  <c r="J52" i="22"/>
  <c r="J9" i="22"/>
  <c r="C115" i="17"/>
  <c r="L41" i="22"/>
  <c r="C111" i="17"/>
  <c r="L37" i="22"/>
  <c r="C127" i="17"/>
  <c r="L53" i="22"/>
  <c r="C123" i="17"/>
  <c r="L49" i="22"/>
  <c r="C124" i="17"/>
  <c r="L50" i="22"/>
  <c r="B116" i="17"/>
  <c r="L14" i="22"/>
  <c r="B112" i="17"/>
  <c r="L10" i="22"/>
  <c r="L11" i="22"/>
  <c r="N20" i="22"/>
  <c r="J168" i="19"/>
  <c r="N11" i="22"/>
  <c r="J159" i="19"/>
  <c r="N19" i="22"/>
  <c r="J167" i="19"/>
  <c r="B174" i="19"/>
  <c r="N23" i="22"/>
  <c r="J171" i="19"/>
  <c r="N24" i="22"/>
  <c r="J172" i="19"/>
  <c r="N12" i="22"/>
  <c r="J160" i="19"/>
  <c r="J170" i="19"/>
  <c r="N22" i="22"/>
  <c r="D182" i="20"/>
  <c r="D55" i="16"/>
  <c r="D55" i="18"/>
  <c r="F82" i="15"/>
  <c r="K65" i="22" s="1"/>
  <c r="D82" i="15"/>
  <c r="K37" i="22" s="1"/>
  <c r="C82" i="15"/>
  <c r="B111" i="15" s="1"/>
  <c r="G82" i="15"/>
  <c r="K93" i="22" s="1"/>
  <c r="F87" i="15"/>
  <c r="K70" i="22" s="1"/>
  <c r="D87" i="15"/>
  <c r="K42" i="22" s="1"/>
  <c r="C87" i="15"/>
  <c r="K14" i="22" s="1"/>
  <c r="G87" i="15"/>
  <c r="K98" i="22" s="1"/>
  <c r="F83" i="15"/>
  <c r="K66" i="22" s="1"/>
  <c r="D83" i="15"/>
  <c r="K38" i="22" s="1"/>
  <c r="C83" i="15"/>
  <c r="K10" i="22" s="1"/>
  <c r="G83" i="15"/>
  <c r="K94" i="22" s="1"/>
  <c r="J99" i="19"/>
  <c r="J80" i="19"/>
  <c r="I80" i="19"/>
  <c r="J125" i="19"/>
  <c r="I99" i="19"/>
  <c r="I125" i="19"/>
  <c r="M93" i="13"/>
  <c r="L93" i="13" s="1"/>
  <c r="J93" i="13"/>
  <c r="C175" i="13" s="1"/>
  <c r="I93" i="13"/>
  <c r="B175" i="13" s="1"/>
  <c r="J138" i="13"/>
  <c r="I138" i="13"/>
  <c r="J107" i="13"/>
  <c r="I107" i="13"/>
  <c r="C109" i="15"/>
  <c r="D59" i="15"/>
  <c r="J43" i="22" s="1"/>
  <c r="J139" i="13"/>
  <c r="G176" i="13" s="1"/>
  <c r="I47" i="22" s="1"/>
  <c r="M139" i="13"/>
  <c r="I139" i="13"/>
  <c r="F176" i="13" s="1"/>
  <c r="I19" i="22" s="1"/>
  <c r="J120" i="13"/>
  <c r="G165" i="13" s="1"/>
  <c r="I36" i="22" s="1"/>
  <c r="M120" i="13"/>
  <c r="I120" i="13"/>
  <c r="F165" i="13" s="1"/>
  <c r="I8" i="22" s="1"/>
  <c r="J106" i="13"/>
  <c r="M106" i="13"/>
  <c r="I106" i="13"/>
  <c r="B182" i="13" s="1"/>
  <c r="B120" i="15"/>
  <c r="C70" i="15"/>
  <c r="J26" i="22" s="1"/>
  <c r="C70" i="17"/>
  <c r="L26" i="22" s="1"/>
  <c r="B120" i="17"/>
  <c r="D59" i="17"/>
  <c r="L43" i="22" s="1"/>
  <c r="C109" i="17"/>
  <c r="G99" i="17"/>
  <c r="M110" i="22" s="1"/>
  <c r="C115" i="15"/>
  <c r="F70" i="15"/>
  <c r="J82" i="22" s="1"/>
  <c r="C124" i="15"/>
  <c r="F70" i="17"/>
  <c r="L82" i="22" s="1"/>
  <c r="G59" i="17"/>
  <c r="L99" i="22" s="1"/>
  <c r="B125" i="17"/>
  <c r="J119" i="13"/>
  <c r="I119" i="13"/>
  <c r="F164" i="13" s="1"/>
  <c r="B109" i="15"/>
  <c r="C59" i="15"/>
  <c r="J137" i="13"/>
  <c r="M137" i="13"/>
  <c r="I137" i="13"/>
  <c r="C120" i="15"/>
  <c r="D70" i="15"/>
  <c r="D70" i="17"/>
  <c r="L54" i="22" s="1"/>
  <c r="C120" i="17"/>
  <c r="B109" i="17"/>
  <c r="C59" i="17"/>
  <c r="L15" i="22" s="1"/>
  <c r="F59" i="15"/>
  <c r="J71" i="22" s="1"/>
  <c r="B115" i="15"/>
  <c r="G70" i="15"/>
  <c r="J110" i="22" s="1"/>
  <c r="B124" i="15"/>
  <c r="B123" i="15"/>
  <c r="G70" i="17"/>
  <c r="L110" i="22" s="1"/>
  <c r="F59" i="17"/>
  <c r="L71" i="22" s="1"/>
  <c r="C125" i="17"/>
  <c r="C141" i="20"/>
  <c r="D141" i="20" s="1"/>
  <c r="C136" i="20"/>
  <c r="C154" i="20"/>
  <c r="D154" i="20" s="1"/>
  <c r="F69" i="12"/>
  <c r="F81" i="22" s="1"/>
  <c r="F93" i="12"/>
  <c r="G77" i="22" s="1"/>
  <c r="C150" i="20"/>
  <c r="D150" i="20" s="1"/>
  <c r="F65" i="12"/>
  <c r="F77" i="22" s="1"/>
  <c r="F68" i="12"/>
  <c r="F80" i="22" s="1"/>
  <c r="C153" i="20"/>
  <c r="D153" i="20" s="1"/>
  <c r="C149" i="20"/>
  <c r="D149" i="20" s="1"/>
  <c r="C138" i="20"/>
  <c r="D138" i="20" s="1"/>
  <c r="C137" i="20"/>
  <c r="D137" i="20" s="1"/>
  <c r="C143" i="20"/>
  <c r="D143" i="20" s="1"/>
  <c r="C152" i="20"/>
  <c r="D152" i="20" s="1"/>
  <c r="C148" i="20"/>
  <c r="D148" i="20" s="1"/>
  <c r="C140" i="20"/>
  <c r="D140" i="20" s="1"/>
  <c r="C151" i="20"/>
  <c r="D151" i="20" s="1"/>
  <c r="C142" i="20"/>
  <c r="D142" i="20" s="1"/>
  <c r="I73" i="13"/>
  <c r="B164" i="13" s="1"/>
  <c r="H137" i="14"/>
  <c r="D133" i="14"/>
  <c r="D141" i="14" s="1"/>
  <c r="C117" i="14"/>
  <c r="C127" i="14" s="1"/>
  <c r="C82" i="14"/>
  <c r="E82" i="14"/>
  <c r="G127" i="14"/>
  <c r="C68" i="14"/>
  <c r="L59" i="14" s="1"/>
  <c r="G68" i="14"/>
  <c r="G107" i="14"/>
  <c r="H136" i="14" s="1"/>
  <c r="E107" i="14"/>
  <c r="G136" i="14" s="1"/>
  <c r="G141" i="14" s="1"/>
  <c r="F104" i="14"/>
  <c r="E119" i="14" s="1"/>
  <c r="E127" i="14" s="1"/>
  <c r="D104" i="14"/>
  <c r="E88" i="14"/>
  <c r="F88" i="14" s="1"/>
  <c r="B88" i="14"/>
  <c r="C88" i="14" s="1"/>
  <c r="F108" i="14"/>
  <c r="I123" i="14" s="1"/>
  <c r="I127" i="14" s="1"/>
  <c r="D108" i="14"/>
  <c r="H123" i="14" s="1"/>
  <c r="L92" i="13"/>
  <c r="B131" i="9"/>
  <c r="C109" i="9"/>
  <c r="C131" i="9"/>
  <c r="C135" i="9"/>
  <c r="C133" i="9"/>
  <c r="C137" i="9"/>
  <c r="C120" i="9"/>
  <c r="L116" i="9"/>
  <c r="L101" i="9"/>
  <c r="L84" i="9"/>
  <c r="I84" i="9"/>
  <c r="H84" i="9"/>
  <c r="L88" i="9"/>
  <c r="I88" i="9"/>
  <c r="H88" i="9"/>
  <c r="I83" i="9"/>
  <c r="D46" i="22" s="1"/>
  <c r="H83" i="9"/>
  <c r="D18" i="22" s="1"/>
  <c r="L87" i="9"/>
  <c r="I87" i="9"/>
  <c r="H87" i="9"/>
  <c r="I72" i="9"/>
  <c r="D35" i="22" s="1"/>
  <c r="H72" i="9"/>
  <c r="D7" i="22" s="1"/>
  <c r="L76" i="9"/>
  <c r="H76" i="9"/>
  <c r="I76" i="9"/>
  <c r="L86" i="9"/>
  <c r="I86" i="9"/>
  <c r="H86" i="9"/>
  <c r="L90" i="9"/>
  <c r="I90" i="9"/>
  <c r="H90" i="9"/>
  <c r="L85" i="9"/>
  <c r="I85" i="9"/>
  <c r="H85" i="9"/>
  <c r="L89" i="9"/>
  <c r="I89" i="9"/>
  <c r="H89" i="9"/>
  <c r="L74" i="9"/>
  <c r="H74" i="9"/>
  <c r="I74" i="9"/>
  <c r="L78" i="9"/>
  <c r="H78" i="9"/>
  <c r="I78" i="9"/>
  <c r="I120" i="9"/>
  <c r="E54" i="22" s="1"/>
  <c r="K83" i="9"/>
  <c r="D74" i="22" s="1"/>
  <c r="C91" i="9"/>
  <c r="H68" i="1"/>
  <c r="B11" i="22" s="1"/>
  <c r="I68" i="1"/>
  <c r="B39" i="22" s="1"/>
  <c r="I69" i="1"/>
  <c r="B40" i="22" s="1"/>
  <c r="H69" i="1"/>
  <c r="B12" i="22" s="1"/>
  <c r="H70" i="1"/>
  <c r="B13" i="22" s="1"/>
  <c r="I70" i="1"/>
  <c r="B41" i="22" s="1"/>
  <c r="I71" i="1"/>
  <c r="B42" i="22" s="1"/>
  <c r="H71" i="1"/>
  <c r="B14" i="22" s="1"/>
  <c r="K68" i="1"/>
  <c r="B67" i="22" s="1"/>
  <c r="B111" i="1"/>
  <c r="N111" i="1" s="1"/>
  <c r="D121" i="25" s="1"/>
  <c r="C121" i="25" s="1"/>
  <c r="B110" i="1"/>
  <c r="N110" i="1" s="1"/>
  <c r="D120" i="25" s="1"/>
  <c r="C120" i="25" s="1"/>
  <c r="B109" i="1"/>
  <c r="N109" i="1" s="1"/>
  <c r="D119" i="25" s="1"/>
  <c r="C119" i="25" s="1"/>
  <c r="B108" i="1"/>
  <c r="N108" i="1" s="1"/>
  <c r="D118" i="25" s="1"/>
  <c r="C118" i="25" s="1"/>
  <c r="B107" i="1"/>
  <c r="N107" i="1" s="1"/>
  <c r="D117" i="25" s="1"/>
  <c r="C117" i="25" s="1"/>
  <c r="B106" i="1"/>
  <c r="N106" i="1" s="1"/>
  <c r="D116" i="25" s="1"/>
  <c r="C116" i="25" s="1"/>
  <c r="B105" i="1"/>
  <c r="N105" i="1" s="1"/>
  <c r="B104" i="1"/>
  <c r="N104" i="1" s="1"/>
  <c r="B100" i="1"/>
  <c r="N100" i="1" s="1"/>
  <c r="D110" i="25" s="1"/>
  <c r="C110" i="25" s="1"/>
  <c r="B99" i="1"/>
  <c r="N99" i="1" s="1"/>
  <c r="D109" i="25" s="1"/>
  <c r="C109" i="25" s="1"/>
  <c r="B98" i="1"/>
  <c r="N98" i="1" s="1"/>
  <c r="D108" i="25" s="1"/>
  <c r="C108" i="25" s="1"/>
  <c r="B97" i="1"/>
  <c r="N97" i="1" s="1"/>
  <c r="D107" i="25" s="1"/>
  <c r="C107" i="25" s="1"/>
  <c r="B96" i="1"/>
  <c r="N96" i="1" s="1"/>
  <c r="D106" i="25" s="1"/>
  <c r="C106" i="25" s="1"/>
  <c r="B95" i="1"/>
  <c r="N95" i="1" s="1"/>
  <c r="D105" i="25" s="1"/>
  <c r="C105" i="25" s="1"/>
  <c r="B94" i="1"/>
  <c r="N94" i="1" s="1"/>
  <c r="B93" i="1"/>
  <c r="N93" i="1" s="1"/>
  <c r="B82" i="1"/>
  <c r="B81" i="1"/>
  <c r="B80" i="1"/>
  <c r="B79" i="1"/>
  <c r="B78" i="1"/>
  <c r="B77" i="1"/>
  <c r="B76" i="1"/>
  <c r="B75" i="1"/>
  <c r="B67" i="1"/>
  <c r="B66" i="1"/>
  <c r="B65" i="1"/>
  <c r="B64" i="1"/>
  <c r="K85" i="9" l="1"/>
  <c r="D76" i="22" s="1"/>
  <c r="D104" i="22"/>
  <c r="K88" i="9"/>
  <c r="D79" i="22" s="1"/>
  <c r="D107" i="22"/>
  <c r="L137" i="13"/>
  <c r="O175" i="13" s="1"/>
  <c r="S175" i="13"/>
  <c r="K114" i="9"/>
  <c r="E76" i="22" s="1"/>
  <c r="E104" i="22"/>
  <c r="E102" i="22"/>
  <c r="K112" i="9"/>
  <c r="E74" i="22" s="1"/>
  <c r="K89" i="9"/>
  <c r="D80" i="22" s="1"/>
  <c r="D108" i="22"/>
  <c r="K116" i="9"/>
  <c r="E106" i="22"/>
  <c r="N175" i="13"/>
  <c r="K105" i="9"/>
  <c r="E67" i="22" s="1"/>
  <c r="E95" i="22"/>
  <c r="K72" i="9"/>
  <c r="D63" i="22" s="1"/>
  <c r="D91" i="22"/>
  <c r="K106" i="9"/>
  <c r="E68" i="22" s="1"/>
  <c r="E96" i="22"/>
  <c r="G70" i="12"/>
  <c r="F110" i="22" s="1"/>
  <c r="F105" i="22"/>
  <c r="I63" i="22"/>
  <c r="R175" i="13"/>
  <c r="N75" i="22"/>
  <c r="N174" i="19"/>
  <c r="N82" i="22" s="1"/>
  <c r="K102" i="9"/>
  <c r="E64" i="22" s="1"/>
  <c r="E92" i="22"/>
  <c r="L106" i="13"/>
  <c r="N182" i="13" s="1"/>
  <c r="H81" i="22" s="1"/>
  <c r="R182" i="13"/>
  <c r="H109" i="22" s="1"/>
  <c r="K108" i="9"/>
  <c r="E70" i="22" s="1"/>
  <c r="E98" i="22"/>
  <c r="G59" i="12"/>
  <c r="F99" i="22" s="1"/>
  <c r="F94" i="22"/>
  <c r="I91" i="22"/>
  <c r="O64" i="22"/>
  <c r="O163" i="19"/>
  <c r="O71" i="22" s="1"/>
  <c r="H109" i="9"/>
  <c r="E15" i="22" s="1"/>
  <c r="K74" i="9"/>
  <c r="D65" i="22" s="1"/>
  <c r="D93" i="22"/>
  <c r="K86" i="9"/>
  <c r="D77" i="22" s="1"/>
  <c r="D105" i="22"/>
  <c r="K76" i="9"/>
  <c r="D67" i="22" s="1"/>
  <c r="D95" i="22"/>
  <c r="L139" i="13"/>
  <c r="O176" i="13" s="1"/>
  <c r="I75" i="22" s="1"/>
  <c r="S176" i="13"/>
  <c r="I103" i="22" s="1"/>
  <c r="O75" i="22"/>
  <c r="O174" i="19"/>
  <c r="O82" i="22" s="1"/>
  <c r="K113" i="9"/>
  <c r="E75" i="22" s="1"/>
  <c r="E103" i="22"/>
  <c r="S103" i="22" s="1"/>
  <c r="H91" i="22"/>
  <c r="K101" i="9"/>
  <c r="E63" i="22" s="1"/>
  <c r="E91" i="22"/>
  <c r="S91" i="22" s="1"/>
  <c r="K115" i="9"/>
  <c r="E77" i="22" s="1"/>
  <c r="E105" i="22"/>
  <c r="I109" i="9"/>
  <c r="E43" i="22" s="1"/>
  <c r="K78" i="9"/>
  <c r="D69" i="22" s="1"/>
  <c r="D97" i="22"/>
  <c r="K90" i="9"/>
  <c r="D81" i="22" s="1"/>
  <c r="D109" i="22"/>
  <c r="R109" i="22" s="1"/>
  <c r="H120" i="9"/>
  <c r="E26" i="22" s="1"/>
  <c r="K87" i="9"/>
  <c r="D78" i="22" s="1"/>
  <c r="D106" i="22"/>
  <c r="K84" i="9"/>
  <c r="D75" i="22" s="1"/>
  <c r="D103" i="22"/>
  <c r="F175" i="13"/>
  <c r="J175" i="13" s="1"/>
  <c r="L120" i="13"/>
  <c r="O165" i="13" s="1"/>
  <c r="I64" i="22" s="1"/>
  <c r="S165" i="13"/>
  <c r="I92" i="22" s="1"/>
  <c r="K117" i="9"/>
  <c r="E79" i="22" s="1"/>
  <c r="E107" i="22"/>
  <c r="N64" i="22"/>
  <c r="N163" i="19"/>
  <c r="N71" i="22" s="1"/>
  <c r="H63" i="22"/>
  <c r="F88" i="17"/>
  <c r="M71" i="22" s="1"/>
  <c r="B123" i="17"/>
  <c r="C99" i="17"/>
  <c r="M26" i="22" s="1"/>
  <c r="I105" i="25"/>
  <c r="H105" i="25"/>
  <c r="L105" i="25"/>
  <c r="Q93" i="22" s="1"/>
  <c r="I116" i="25"/>
  <c r="L116" i="25"/>
  <c r="Q104" i="22" s="1"/>
  <c r="H116" i="25"/>
  <c r="I106" i="25"/>
  <c r="H106" i="25"/>
  <c r="L106" i="25"/>
  <c r="L110" i="25"/>
  <c r="H110" i="25"/>
  <c r="I110" i="25"/>
  <c r="L117" i="25"/>
  <c r="H117" i="25"/>
  <c r="I117" i="25"/>
  <c r="I121" i="25"/>
  <c r="H121" i="25"/>
  <c r="L121" i="25"/>
  <c r="L107" i="25"/>
  <c r="H107" i="25"/>
  <c r="I107" i="25"/>
  <c r="H118" i="25"/>
  <c r="I118" i="25"/>
  <c r="L118" i="25"/>
  <c r="L108" i="25"/>
  <c r="H108" i="25"/>
  <c r="I108" i="25"/>
  <c r="I119" i="25"/>
  <c r="L119" i="25"/>
  <c r="H119" i="25"/>
  <c r="I109" i="25"/>
  <c r="H109" i="25"/>
  <c r="L109" i="25"/>
  <c r="H120" i="25"/>
  <c r="L120" i="25"/>
  <c r="I120" i="25"/>
  <c r="H155" i="20"/>
  <c r="G88" i="17"/>
  <c r="M99" i="22" s="1"/>
  <c r="C112" i="17"/>
  <c r="C127" i="15"/>
  <c r="F91" i="12"/>
  <c r="G75" i="22" s="1"/>
  <c r="D62" i="12"/>
  <c r="F46" i="22" s="1"/>
  <c r="F99" i="15"/>
  <c r="K82" i="22" s="1"/>
  <c r="G105" i="14"/>
  <c r="F134" i="14" s="1"/>
  <c r="F141" i="14" s="1"/>
  <c r="C122" i="15"/>
  <c r="D99" i="17"/>
  <c r="M54" i="22" s="1"/>
  <c r="B127" i="15"/>
  <c r="B113" i="17"/>
  <c r="B113" i="15"/>
  <c r="B125" i="15"/>
  <c r="B127" i="17"/>
  <c r="C99" i="15"/>
  <c r="K26" i="22" s="1"/>
  <c r="D88" i="15"/>
  <c r="K43" i="22" s="1"/>
  <c r="B111" i="17"/>
  <c r="F99" i="17"/>
  <c r="M82" i="22" s="1"/>
  <c r="C94" i="1"/>
  <c r="G123" i="1"/>
  <c r="B31" i="6" s="1"/>
  <c r="C98" i="1"/>
  <c r="F127" i="1" s="1"/>
  <c r="G127" i="1"/>
  <c r="B35" i="6" s="1"/>
  <c r="C105" i="1"/>
  <c r="G134" i="1"/>
  <c r="B41" i="6" s="1"/>
  <c r="C109" i="1"/>
  <c r="G138" i="1"/>
  <c r="B45" i="6" s="1"/>
  <c r="C95" i="1"/>
  <c r="G124" i="1"/>
  <c r="B32" i="6" s="1"/>
  <c r="C99" i="1"/>
  <c r="F128" i="1" s="1"/>
  <c r="G128" i="1"/>
  <c r="B36" i="6" s="1"/>
  <c r="C106" i="1"/>
  <c r="G135" i="1"/>
  <c r="B42" i="6" s="1"/>
  <c r="C110" i="1"/>
  <c r="G139" i="1"/>
  <c r="B46" i="6" s="1"/>
  <c r="C96" i="1"/>
  <c r="G125" i="1"/>
  <c r="B33" i="6" s="1"/>
  <c r="C100" i="1"/>
  <c r="F129" i="1" s="1"/>
  <c r="G129" i="1"/>
  <c r="B37" i="6" s="1"/>
  <c r="C107" i="1"/>
  <c r="G136" i="1"/>
  <c r="B43" i="6" s="1"/>
  <c r="C111" i="1"/>
  <c r="G140" i="1"/>
  <c r="B47" i="6" s="1"/>
  <c r="C93" i="1"/>
  <c r="G122" i="1"/>
  <c r="B30" i="6" s="1"/>
  <c r="C97" i="1"/>
  <c r="F126" i="1" s="1"/>
  <c r="G126" i="1"/>
  <c r="B34" i="6" s="1"/>
  <c r="C34" i="6" s="1"/>
  <c r="C104" i="1"/>
  <c r="G133" i="1"/>
  <c r="B40" i="6" s="1"/>
  <c r="C108" i="1"/>
  <c r="G137" i="1"/>
  <c r="B44" i="6" s="1"/>
  <c r="G99" i="15"/>
  <c r="K110" i="22" s="1"/>
  <c r="J127" i="14"/>
  <c r="M122" i="14" s="1"/>
  <c r="B153" i="14" s="1"/>
  <c r="L74" i="14"/>
  <c r="C88" i="17"/>
  <c r="M15" i="22" s="1"/>
  <c r="F88" i="15"/>
  <c r="K71" i="22" s="1"/>
  <c r="B114" i="17"/>
  <c r="C113" i="17"/>
  <c r="L73" i="14"/>
  <c r="E89" i="14" s="1"/>
  <c r="G88" i="15"/>
  <c r="K99" i="22" s="1"/>
  <c r="L109" i="9"/>
  <c r="E99" i="22" s="1"/>
  <c r="K80" i="9"/>
  <c r="D71" i="22" s="1"/>
  <c r="D99" i="15"/>
  <c r="K54" i="22" s="1"/>
  <c r="D55" i="12"/>
  <c r="C83" i="12"/>
  <c r="G11" i="22" s="1"/>
  <c r="E50" i="14"/>
  <c r="H78" i="14" s="1"/>
  <c r="H82" i="14" s="1"/>
  <c r="L76" i="14" s="1"/>
  <c r="E92" i="14" s="1"/>
  <c r="F92" i="14" s="1"/>
  <c r="G50" i="14"/>
  <c r="I78" i="14" s="1"/>
  <c r="I82" i="14" s="1"/>
  <c r="F70" i="12"/>
  <c r="F82" i="22" s="1"/>
  <c r="D50" i="14"/>
  <c r="H64" i="14" s="1"/>
  <c r="H68" i="14" s="1"/>
  <c r="L62" i="14" s="1"/>
  <c r="B92" i="14" s="1"/>
  <c r="C92" i="14" s="1"/>
  <c r="F50" i="14"/>
  <c r="I64" i="14" s="1"/>
  <c r="I68" i="14" s="1"/>
  <c r="F47" i="14"/>
  <c r="F61" i="14" s="1"/>
  <c r="F68" i="14" s="1"/>
  <c r="L61" i="14" s="1"/>
  <c r="B91" i="14" s="1"/>
  <c r="C91" i="14" s="1"/>
  <c r="D47" i="14"/>
  <c r="E61" i="14" s="1"/>
  <c r="E68" i="14" s="1"/>
  <c r="L60" i="14" s="1"/>
  <c r="C182" i="13"/>
  <c r="C123" i="15"/>
  <c r="D88" i="17"/>
  <c r="M43" i="22" s="1"/>
  <c r="C113" i="15"/>
  <c r="D51" i="12"/>
  <c r="F98" i="12"/>
  <c r="G82" i="22" s="1"/>
  <c r="H46" i="22"/>
  <c r="I7" i="22"/>
  <c r="C64" i="1"/>
  <c r="F122" i="1" s="1"/>
  <c r="B50" i="1"/>
  <c r="C66" i="1"/>
  <c r="D50" i="1"/>
  <c r="C81" i="1"/>
  <c r="F139" i="1" s="1"/>
  <c r="H51" i="1"/>
  <c r="B147" i="9"/>
  <c r="D24" i="22"/>
  <c r="C143" i="9"/>
  <c r="D48" i="22"/>
  <c r="C145" i="9"/>
  <c r="D50" i="22"/>
  <c r="B146" i="9"/>
  <c r="D23" i="22"/>
  <c r="C94" i="12"/>
  <c r="G22" i="22" s="1"/>
  <c r="C66" i="12"/>
  <c r="C67" i="1"/>
  <c r="F125" i="1" s="1"/>
  <c r="E50" i="1"/>
  <c r="C78" i="1"/>
  <c r="E51" i="1"/>
  <c r="C82" i="1"/>
  <c r="F140" i="1" s="1"/>
  <c r="I51" i="1"/>
  <c r="L91" i="9"/>
  <c r="D110" i="22" s="1"/>
  <c r="C132" i="9"/>
  <c r="D37" i="22"/>
  <c r="C147" i="9"/>
  <c r="D52" i="22"/>
  <c r="B144" i="9"/>
  <c r="D21" i="22"/>
  <c r="C146" i="9"/>
  <c r="D51" i="22"/>
  <c r="H141" i="14"/>
  <c r="C155" i="20"/>
  <c r="C85" i="12"/>
  <c r="G13" i="22" s="1"/>
  <c r="C57" i="12"/>
  <c r="D94" i="12"/>
  <c r="G50" i="22" s="1"/>
  <c r="D66" i="12"/>
  <c r="E155" i="20"/>
  <c r="C91" i="12"/>
  <c r="G19" i="22" s="1"/>
  <c r="C63" i="12"/>
  <c r="D95" i="12"/>
  <c r="G51" i="22" s="1"/>
  <c r="D67" i="12"/>
  <c r="D80" i="12"/>
  <c r="G36" i="22" s="1"/>
  <c r="D52" i="12"/>
  <c r="F81" i="12"/>
  <c r="G65" i="22" s="1"/>
  <c r="F53" i="12"/>
  <c r="F65" i="22" s="1"/>
  <c r="D96" i="12"/>
  <c r="G52" i="22" s="1"/>
  <c r="D68" i="12"/>
  <c r="D93" i="12"/>
  <c r="G49" i="22" s="1"/>
  <c r="D65" i="12"/>
  <c r="C97" i="12"/>
  <c r="G25" i="22" s="1"/>
  <c r="C69" i="12"/>
  <c r="C79" i="12"/>
  <c r="C51" i="12"/>
  <c r="J15" i="22"/>
  <c r="N26" i="22"/>
  <c r="G164" i="13"/>
  <c r="G18" i="22"/>
  <c r="N15" i="22"/>
  <c r="J163" i="19"/>
  <c r="C116" i="15"/>
  <c r="N54" i="22"/>
  <c r="B116" i="15"/>
  <c r="C111" i="15"/>
  <c r="C75" i="1"/>
  <c r="F133" i="1" s="1"/>
  <c r="B51" i="1"/>
  <c r="C79" i="1"/>
  <c r="F137" i="1" s="1"/>
  <c r="F51" i="1"/>
  <c r="B132" i="9"/>
  <c r="D9" i="22"/>
  <c r="C144" i="9"/>
  <c r="D49" i="22"/>
  <c r="C134" i="9"/>
  <c r="D39" i="22"/>
  <c r="D85" i="12"/>
  <c r="G41" i="22" s="1"/>
  <c r="D57" i="12"/>
  <c r="C86" i="12"/>
  <c r="G14" i="22" s="1"/>
  <c r="C58" i="12"/>
  <c r="F80" i="12"/>
  <c r="G64" i="22" s="1"/>
  <c r="F52" i="12"/>
  <c r="F64" i="22" s="1"/>
  <c r="C92" i="12"/>
  <c r="G20" i="22" s="1"/>
  <c r="C64" i="12"/>
  <c r="D79" i="12"/>
  <c r="C84" i="12"/>
  <c r="G12" i="22" s="1"/>
  <c r="C56" i="12"/>
  <c r="I18" i="22"/>
  <c r="H25" i="22"/>
  <c r="G174" i="19"/>
  <c r="O54" i="22" s="1"/>
  <c r="O47" i="22"/>
  <c r="F52" i="14"/>
  <c r="D52" i="14"/>
  <c r="K167" i="19"/>
  <c r="E109" i="14"/>
  <c r="I138" i="14" s="1"/>
  <c r="I141" i="14" s="1"/>
  <c r="G109" i="14"/>
  <c r="J138" i="14" s="1"/>
  <c r="J141" i="14" s="1"/>
  <c r="M136" i="14" s="1"/>
  <c r="E153" i="14" s="1"/>
  <c r="F153" i="14" s="1"/>
  <c r="E151" i="13" s="1"/>
  <c r="D151" i="13" s="1"/>
  <c r="C136" i="9"/>
  <c r="D41" i="22"/>
  <c r="B148" i="9"/>
  <c r="D25" i="22"/>
  <c r="H7" i="22"/>
  <c r="J164" i="13"/>
  <c r="D83" i="12"/>
  <c r="G39" i="22" s="1"/>
  <c r="C65" i="1"/>
  <c r="F123" i="1" s="1"/>
  <c r="C50" i="1"/>
  <c r="C76" i="1"/>
  <c r="C51" i="1"/>
  <c r="C80" i="1"/>
  <c r="I80" i="1" s="1"/>
  <c r="B51" i="22" s="1"/>
  <c r="G51" i="1"/>
  <c r="B136" i="9"/>
  <c r="D13" i="22"/>
  <c r="B143" i="9"/>
  <c r="D20" i="22"/>
  <c r="C148" i="9"/>
  <c r="D53" i="22"/>
  <c r="B134" i="9"/>
  <c r="D11" i="22"/>
  <c r="B145" i="9"/>
  <c r="D22" i="22"/>
  <c r="B142" i="9"/>
  <c r="D19" i="22"/>
  <c r="I155" i="20"/>
  <c r="F85" i="12"/>
  <c r="G69" i="22" s="1"/>
  <c r="F57" i="12"/>
  <c r="F69" i="22" s="1"/>
  <c r="F83" i="12"/>
  <c r="G67" i="22" s="1"/>
  <c r="F55" i="12"/>
  <c r="F67" i="22" s="1"/>
  <c r="F155" i="20"/>
  <c r="D91" i="12"/>
  <c r="G47" i="22" s="1"/>
  <c r="D63" i="12"/>
  <c r="C95" i="12"/>
  <c r="G23" i="22" s="1"/>
  <c r="C67" i="12"/>
  <c r="D86" i="12"/>
  <c r="G42" i="22" s="1"/>
  <c r="D58" i="12"/>
  <c r="C81" i="12"/>
  <c r="G9" i="22" s="1"/>
  <c r="C53" i="12"/>
  <c r="D92" i="12"/>
  <c r="G48" i="22" s="1"/>
  <c r="D64" i="12"/>
  <c r="C93" i="12"/>
  <c r="G21" i="22" s="1"/>
  <c r="C65" i="12"/>
  <c r="D97" i="12"/>
  <c r="G53" i="22" s="1"/>
  <c r="D69" i="12"/>
  <c r="D84" i="12"/>
  <c r="G40" i="22" s="1"/>
  <c r="D56" i="12"/>
  <c r="K9" i="22"/>
  <c r="C88" i="15"/>
  <c r="K15" i="22" s="1"/>
  <c r="C112" i="15"/>
  <c r="C114" i="15"/>
  <c r="B112" i="15"/>
  <c r="B114" i="15"/>
  <c r="G46" i="22"/>
  <c r="C77" i="1"/>
  <c r="F135" i="1" s="1"/>
  <c r="D51" i="1"/>
  <c r="C142" i="9"/>
  <c r="D47" i="22"/>
  <c r="F86" i="12"/>
  <c r="G70" i="22" s="1"/>
  <c r="F58" i="12"/>
  <c r="F70" i="22" s="1"/>
  <c r="R70" i="22" s="1"/>
  <c r="C80" i="12"/>
  <c r="G8" i="22" s="1"/>
  <c r="C52" i="12"/>
  <c r="D81" i="12"/>
  <c r="G37" i="22" s="1"/>
  <c r="D53" i="12"/>
  <c r="C96" i="12"/>
  <c r="G24" i="22" s="1"/>
  <c r="C68" i="12"/>
  <c r="F84" i="12"/>
  <c r="G68" i="22" s="1"/>
  <c r="F56" i="12"/>
  <c r="F68" i="22" s="1"/>
  <c r="J54" i="22"/>
  <c r="G175" i="13"/>
  <c r="H53" i="22"/>
  <c r="K163" i="19"/>
  <c r="N43" i="22"/>
  <c r="B118" i="12"/>
  <c r="F18" i="22"/>
  <c r="O19" i="22"/>
  <c r="F174" i="19"/>
  <c r="O26" i="22" s="1"/>
  <c r="H18" i="22"/>
  <c r="B128" i="17"/>
  <c r="B128" i="15"/>
  <c r="I144" i="20"/>
  <c r="C139" i="20"/>
  <c r="D139" i="20" s="1"/>
  <c r="D136" i="20"/>
  <c r="G88" i="14"/>
  <c r="E95" i="13" s="1"/>
  <c r="D95" i="13" s="1"/>
  <c r="E94" i="13"/>
  <c r="D94" i="13" s="1"/>
  <c r="C153" i="14"/>
  <c r="E132" i="13" s="1"/>
  <c r="D132" i="13" s="1"/>
  <c r="D88" i="14"/>
  <c r="E76" i="13" s="1"/>
  <c r="D76" i="13" s="1"/>
  <c r="E75" i="13"/>
  <c r="D75" i="13" s="1"/>
  <c r="F127" i="14"/>
  <c r="M118" i="14" s="1"/>
  <c r="B149" i="14" s="1"/>
  <c r="E134" i="14"/>
  <c r="E141" i="14" s="1"/>
  <c r="D119" i="14"/>
  <c r="D127" i="14" s="1"/>
  <c r="M117" i="14" s="1"/>
  <c r="B148" i="14" s="1"/>
  <c r="L75" i="14"/>
  <c r="E91" i="14" s="1"/>
  <c r="F91" i="14" s="1"/>
  <c r="H127" i="14"/>
  <c r="M120" i="14" s="1"/>
  <c r="B151" i="14" s="1"/>
  <c r="B89" i="14"/>
  <c r="C89" i="14" s="1"/>
  <c r="B90" i="14"/>
  <c r="C90" i="14" s="1"/>
  <c r="E90" i="14"/>
  <c r="F90" i="14" s="1"/>
  <c r="K91" i="9"/>
  <c r="D82" i="22" s="1"/>
  <c r="L120" i="9"/>
  <c r="E110" i="22" s="1"/>
  <c r="B130" i="9"/>
  <c r="H80" i="9"/>
  <c r="I91" i="9"/>
  <c r="C141" i="9"/>
  <c r="L80" i="9"/>
  <c r="D99" i="22" s="1"/>
  <c r="I80" i="9"/>
  <c r="C130" i="9"/>
  <c r="B141" i="9"/>
  <c r="H91" i="9"/>
  <c r="H77" i="1"/>
  <c r="B20" i="22" s="1"/>
  <c r="I77" i="1"/>
  <c r="B48" i="22" s="1"/>
  <c r="H79" i="1"/>
  <c r="B22" i="22" s="1"/>
  <c r="I79" i="1"/>
  <c r="B50" i="22" s="1"/>
  <c r="H81" i="1"/>
  <c r="B24" i="22" s="1"/>
  <c r="I81" i="1"/>
  <c r="B52" i="22" s="1"/>
  <c r="H64" i="1"/>
  <c r="B7" i="22" s="1"/>
  <c r="I64" i="1"/>
  <c r="B35" i="22" s="1"/>
  <c r="H65" i="1"/>
  <c r="B8" i="22" s="1"/>
  <c r="I67" i="1"/>
  <c r="B38" i="22" s="1"/>
  <c r="H67" i="1"/>
  <c r="B10" i="22" s="1"/>
  <c r="H76" i="1"/>
  <c r="B19" i="22" s="1"/>
  <c r="H80" i="1"/>
  <c r="B23" i="22" s="1"/>
  <c r="H82" i="1"/>
  <c r="B25" i="22" s="1"/>
  <c r="I82" i="1"/>
  <c r="B53" i="22" s="1"/>
  <c r="K82" i="1"/>
  <c r="B81" i="22" s="1"/>
  <c r="R81" i="22" s="1"/>
  <c r="B101" i="1"/>
  <c r="G130" i="1" s="1"/>
  <c r="B38" i="6" s="1"/>
  <c r="C38" i="6" s="1"/>
  <c r="E38" i="6" s="1"/>
  <c r="B112" i="1"/>
  <c r="G141" i="1" s="1"/>
  <c r="B48" i="6" s="1"/>
  <c r="B72" i="1"/>
  <c r="B83" i="1"/>
  <c r="K118" i="25" l="1"/>
  <c r="Q78" i="22" s="1"/>
  <c r="Q106" i="22"/>
  <c r="I65" i="1"/>
  <c r="B36" i="22" s="1"/>
  <c r="K109" i="9"/>
  <c r="E71" i="22" s="1"/>
  <c r="K120" i="25"/>
  <c r="Q80" i="22" s="1"/>
  <c r="Q108" i="22"/>
  <c r="K107" i="25"/>
  <c r="Q67" i="22" s="1"/>
  <c r="Q95" i="22"/>
  <c r="R103" i="22"/>
  <c r="T103" i="22" s="1"/>
  <c r="I102" i="22"/>
  <c r="H74" i="22"/>
  <c r="K121" i="25"/>
  <c r="Q81" i="22" s="1"/>
  <c r="Q109" i="22"/>
  <c r="K110" i="25"/>
  <c r="Q70" i="22" s="1"/>
  <c r="Q98" i="22"/>
  <c r="K120" i="9"/>
  <c r="E82" i="22" s="1"/>
  <c r="E78" i="22"/>
  <c r="S102" i="22"/>
  <c r="I74" i="22"/>
  <c r="R91" i="22"/>
  <c r="T91" i="22" s="1"/>
  <c r="K109" i="25"/>
  <c r="Q69" i="22" s="1"/>
  <c r="Q97" i="22"/>
  <c r="K119" i="25"/>
  <c r="Q79" i="22" s="1"/>
  <c r="Q107" i="22"/>
  <c r="K108" i="25"/>
  <c r="Q68" i="22" s="1"/>
  <c r="Q96" i="22"/>
  <c r="K117" i="25"/>
  <c r="Q77" i="22" s="1"/>
  <c r="Q105" i="22"/>
  <c r="K106" i="25"/>
  <c r="Q66" i="22" s="1"/>
  <c r="Q94" i="22"/>
  <c r="S92" i="22"/>
  <c r="H102" i="22"/>
  <c r="R102" i="22" s="1"/>
  <c r="T102" i="22" s="1"/>
  <c r="Q52" i="22"/>
  <c r="C149" i="25"/>
  <c r="Q13" i="22"/>
  <c r="B138" i="25"/>
  <c r="Q51" i="22"/>
  <c r="C148" i="25"/>
  <c r="Q11" i="22"/>
  <c r="B136" i="25"/>
  <c r="Q53" i="22"/>
  <c r="C150" i="25"/>
  <c r="Q42" i="22"/>
  <c r="C139" i="25"/>
  <c r="Q10" i="22"/>
  <c r="B135" i="25"/>
  <c r="Q48" i="22"/>
  <c r="I122" i="25"/>
  <c r="C145" i="25"/>
  <c r="C112" i="1"/>
  <c r="Q41" i="22"/>
  <c r="C138" i="25"/>
  <c r="Q40" i="22"/>
  <c r="C137" i="25"/>
  <c r="Q50" i="22"/>
  <c r="C147" i="25"/>
  <c r="Q49" i="22"/>
  <c r="C146" i="25"/>
  <c r="Q14" i="22"/>
  <c r="B139" i="25"/>
  <c r="Q38" i="22"/>
  <c r="C135" i="25"/>
  <c r="K105" i="25"/>
  <c r="L111" i="25"/>
  <c r="Q99" i="22" s="1"/>
  <c r="Q24" i="22"/>
  <c r="B149" i="25"/>
  <c r="Q23" i="22"/>
  <c r="B148" i="25"/>
  <c r="Q12" i="22"/>
  <c r="B137" i="25"/>
  <c r="Q22" i="22"/>
  <c r="B147" i="25"/>
  <c r="Q21" i="22"/>
  <c r="B146" i="25"/>
  <c r="Q20" i="22"/>
  <c r="B145" i="25"/>
  <c r="H122" i="25"/>
  <c r="Q9" i="22"/>
  <c r="B134" i="25"/>
  <c r="H111" i="25"/>
  <c r="Q39" i="22"/>
  <c r="C136" i="25"/>
  <c r="Q25" i="22"/>
  <c r="B150" i="25"/>
  <c r="K116" i="25"/>
  <c r="L122" i="25"/>
  <c r="Q110" i="22" s="1"/>
  <c r="Q37" i="22"/>
  <c r="C134" i="25"/>
  <c r="I111" i="25"/>
  <c r="C118" i="12"/>
  <c r="I157" i="20"/>
  <c r="E144" i="20"/>
  <c r="C55" i="12"/>
  <c r="C128" i="17"/>
  <c r="C117" i="17"/>
  <c r="C117" i="15"/>
  <c r="M134" i="14"/>
  <c r="E151" i="14" s="1"/>
  <c r="F151" i="14" s="1"/>
  <c r="E147" i="13" s="1"/>
  <c r="D147" i="13" s="1"/>
  <c r="B117" i="17"/>
  <c r="M133" i="14"/>
  <c r="E150" i="14" s="1"/>
  <c r="F150" i="14" s="1"/>
  <c r="E145" i="13" s="1"/>
  <c r="D145" i="13" s="1"/>
  <c r="M145" i="13" s="1"/>
  <c r="F138" i="1"/>
  <c r="M132" i="14"/>
  <c r="E149" i="14" s="1"/>
  <c r="F149" i="14" s="1"/>
  <c r="E143" i="13" s="1"/>
  <c r="D143" i="13" s="1"/>
  <c r="C101" i="1"/>
  <c r="D101" i="1" s="1"/>
  <c r="C128" i="15"/>
  <c r="M121" i="14"/>
  <c r="B152" i="14" s="1"/>
  <c r="C152" i="14" s="1"/>
  <c r="E130" i="13" s="1"/>
  <c r="D130" i="13" s="1"/>
  <c r="J130" i="13" s="1"/>
  <c r="C44" i="6"/>
  <c r="E44" i="6" s="1"/>
  <c r="G108" i="1" s="1"/>
  <c r="K108" i="1" s="1"/>
  <c r="C78" i="22" s="1"/>
  <c r="E34" i="6"/>
  <c r="G97" i="1" s="1"/>
  <c r="C47" i="6"/>
  <c r="E47" i="6" s="1"/>
  <c r="G111" i="1" s="1"/>
  <c r="C37" i="6"/>
  <c r="E37" i="6" s="1"/>
  <c r="G100" i="1" s="1"/>
  <c r="C46" i="6"/>
  <c r="E46" i="6" s="1"/>
  <c r="G110" i="1" s="1"/>
  <c r="K110" i="1" s="1"/>
  <c r="C80" i="22" s="1"/>
  <c r="C36" i="6"/>
  <c r="E36" i="6" s="1"/>
  <c r="G99" i="1" s="1"/>
  <c r="C45" i="6"/>
  <c r="E45" i="6" s="1"/>
  <c r="G109" i="1" s="1"/>
  <c r="K109" i="1" s="1"/>
  <c r="C79" i="22" s="1"/>
  <c r="C35" i="6"/>
  <c r="E35" i="6" s="1"/>
  <c r="G98" i="1" s="1"/>
  <c r="K98" i="1" s="1"/>
  <c r="C68" i="22" s="1"/>
  <c r="D112" i="1"/>
  <c r="D38" i="6"/>
  <c r="F144" i="20"/>
  <c r="C40" i="6"/>
  <c r="D40" i="6" s="1"/>
  <c r="C30" i="6"/>
  <c r="D30" i="6" s="1"/>
  <c r="C43" i="6"/>
  <c r="E43" i="6" s="1"/>
  <c r="G107" i="1" s="1"/>
  <c r="C33" i="6"/>
  <c r="E33" i="6" s="1"/>
  <c r="G96" i="1" s="1"/>
  <c r="K96" i="1" s="1"/>
  <c r="C66" i="22" s="1"/>
  <c r="C42" i="6"/>
  <c r="E42" i="6" s="1"/>
  <c r="G106" i="1" s="1"/>
  <c r="K106" i="1" s="1"/>
  <c r="C76" i="22" s="1"/>
  <c r="C32" i="6"/>
  <c r="E32" i="6" s="1"/>
  <c r="G95" i="1" s="1"/>
  <c r="K95" i="1" s="1"/>
  <c r="C65" i="22" s="1"/>
  <c r="C41" i="6"/>
  <c r="E41" i="6" s="1"/>
  <c r="G105" i="1" s="1"/>
  <c r="K105" i="1" s="1"/>
  <c r="C75" i="22" s="1"/>
  <c r="S75" i="22" s="1"/>
  <c r="C31" i="6"/>
  <c r="E31" i="6" s="1"/>
  <c r="G94" i="1" s="1"/>
  <c r="K94" i="1" s="1"/>
  <c r="C64" i="22" s="1"/>
  <c r="S64" i="22" s="1"/>
  <c r="C48" i="6"/>
  <c r="E48" i="6" s="1"/>
  <c r="I75" i="1"/>
  <c r="H75" i="1"/>
  <c r="L63" i="14"/>
  <c r="B93" i="14" s="1"/>
  <c r="C93" i="14" s="1"/>
  <c r="H78" i="1"/>
  <c r="B21" i="22" s="1"/>
  <c r="F136" i="1"/>
  <c r="C72" i="1"/>
  <c r="F130" i="1" s="1"/>
  <c r="F124" i="1"/>
  <c r="I76" i="1"/>
  <c r="B47" i="22" s="1"/>
  <c r="F134" i="1"/>
  <c r="M135" i="14"/>
  <c r="E152" i="14" s="1"/>
  <c r="F152" i="14" s="1"/>
  <c r="E149" i="13" s="1"/>
  <c r="D149" i="13" s="1"/>
  <c r="J149" i="13" s="1"/>
  <c r="L77" i="14"/>
  <c r="E93" i="14" s="1"/>
  <c r="F93" i="14" s="1"/>
  <c r="I78" i="1"/>
  <c r="B49" i="22" s="1"/>
  <c r="C83" i="1"/>
  <c r="F141" i="1" s="1"/>
  <c r="I66" i="1"/>
  <c r="B37" i="22" s="1"/>
  <c r="H66" i="1"/>
  <c r="B9" i="22" s="1"/>
  <c r="C70" i="12"/>
  <c r="F26" i="22" s="1"/>
  <c r="C144" i="20"/>
  <c r="D98" i="12"/>
  <c r="G54" i="22" s="1"/>
  <c r="C149" i="9"/>
  <c r="D54" i="22"/>
  <c r="F82" i="12"/>
  <c r="F54" i="12"/>
  <c r="C112" i="12"/>
  <c r="F40" i="22"/>
  <c r="C125" i="12"/>
  <c r="F53" i="22"/>
  <c r="R53" i="22" s="1"/>
  <c r="C120" i="12"/>
  <c r="F48" i="22"/>
  <c r="C114" i="12"/>
  <c r="F42" i="22"/>
  <c r="R42" i="22" s="1"/>
  <c r="C119" i="12"/>
  <c r="F47" i="22"/>
  <c r="C111" i="12"/>
  <c r="F39" i="22"/>
  <c r="G35" i="22"/>
  <c r="B125" i="12"/>
  <c r="F25" i="22"/>
  <c r="R25" i="22" s="1"/>
  <c r="C124" i="12"/>
  <c r="F52" i="22"/>
  <c r="C108" i="12"/>
  <c r="F36" i="22"/>
  <c r="B119" i="12"/>
  <c r="F19" i="22"/>
  <c r="B46" i="22"/>
  <c r="R46" i="22" s="1"/>
  <c r="C138" i="9"/>
  <c r="D43" i="22"/>
  <c r="B138" i="9"/>
  <c r="D15" i="22"/>
  <c r="I46" i="22"/>
  <c r="C109" i="12"/>
  <c r="F37" i="22"/>
  <c r="B112" i="12"/>
  <c r="F12" i="22"/>
  <c r="B120" i="12"/>
  <c r="F20" i="22"/>
  <c r="B114" i="12"/>
  <c r="F14" i="22"/>
  <c r="R14" i="22" s="1"/>
  <c r="I35" i="22"/>
  <c r="K164" i="13"/>
  <c r="B117" i="15"/>
  <c r="C122" i="12"/>
  <c r="F50" i="22"/>
  <c r="B122" i="12"/>
  <c r="F22" i="22"/>
  <c r="B149" i="9"/>
  <c r="D26" i="22"/>
  <c r="C82" i="12"/>
  <c r="G10" i="22" s="1"/>
  <c r="C54" i="12"/>
  <c r="B121" i="12"/>
  <c r="F21" i="22"/>
  <c r="B109" i="12"/>
  <c r="F9" i="22"/>
  <c r="B123" i="12"/>
  <c r="F23" i="22"/>
  <c r="K174" i="19"/>
  <c r="B107" i="12"/>
  <c r="F7" i="22"/>
  <c r="R7" i="22" s="1"/>
  <c r="C121" i="12"/>
  <c r="F49" i="22"/>
  <c r="C123" i="12"/>
  <c r="F51" i="22"/>
  <c r="H144" i="20"/>
  <c r="D82" i="12"/>
  <c r="G38" i="22" s="1"/>
  <c r="D54" i="12"/>
  <c r="B124" i="12"/>
  <c r="F24" i="22"/>
  <c r="B108" i="12"/>
  <c r="F8" i="22"/>
  <c r="D70" i="12"/>
  <c r="C107" i="12"/>
  <c r="F35" i="22"/>
  <c r="R35" i="22" s="1"/>
  <c r="C113" i="12"/>
  <c r="F41" i="22"/>
  <c r="C98" i="12"/>
  <c r="G26" i="22" s="1"/>
  <c r="J174" i="19"/>
  <c r="G7" i="22"/>
  <c r="B111" i="12"/>
  <c r="F11" i="22"/>
  <c r="B113" i="12"/>
  <c r="F13" i="22"/>
  <c r="K175" i="13"/>
  <c r="D152" i="14"/>
  <c r="E131" i="13" s="1"/>
  <c r="D131" i="13" s="1"/>
  <c r="I131" i="13" s="1"/>
  <c r="G93" i="14"/>
  <c r="E105" i="13" s="1"/>
  <c r="D105" i="13" s="1"/>
  <c r="E104" i="13"/>
  <c r="D104" i="13" s="1"/>
  <c r="G92" i="14"/>
  <c r="E103" i="13" s="1"/>
  <c r="D103" i="13" s="1"/>
  <c r="E102" i="13"/>
  <c r="D102" i="13" s="1"/>
  <c r="D93" i="14"/>
  <c r="E86" i="13" s="1"/>
  <c r="D86" i="13" s="1"/>
  <c r="E85" i="13"/>
  <c r="D85" i="13" s="1"/>
  <c r="G90" i="14"/>
  <c r="E99" i="13" s="1"/>
  <c r="D99" i="13" s="1"/>
  <c r="E98" i="13"/>
  <c r="D98" i="13" s="1"/>
  <c r="D91" i="14"/>
  <c r="E82" i="13" s="1"/>
  <c r="D82" i="13" s="1"/>
  <c r="E81" i="13"/>
  <c r="D81" i="13" s="1"/>
  <c r="C148" i="14"/>
  <c r="E122" i="13" s="1"/>
  <c r="D122" i="13" s="1"/>
  <c r="C149" i="14"/>
  <c r="E124" i="13" s="1"/>
  <c r="D124" i="13" s="1"/>
  <c r="J151" i="13"/>
  <c r="M151" i="13"/>
  <c r="I151" i="13"/>
  <c r="I149" i="13"/>
  <c r="M75" i="13"/>
  <c r="I75" i="13"/>
  <c r="J75" i="13"/>
  <c r="J132" i="13"/>
  <c r="M132" i="13"/>
  <c r="I132" i="13"/>
  <c r="M95" i="13"/>
  <c r="L95" i="13" s="1"/>
  <c r="J95" i="13"/>
  <c r="I95" i="13"/>
  <c r="D90" i="14"/>
  <c r="E80" i="13" s="1"/>
  <c r="D80" i="13" s="1"/>
  <c r="E79" i="13"/>
  <c r="D79" i="13" s="1"/>
  <c r="D92" i="14"/>
  <c r="E84" i="13" s="1"/>
  <c r="D84" i="13" s="1"/>
  <c r="E83" i="13"/>
  <c r="D83" i="13" s="1"/>
  <c r="D89" i="14"/>
  <c r="E78" i="13" s="1"/>
  <c r="D78" i="13" s="1"/>
  <c r="E77" i="13"/>
  <c r="D77" i="13" s="1"/>
  <c r="C151" i="14"/>
  <c r="E128" i="13" s="1"/>
  <c r="D128" i="13" s="1"/>
  <c r="G91" i="14"/>
  <c r="E101" i="13" s="1"/>
  <c r="D101" i="13" s="1"/>
  <c r="E100" i="13"/>
  <c r="D100" i="13" s="1"/>
  <c r="J76" i="13"/>
  <c r="M76" i="13"/>
  <c r="L76" i="13" s="1"/>
  <c r="I76" i="13"/>
  <c r="J94" i="13"/>
  <c r="M94" i="13"/>
  <c r="R176" i="13" s="1"/>
  <c r="H103" i="22" s="1"/>
  <c r="I94" i="13"/>
  <c r="I130" i="13"/>
  <c r="G153" i="14"/>
  <c r="E152" i="13" s="1"/>
  <c r="D152" i="13" s="1"/>
  <c r="D153" i="14"/>
  <c r="E133" i="13" s="1"/>
  <c r="D133" i="13" s="1"/>
  <c r="M131" i="14"/>
  <c r="E148" i="14" s="1"/>
  <c r="M119" i="14"/>
  <c r="B150" i="14" s="1"/>
  <c r="F89" i="14"/>
  <c r="I83" i="1"/>
  <c r="B54" i="22" s="1"/>
  <c r="K99" i="1"/>
  <c r="C69" i="22" s="1"/>
  <c r="K107" i="1"/>
  <c r="C77" i="22" s="1"/>
  <c r="K75" i="1"/>
  <c r="B74" i="22" s="1"/>
  <c r="R74" i="22" s="1"/>
  <c r="K65" i="1"/>
  <c r="B64" i="22" s="1"/>
  <c r="K78" i="1"/>
  <c r="B77" i="22" s="1"/>
  <c r="K64" i="1"/>
  <c r="B63" i="22" s="1"/>
  <c r="R63" i="22" s="1"/>
  <c r="K79" i="1"/>
  <c r="B78" i="22" s="1"/>
  <c r="K97" i="1"/>
  <c r="C67" i="22" s="1"/>
  <c r="K76" i="1"/>
  <c r="B75" i="22" s="1"/>
  <c r="K77" i="1"/>
  <c r="B76" i="22" s="1"/>
  <c r="K81" i="1"/>
  <c r="B80" i="22" s="1"/>
  <c r="K67" i="1"/>
  <c r="B66" i="22" s="1"/>
  <c r="K80" i="1"/>
  <c r="B79" i="22" s="1"/>
  <c r="K66" i="1"/>
  <c r="B65" i="22" s="1"/>
  <c r="L145" i="13" l="1"/>
  <c r="O179" i="13" s="1"/>
  <c r="I78" i="22" s="1"/>
  <c r="S179" i="13"/>
  <c r="I106" i="22" s="1"/>
  <c r="S106" i="22" s="1"/>
  <c r="G150" i="14"/>
  <c r="E146" i="13" s="1"/>
  <c r="D146" i="13" s="1"/>
  <c r="J145" i="13"/>
  <c r="S78" i="22"/>
  <c r="K111" i="25"/>
  <c r="Q71" i="22" s="1"/>
  <c r="Q65" i="22"/>
  <c r="L132" i="13"/>
  <c r="O171" i="13" s="1"/>
  <c r="I70" i="22" s="1"/>
  <c r="S171" i="13"/>
  <c r="I98" i="22" s="1"/>
  <c r="S98" i="22" s="1"/>
  <c r="T98" i="22" s="1"/>
  <c r="R165" i="13"/>
  <c r="F87" i="12"/>
  <c r="G71" i="22" s="1"/>
  <c r="G66" i="22"/>
  <c r="E30" i="6"/>
  <c r="G93" i="1" s="1"/>
  <c r="K93" i="1" s="1"/>
  <c r="C63" i="22" s="1"/>
  <c r="S63" i="22" s="1"/>
  <c r="T63" i="22" s="1"/>
  <c r="F59" i="12"/>
  <c r="F71" i="22" s="1"/>
  <c r="F66" i="22"/>
  <c r="I145" i="13"/>
  <c r="L151" i="13"/>
  <c r="O182" i="13" s="1"/>
  <c r="I81" i="22" s="1"/>
  <c r="S182" i="13"/>
  <c r="I109" i="22" s="1"/>
  <c r="S109" i="22" s="1"/>
  <c r="T109" i="22" s="1"/>
  <c r="K122" i="25"/>
  <c r="Q82" i="22" s="1"/>
  <c r="Q76" i="22"/>
  <c r="D31" i="6"/>
  <c r="E40" i="6"/>
  <c r="G104" i="1" s="1"/>
  <c r="K104" i="1" s="1"/>
  <c r="C74" i="22" s="1"/>
  <c r="S74" i="22" s="1"/>
  <c r="T74" i="22" s="1"/>
  <c r="Q15" i="22"/>
  <c r="B140" i="25"/>
  <c r="Q54" i="22"/>
  <c r="C151" i="25"/>
  <c r="H83" i="1"/>
  <c r="B26" i="22" s="1"/>
  <c r="D41" i="6"/>
  <c r="Q43" i="22"/>
  <c r="C140" i="25"/>
  <c r="Q26" i="22"/>
  <c r="B151" i="25"/>
  <c r="I72" i="1"/>
  <c r="B43" i="22" s="1"/>
  <c r="B18" i="22"/>
  <c r="R18" i="22" s="1"/>
  <c r="J131" i="13"/>
  <c r="M130" i="13"/>
  <c r="M149" i="13"/>
  <c r="G152" i="14"/>
  <c r="E150" i="13" s="1"/>
  <c r="D150" i="13" s="1"/>
  <c r="I150" i="13" s="1"/>
  <c r="F181" i="13" s="1"/>
  <c r="I24" i="22" s="1"/>
  <c r="D33" i="6"/>
  <c r="D32" i="6"/>
  <c r="D48" i="6"/>
  <c r="D43" i="6"/>
  <c r="H94" i="1"/>
  <c r="I94" i="1"/>
  <c r="I95" i="1"/>
  <c r="H95" i="1"/>
  <c r="C9" i="22" s="1"/>
  <c r="H96" i="1"/>
  <c r="I96" i="1"/>
  <c r="D35" i="6"/>
  <c r="D36" i="6"/>
  <c r="D37" i="6"/>
  <c r="D34" i="6"/>
  <c r="I106" i="1"/>
  <c r="H106" i="1"/>
  <c r="I98" i="1"/>
  <c r="H98" i="1"/>
  <c r="I99" i="1"/>
  <c r="H99" i="1"/>
  <c r="I100" i="1"/>
  <c r="H100" i="1"/>
  <c r="I97" i="1"/>
  <c r="H97" i="1"/>
  <c r="I105" i="1"/>
  <c r="H105" i="1"/>
  <c r="D42" i="6"/>
  <c r="I107" i="1"/>
  <c r="H107" i="1"/>
  <c r="D45" i="6"/>
  <c r="D46" i="6"/>
  <c r="D47" i="6"/>
  <c r="D44" i="6"/>
  <c r="I93" i="1"/>
  <c r="I104" i="1"/>
  <c r="H104" i="1"/>
  <c r="H109" i="1"/>
  <c r="I109" i="1"/>
  <c r="I110" i="1"/>
  <c r="H110" i="1"/>
  <c r="H111" i="1"/>
  <c r="K111" i="1"/>
  <c r="C81" i="22" s="1"/>
  <c r="I111" i="1"/>
  <c r="H108" i="1"/>
  <c r="I108" i="1"/>
  <c r="B176" i="13"/>
  <c r="H19" i="22" s="1"/>
  <c r="R19" i="22" s="1"/>
  <c r="B124" i="1"/>
  <c r="H72" i="1"/>
  <c r="B15" i="22" s="1"/>
  <c r="G170" i="13"/>
  <c r="I41" i="22" s="1"/>
  <c r="C165" i="13"/>
  <c r="K165" i="13" s="1"/>
  <c r="C87" i="12"/>
  <c r="G15" i="22" s="1"/>
  <c r="D87" i="12"/>
  <c r="G43" i="22" s="1"/>
  <c r="C110" i="12"/>
  <c r="F38" i="22"/>
  <c r="B110" i="12"/>
  <c r="F10" i="22"/>
  <c r="F170" i="13"/>
  <c r="I13" i="22" s="1"/>
  <c r="B165" i="13"/>
  <c r="C59" i="12"/>
  <c r="C176" i="13"/>
  <c r="C126" i="12"/>
  <c r="F54" i="22"/>
  <c r="D59" i="12"/>
  <c r="B126" i="12"/>
  <c r="D151" i="14"/>
  <c r="E129" i="13" s="1"/>
  <c r="D129" i="13" s="1"/>
  <c r="J129" i="13" s="1"/>
  <c r="D148" i="14"/>
  <c r="E123" i="13" s="1"/>
  <c r="D123" i="13" s="1"/>
  <c r="J123" i="13" s="1"/>
  <c r="G151" i="14"/>
  <c r="E148" i="13" s="1"/>
  <c r="D148" i="13" s="1"/>
  <c r="I148" i="13" s="1"/>
  <c r="C150" i="14"/>
  <c r="E126" i="13" s="1"/>
  <c r="D126" i="13" s="1"/>
  <c r="J133" i="13"/>
  <c r="G171" i="13" s="1"/>
  <c r="I133" i="13"/>
  <c r="F171" i="13" s="1"/>
  <c r="J150" i="13"/>
  <c r="G181" i="13" s="1"/>
  <c r="I52" i="22" s="1"/>
  <c r="J143" i="13"/>
  <c r="M143" i="13"/>
  <c r="I143" i="13"/>
  <c r="J100" i="13"/>
  <c r="M100" i="13"/>
  <c r="I100" i="13"/>
  <c r="J77" i="13"/>
  <c r="M77" i="13"/>
  <c r="I77" i="13"/>
  <c r="M83" i="13"/>
  <c r="L83" i="13" s="1"/>
  <c r="I83" i="13"/>
  <c r="J83" i="13"/>
  <c r="M79" i="13"/>
  <c r="I79" i="13"/>
  <c r="J79" i="13"/>
  <c r="J124" i="13"/>
  <c r="M124" i="13"/>
  <c r="I124" i="13"/>
  <c r="M82" i="13"/>
  <c r="L82" i="13" s="1"/>
  <c r="I82" i="13"/>
  <c r="J82" i="13"/>
  <c r="M99" i="13"/>
  <c r="L99" i="13" s="1"/>
  <c r="J99" i="13"/>
  <c r="I99" i="13"/>
  <c r="M86" i="13"/>
  <c r="L86" i="13" s="1"/>
  <c r="I86" i="13"/>
  <c r="J86" i="13"/>
  <c r="M103" i="13"/>
  <c r="L103" i="13" s="1"/>
  <c r="J103" i="13"/>
  <c r="I103" i="13"/>
  <c r="M105" i="13"/>
  <c r="L105" i="13" s="1"/>
  <c r="J105" i="13"/>
  <c r="I105" i="13"/>
  <c r="D89" i="13"/>
  <c r="G89" i="14"/>
  <c r="E97" i="13" s="1"/>
  <c r="D97" i="13" s="1"/>
  <c r="E96" i="13"/>
  <c r="D96" i="13" s="1"/>
  <c r="F148" i="14"/>
  <c r="E141" i="13" s="1"/>
  <c r="D141" i="13" s="1"/>
  <c r="J146" i="13"/>
  <c r="G179" i="13" s="1"/>
  <c r="I50" i="22" s="1"/>
  <c r="I146" i="13"/>
  <c r="F179" i="13" s="1"/>
  <c r="I22" i="22" s="1"/>
  <c r="J152" i="13"/>
  <c r="G182" i="13" s="1"/>
  <c r="I152" i="13"/>
  <c r="F182" i="13" s="1"/>
  <c r="L94" i="13"/>
  <c r="N176" i="13" s="1"/>
  <c r="M101" i="13"/>
  <c r="L101" i="13" s="1"/>
  <c r="J101" i="13"/>
  <c r="I101" i="13"/>
  <c r="J128" i="13"/>
  <c r="M128" i="13"/>
  <c r="I128" i="13"/>
  <c r="M78" i="13"/>
  <c r="L78" i="13" s="1"/>
  <c r="I78" i="13"/>
  <c r="J78" i="13"/>
  <c r="J84" i="13"/>
  <c r="M84" i="13"/>
  <c r="I84" i="13"/>
  <c r="J80" i="13"/>
  <c r="M80" i="13"/>
  <c r="L80" i="13" s="1"/>
  <c r="I80" i="13"/>
  <c r="L75" i="13"/>
  <c r="N165" i="13" s="1"/>
  <c r="J147" i="13"/>
  <c r="M147" i="13"/>
  <c r="I147" i="13"/>
  <c r="J122" i="13"/>
  <c r="M122" i="13"/>
  <c r="S166" i="13" s="1"/>
  <c r="I122" i="13"/>
  <c r="J81" i="13"/>
  <c r="C168" i="13" s="1"/>
  <c r="M81" i="13"/>
  <c r="I81" i="13"/>
  <c r="J98" i="13"/>
  <c r="M98" i="13"/>
  <c r="I98" i="13"/>
  <c r="J85" i="13"/>
  <c r="C170" i="13" s="1"/>
  <c r="M85" i="13"/>
  <c r="I85" i="13"/>
  <c r="J102" i="13"/>
  <c r="M102" i="13"/>
  <c r="I102" i="13"/>
  <c r="J104" i="13"/>
  <c r="M104" i="13"/>
  <c r="I104" i="13"/>
  <c r="G149" i="14"/>
  <c r="E144" i="13" s="1"/>
  <c r="D144" i="13" s="1"/>
  <c r="D149" i="14"/>
  <c r="E125" i="13" s="1"/>
  <c r="D125" i="13" s="1"/>
  <c r="K72" i="1"/>
  <c r="B71" i="22" s="1"/>
  <c r="K83" i="1"/>
  <c r="B82" i="22" s="1"/>
  <c r="L81" i="13" l="1"/>
  <c r="N168" i="13" s="1"/>
  <c r="H67" i="22" s="1"/>
  <c r="R67" i="22" s="1"/>
  <c r="R168" i="13"/>
  <c r="H95" i="22" s="1"/>
  <c r="R95" i="22" s="1"/>
  <c r="L130" i="13"/>
  <c r="O170" i="13" s="1"/>
  <c r="I69" i="22" s="1"/>
  <c r="S69" i="22" s="1"/>
  <c r="S170" i="13"/>
  <c r="I97" i="22" s="1"/>
  <c r="S97" i="22" s="1"/>
  <c r="L147" i="13"/>
  <c r="O180" i="13" s="1"/>
  <c r="I79" i="22" s="1"/>
  <c r="S79" i="22" s="1"/>
  <c r="S180" i="13"/>
  <c r="I107" i="22" s="1"/>
  <c r="S107" i="22" s="1"/>
  <c r="L77" i="13"/>
  <c r="N166" i="13" s="1"/>
  <c r="H65" i="22" s="1"/>
  <c r="R65" i="22" s="1"/>
  <c r="R166" i="13"/>
  <c r="H93" i="22" s="1"/>
  <c r="R93" i="22" s="1"/>
  <c r="H75" i="22"/>
  <c r="R75" i="22" s="1"/>
  <c r="T75" i="22" s="1"/>
  <c r="L143" i="13"/>
  <c r="O178" i="13" s="1"/>
  <c r="I77" i="22" s="1"/>
  <c r="S77" i="22" s="1"/>
  <c r="S178" i="13"/>
  <c r="I105" i="22" s="1"/>
  <c r="S105" i="22" s="1"/>
  <c r="L85" i="13"/>
  <c r="N170" i="13" s="1"/>
  <c r="H69" i="22" s="1"/>
  <c r="R69" i="22" s="1"/>
  <c r="T69" i="22" s="1"/>
  <c r="R170" i="13"/>
  <c r="H97" i="22" s="1"/>
  <c r="R97" i="22" s="1"/>
  <c r="T97" i="22" s="1"/>
  <c r="L102" i="13"/>
  <c r="N180" i="13" s="1"/>
  <c r="H79" i="22" s="1"/>
  <c r="R79" i="22" s="1"/>
  <c r="T79" i="22" s="1"/>
  <c r="R180" i="13"/>
  <c r="H107" i="22" s="1"/>
  <c r="R107" i="22" s="1"/>
  <c r="I93" i="22"/>
  <c r="S93" i="22" s="1"/>
  <c r="L128" i="13"/>
  <c r="O169" i="13" s="1"/>
  <c r="I68" i="22" s="1"/>
  <c r="S68" i="22" s="1"/>
  <c r="S169" i="13"/>
  <c r="I96" i="22" s="1"/>
  <c r="S96" i="22" s="1"/>
  <c r="S81" i="22"/>
  <c r="T81" i="22" s="1"/>
  <c r="H93" i="1"/>
  <c r="L149" i="13"/>
  <c r="O181" i="13" s="1"/>
  <c r="I80" i="22" s="1"/>
  <c r="S80" i="22" s="1"/>
  <c r="S181" i="13"/>
  <c r="I108" i="22" s="1"/>
  <c r="S108" i="22" s="1"/>
  <c r="L104" i="13"/>
  <c r="N181" i="13" s="1"/>
  <c r="H80" i="22" s="1"/>
  <c r="R80" i="22" s="1"/>
  <c r="T80" i="22" s="1"/>
  <c r="R181" i="13"/>
  <c r="H108" i="22" s="1"/>
  <c r="R108" i="22" s="1"/>
  <c r="H64" i="22"/>
  <c r="R64" i="22" s="1"/>
  <c r="T64" i="22" s="1"/>
  <c r="H92" i="22"/>
  <c r="R92" i="22" s="1"/>
  <c r="T92" i="22" s="1"/>
  <c r="B170" i="13"/>
  <c r="L98" i="13"/>
  <c r="N178" i="13" s="1"/>
  <c r="H77" i="22" s="1"/>
  <c r="R77" i="22" s="1"/>
  <c r="T77" i="22" s="1"/>
  <c r="R178" i="13"/>
  <c r="H105" i="22" s="1"/>
  <c r="R105" i="22" s="1"/>
  <c r="T105" i="22" s="1"/>
  <c r="L84" i="13"/>
  <c r="N169" i="13" s="1"/>
  <c r="H68" i="22" s="1"/>
  <c r="R68" i="22" s="1"/>
  <c r="T68" i="22" s="1"/>
  <c r="R169" i="13"/>
  <c r="H96" i="22" s="1"/>
  <c r="R96" i="22" s="1"/>
  <c r="T96" i="22" s="1"/>
  <c r="L124" i="13"/>
  <c r="O167" i="13" s="1"/>
  <c r="I66" i="22" s="1"/>
  <c r="S66" i="22" s="1"/>
  <c r="S167" i="13"/>
  <c r="I94" i="22" s="1"/>
  <c r="S94" i="22" s="1"/>
  <c r="L79" i="13"/>
  <c r="N167" i="13" s="1"/>
  <c r="H66" i="22" s="1"/>
  <c r="R66" i="22" s="1"/>
  <c r="R167" i="13"/>
  <c r="H94" i="22" s="1"/>
  <c r="R94" i="22" s="1"/>
  <c r="L100" i="13"/>
  <c r="N179" i="13" s="1"/>
  <c r="H78" i="22" s="1"/>
  <c r="R78" i="22" s="1"/>
  <c r="T78" i="22" s="1"/>
  <c r="R179" i="13"/>
  <c r="H106" i="22" s="1"/>
  <c r="R106" i="22" s="1"/>
  <c r="T106" i="22" s="1"/>
  <c r="B180" i="13"/>
  <c r="B181" i="13"/>
  <c r="J176" i="13"/>
  <c r="C180" i="13"/>
  <c r="J148" i="13"/>
  <c r="G180" i="13" s="1"/>
  <c r="C50" i="22"/>
  <c r="S50" i="22" s="1"/>
  <c r="C137" i="1"/>
  <c r="C25" i="22"/>
  <c r="B140" i="1"/>
  <c r="C23" i="22"/>
  <c r="B138" i="1"/>
  <c r="C35" i="22"/>
  <c r="I101" i="1"/>
  <c r="C122" i="1"/>
  <c r="C19" i="22"/>
  <c r="B134" i="1"/>
  <c r="B129" i="1"/>
  <c r="C14" i="22"/>
  <c r="B127" i="1"/>
  <c r="C12" i="22"/>
  <c r="C37" i="22"/>
  <c r="C124" i="1"/>
  <c r="C22" i="22"/>
  <c r="S22" i="22" s="1"/>
  <c r="B137" i="1"/>
  <c r="C24" i="22"/>
  <c r="S24" i="22" s="1"/>
  <c r="B139" i="1"/>
  <c r="C18" i="22"/>
  <c r="B133" i="1"/>
  <c r="H112" i="1"/>
  <c r="C21" i="22"/>
  <c r="B136" i="1"/>
  <c r="C47" i="22"/>
  <c r="S47" i="22" s="1"/>
  <c r="C134" i="1"/>
  <c r="C129" i="1"/>
  <c r="C42" i="22"/>
  <c r="C127" i="1"/>
  <c r="C40" i="22"/>
  <c r="C38" i="22"/>
  <c r="C125" i="1"/>
  <c r="C36" i="22"/>
  <c r="S36" i="22" s="1"/>
  <c r="C123" i="1"/>
  <c r="C53" i="22"/>
  <c r="C140" i="1"/>
  <c r="C52" i="22"/>
  <c r="S52" i="22" s="1"/>
  <c r="C139" i="1"/>
  <c r="C46" i="22"/>
  <c r="C133" i="1"/>
  <c r="I112" i="1"/>
  <c r="C49" i="22"/>
  <c r="C136" i="1"/>
  <c r="B126" i="1"/>
  <c r="C11" i="22"/>
  <c r="B128" i="1"/>
  <c r="C13" i="22"/>
  <c r="S13" i="22" s="1"/>
  <c r="C20" i="22"/>
  <c r="B135" i="1"/>
  <c r="C10" i="22"/>
  <c r="B125" i="1"/>
  <c r="C8" i="22"/>
  <c r="S8" i="22" s="1"/>
  <c r="B123" i="1"/>
  <c r="C51" i="22"/>
  <c r="C138" i="1"/>
  <c r="C7" i="22"/>
  <c r="S7" i="22" s="1"/>
  <c r="T7" i="22" s="1"/>
  <c r="B122" i="1"/>
  <c r="H101" i="1"/>
  <c r="C15" i="22" s="1"/>
  <c r="C126" i="1"/>
  <c r="C39" i="22"/>
  <c r="C128" i="1"/>
  <c r="C41" i="22"/>
  <c r="S41" i="22" s="1"/>
  <c r="C48" i="22"/>
  <c r="C135" i="1"/>
  <c r="F180" i="13"/>
  <c r="I23" i="22" s="1"/>
  <c r="C178" i="13"/>
  <c r="B178" i="13"/>
  <c r="G169" i="13"/>
  <c r="I40" i="22" s="1"/>
  <c r="I123" i="13"/>
  <c r="F166" i="13" s="1"/>
  <c r="I9" i="22" s="1"/>
  <c r="S9" i="22" s="1"/>
  <c r="I129" i="13"/>
  <c r="F169" i="13" s="1"/>
  <c r="I12" i="22" s="1"/>
  <c r="H36" i="22"/>
  <c r="R36" i="22" s="1"/>
  <c r="B168" i="13"/>
  <c r="C181" i="13"/>
  <c r="H52" i="22" s="1"/>
  <c r="R52" i="22" s="1"/>
  <c r="I42" i="22"/>
  <c r="K171" i="13"/>
  <c r="I53" i="22"/>
  <c r="K182" i="13"/>
  <c r="I14" i="22"/>
  <c r="J171" i="13"/>
  <c r="I25" i="22"/>
  <c r="J182" i="13"/>
  <c r="J181" i="13"/>
  <c r="H24" i="22"/>
  <c r="H11" i="22"/>
  <c r="R11" i="22" s="1"/>
  <c r="H51" i="22"/>
  <c r="R51" i="22" s="1"/>
  <c r="H21" i="22"/>
  <c r="R21" i="22" s="1"/>
  <c r="G166" i="13"/>
  <c r="B169" i="13"/>
  <c r="B167" i="13"/>
  <c r="C179" i="13"/>
  <c r="H39" i="22"/>
  <c r="R39" i="22" s="1"/>
  <c r="B166" i="13"/>
  <c r="C115" i="12"/>
  <c r="F43" i="22"/>
  <c r="H47" i="22"/>
  <c r="R47" i="22" s="1"/>
  <c r="K176" i="13"/>
  <c r="B115" i="12"/>
  <c r="F15" i="22"/>
  <c r="J165" i="13"/>
  <c r="H8" i="22"/>
  <c r="R8" i="22" s="1"/>
  <c r="H13" i="22"/>
  <c r="R13" i="22" s="1"/>
  <c r="J170" i="13"/>
  <c r="H23" i="22"/>
  <c r="R23" i="22" s="1"/>
  <c r="H49" i="22"/>
  <c r="R49" i="22" s="1"/>
  <c r="C169" i="13"/>
  <c r="B179" i="13"/>
  <c r="H41" i="22"/>
  <c r="R41" i="22" s="1"/>
  <c r="K170" i="13"/>
  <c r="C167" i="13"/>
  <c r="C166" i="13"/>
  <c r="I89" i="13"/>
  <c r="J144" i="13"/>
  <c r="G178" i="13" s="1"/>
  <c r="I144" i="13"/>
  <c r="F178" i="13" s="1"/>
  <c r="I21" i="22" s="1"/>
  <c r="M97" i="13"/>
  <c r="L97" i="13" s="1"/>
  <c r="J97" i="13"/>
  <c r="I97" i="13"/>
  <c r="M89" i="13"/>
  <c r="G148" i="14"/>
  <c r="E142" i="13" s="1"/>
  <c r="D142" i="13" s="1"/>
  <c r="D150" i="14"/>
  <c r="E127" i="13" s="1"/>
  <c r="D127" i="13" s="1"/>
  <c r="J125" i="13"/>
  <c r="G167" i="13" s="1"/>
  <c r="I38" i="22" s="1"/>
  <c r="I125" i="13"/>
  <c r="F167" i="13" s="1"/>
  <c r="I10" i="22" s="1"/>
  <c r="L122" i="13"/>
  <c r="O166" i="13" s="1"/>
  <c r="J141" i="13"/>
  <c r="M141" i="13"/>
  <c r="S177" i="13" s="1"/>
  <c r="I141" i="13"/>
  <c r="J96" i="13"/>
  <c r="M96" i="13"/>
  <c r="R177" i="13" s="1"/>
  <c r="I96" i="13"/>
  <c r="B177" i="13" s="1"/>
  <c r="D108" i="13"/>
  <c r="J126" i="13"/>
  <c r="M126" i="13"/>
  <c r="I126" i="13"/>
  <c r="L89" i="13"/>
  <c r="J89" i="13"/>
  <c r="K112" i="1"/>
  <c r="C82" i="22" s="1"/>
  <c r="I104" i="22" l="1"/>
  <c r="S104" i="22" s="1"/>
  <c r="S183" i="13"/>
  <c r="I110" i="22" s="1"/>
  <c r="S110" i="22" s="1"/>
  <c r="N172" i="13"/>
  <c r="H71" i="22" s="1"/>
  <c r="R71" i="22" s="1"/>
  <c r="T107" i="22"/>
  <c r="L126" i="13"/>
  <c r="O168" i="13" s="1"/>
  <c r="I67" i="22" s="1"/>
  <c r="S67" i="22" s="1"/>
  <c r="T67" i="22" s="1"/>
  <c r="S168" i="13"/>
  <c r="I95" i="22" s="1"/>
  <c r="S95" i="22" s="1"/>
  <c r="T95" i="22" s="1"/>
  <c r="T94" i="22"/>
  <c r="T93" i="22"/>
  <c r="H104" i="22"/>
  <c r="R104" i="22" s="1"/>
  <c r="T104" i="22" s="1"/>
  <c r="R183" i="13"/>
  <c r="H110" i="22" s="1"/>
  <c r="R110" i="22" s="1"/>
  <c r="T110" i="22" s="1"/>
  <c r="I65" i="22"/>
  <c r="S65" i="22" s="1"/>
  <c r="O172" i="13"/>
  <c r="I71" i="22" s="1"/>
  <c r="T66" i="22"/>
  <c r="R172" i="13"/>
  <c r="H99" i="22" s="1"/>
  <c r="R99" i="22" s="1"/>
  <c r="T108" i="22"/>
  <c r="T65" i="22"/>
  <c r="K181" i="13"/>
  <c r="R24" i="22"/>
  <c r="T24" i="22" s="1"/>
  <c r="I51" i="22"/>
  <c r="K180" i="13"/>
  <c r="T36" i="22"/>
  <c r="T47" i="22"/>
  <c r="S51" i="22"/>
  <c r="J180" i="13"/>
  <c r="B130" i="1"/>
  <c r="S12" i="22"/>
  <c r="S35" i="22"/>
  <c r="T35" i="22" s="1"/>
  <c r="S25" i="22"/>
  <c r="T25" i="22" s="1"/>
  <c r="S42" i="22"/>
  <c r="S18" i="22"/>
  <c r="T18" i="22" s="1"/>
  <c r="S19" i="22"/>
  <c r="T19" i="22" s="1"/>
  <c r="S46" i="22"/>
  <c r="T46" i="22" s="1"/>
  <c r="S53" i="22"/>
  <c r="T53" i="22" s="1"/>
  <c r="S38" i="22"/>
  <c r="S21" i="22"/>
  <c r="T21" i="22" s="1"/>
  <c r="S14" i="22"/>
  <c r="T14" i="22" s="1"/>
  <c r="S23" i="22"/>
  <c r="T23" i="22" s="1"/>
  <c r="S10" i="22"/>
  <c r="S40" i="22"/>
  <c r="T8" i="22"/>
  <c r="T42" i="22"/>
  <c r="C54" i="22"/>
  <c r="C141" i="1"/>
  <c r="T13" i="22"/>
  <c r="T52" i="22"/>
  <c r="C26" i="22"/>
  <c r="B141" i="1"/>
  <c r="T41" i="22"/>
  <c r="C43" i="22"/>
  <c r="C130" i="1"/>
  <c r="T51" i="22"/>
  <c r="I49" i="22"/>
  <c r="S49" i="22" s="1"/>
  <c r="K178" i="13"/>
  <c r="J167" i="13"/>
  <c r="H10" i="22"/>
  <c r="R10" i="22" s="1"/>
  <c r="I37" i="22"/>
  <c r="S37" i="22" s="1"/>
  <c r="H40" i="22"/>
  <c r="R40" i="22" s="1"/>
  <c r="K169" i="13"/>
  <c r="H9" i="22"/>
  <c r="J166" i="13"/>
  <c r="J169" i="13"/>
  <c r="H12" i="22"/>
  <c r="J178" i="13"/>
  <c r="C177" i="13"/>
  <c r="H20" i="22"/>
  <c r="R20" i="22" s="1"/>
  <c r="B183" i="13"/>
  <c r="H37" i="22"/>
  <c r="R37" i="22" s="1"/>
  <c r="K166" i="13"/>
  <c r="C172" i="13"/>
  <c r="J179" i="13"/>
  <c r="H22" i="22"/>
  <c r="B172" i="13"/>
  <c r="H50" i="22"/>
  <c r="K179" i="13"/>
  <c r="H38" i="22"/>
  <c r="K167" i="13"/>
  <c r="L96" i="13"/>
  <c r="M108" i="13"/>
  <c r="I108" i="13"/>
  <c r="J108" i="13"/>
  <c r="L141" i="13"/>
  <c r="M153" i="13"/>
  <c r="J127" i="13"/>
  <c r="J134" i="13" s="1"/>
  <c r="I127" i="13"/>
  <c r="I134" i="13" s="1"/>
  <c r="M134" i="13"/>
  <c r="J142" i="13"/>
  <c r="J153" i="13" s="1"/>
  <c r="I142" i="13"/>
  <c r="F177" i="13" s="1"/>
  <c r="L134" i="13"/>
  <c r="K100" i="1"/>
  <c r="S172" i="13" l="1"/>
  <c r="I99" i="22" s="1"/>
  <c r="S99" i="22" s="1"/>
  <c r="T99" i="22" s="1"/>
  <c r="K101" i="1"/>
  <c r="C71" i="22" s="1"/>
  <c r="S71" i="22" s="1"/>
  <c r="T71" i="22" s="1"/>
  <c r="C70" i="22"/>
  <c r="S70" i="22" s="1"/>
  <c r="T70" i="22" s="1"/>
  <c r="L153" i="13"/>
  <c r="O177" i="13"/>
  <c r="L108" i="13"/>
  <c r="N177" i="13"/>
  <c r="R50" i="22"/>
  <c r="T50" i="22" s="1"/>
  <c r="R22" i="22"/>
  <c r="T22" i="22" s="1"/>
  <c r="R38" i="22"/>
  <c r="T38" i="22" s="1"/>
  <c r="R9" i="22"/>
  <c r="T9" i="22" s="1"/>
  <c r="R12" i="22"/>
  <c r="T12" i="22" s="1"/>
  <c r="T10" i="22"/>
  <c r="T40" i="22"/>
  <c r="T49" i="22"/>
  <c r="T37" i="22"/>
  <c r="F168" i="13"/>
  <c r="F172" i="13" s="1"/>
  <c r="I15" i="22" s="1"/>
  <c r="S15" i="22" s="1"/>
  <c r="I20" i="22"/>
  <c r="F183" i="13"/>
  <c r="I26" i="22" s="1"/>
  <c r="S26" i="22" s="1"/>
  <c r="J177" i="13"/>
  <c r="H43" i="22"/>
  <c r="R43" i="22" s="1"/>
  <c r="G177" i="13"/>
  <c r="K177" i="13" s="1"/>
  <c r="H15" i="22"/>
  <c r="R15" i="22" s="1"/>
  <c r="H48" i="22"/>
  <c r="R48" i="22" s="1"/>
  <c r="C183" i="13"/>
  <c r="G168" i="13"/>
  <c r="H26" i="22"/>
  <c r="R26" i="22" s="1"/>
  <c r="I153" i="13"/>
  <c r="S27" i="22" l="1"/>
  <c r="H76" i="22"/>
  <c r="R76" i="22" s="1"/>
  <c r="N183" i="13"/>
  <c r="H82" i="22" s="1"/>
  <c r="R82" i="22" s="1"/>
  <c r="I76" i="22"/>
  <c r="S76" i="22" s="1"/>
  <c r="O183" i="13"/>
  <c r="I82" i="22" s="1"/>
  <c r="S82" i="22" s="1"/>
  <c r="R27" i="22"/>
  <c r="J172" i="13"/>
  <c r="I11" i="22"/>
  <c r="S11" i="22" s="1"/>
  <c r="T11" i="22" s="1"/>
  <c r="J168" i="13"/>
  <c r="S20" i="22"/>
  <c r="T20" i="22" s="1"/>
  <c r="T15" i="22"/>
  <c r="H54" i="22"/>
  <c r="R54" i="22" s="1"/>
  <c r="T26" i="22"/>
  <c r="I39" i="22"/>
  <c r="K168" i="13"/>
  <c r="G172" i="13"/>
  <c r="J183" i="13"/>
  <c r="I48" i="22"/>
  <c r="G183" i="13"/>
  <c r="I54" i="22" s="1"/>
  <c r="S54" i="22" s="1"/>
  <c r="T82" i="22" l="1"/>
  <c r="T76" i="22"/>
  <c r="T27" i="22"/>
  <c r="S48" i="22"/>
  <c r="T48" i="22" s="1"/>
  <c r="S39" i="22"/>
  <c r="T39" i="22" s="1"/>
  <c r="K183" i="13"/>
  <c r="T54" i="22"/>
  <c r="I43" i="22"/>
  <c r="K172" i="13"/>
  <c r="S43" i="22" l="1"/>
  <c r="T43" i="2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58" authorId="0" shapeId="0" xr:uid="{00000000-0006-0000-0100-000001000000}">
      <text>
        <r>
          <rPr>
            <b/>
            <sz val="8"/>
            <color indexed="81"/>
            <rFont val="Tahoma"/>
            <family val="2"/>
          </rPr>
          <t>User:</t>
        </r>
        <r>
          <rPr>
            <sz val="8"/>
            <color indexed="81"/>
            <rFont val="Tahoma"/>
            <family val="2"/>
          </rPr>
          <t xml:space="preserve">
มักพบในช่วงอายุน้อยกว่า 25 ปี</t>
        </r>
      </text>
    </comment>
    <comment ref="G60" authorId="0" shapeId="0" xr:uid="{00000000-0006-0000-0100-000002000000}">
      <text>
        <r>
          <rPr>
            <b/>
            <sz val="8"/>
            <color indexed="81"/>
            <rFont val="Tahoma"/>
            <family val="2"/>
          </rPr>
          <t>User:</t>
        </r>
        <r>
          <rPr>
            <sz val="8"/>
            <color indexed="81"/>
            <rFont val="Tahoma"/>
            <family val="2"/>
          </rPr>
          <t xml:space="preserve">
รอปรับข้อมูลด้วย comorbidity</t>
        </r>
      </text>
    </comment>
    <comment ref="G89" authorId="0" shapeId="0" xr:uid="{00000000-0006-0000-0100-000003000000}">
      <text>
        <r>
          <rPr>
            <b/>
            <sz val="8"/>
            <color indexed="81"/>
            <rFont val="Tahoma"/>
            <family val="2"/>
          </rPr>
          <t>User:</t>
        </r>
        <r>
          <rPr>
            <sz val="8"/>
            <color indexed="81"/>
            <rFont val="Tahoma"/>
            <family val="2"/>
          </rPr>
          <t xml:space="preserve">
ขณะนี้ใช้ข้อมูลตอนทำ YLD 52 ไปก่อน รอปรับด้วย comorbidity และ proportion of treated DM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Kanitta_nb</author>
  </authors>
  <commentList>
    <comment ref="I20" authorId="0" shapeId="0" xr:uid="{00000000-0006-0000-0200-000001000000}">
      <text>
        <r>
          <rPr>
            <b/>
            <sz val="9"/>
            <color indexed="81"/>
            <rFont val="Tahoma"/>
            <family val="2"/>
          </rPr>
          <t>Kanitta_nb:</t>
        </r>
        <r>
          <rPr>
            <sz val="9"/>
            <color indexed="81"/>
            <rFont val="Tahoma"/>
            <family val="2"/>
          </rPr>
          <t xml:space="preserve">
unit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Kanitta_nb</author>
    <author>User</author>
  </authors>
  <commentList>
    <comment ref="C11" authorId="0" shapeId="0" xr:uid="{00000000-0006-0000-0500-000001000000}">
      <text>
        <r>
          <rPr>
            <b/>
            <sz val="9"/>
            <color indexed="81"/>
            <rFont val="Tahoma"/>
            <family val="2"/>
          </rPr>
          <t>Kanitta_nb:</t>
        </r>
        <r>
          <rPr>
            <sz val="9"/>
            <color indexed="81"/>
            <rFont val="Tahoma"/>
            <family val="2"/>
          </rPr>
          <t xml:space="preserve">
add definition</t>
        </r>
      </text>
    </comment>
    <comment ref="G68" authorId="1" shapeId="0" xr:uid="{00000000-0006-0000-0500-000002000000}">
      <text>
        <r>
          <rPr>
            <b/>
            <sz val="8"/>
            <color indexed="81"/>
            <rFont val="Tahoma"/>
            <family val="2"/>
          </rPr>
          <t>User:</t>
        </r>
        <r>
          <rPr>
            <sz val="8"/>
            <color indexed="81"/>
            <rFont val="Tahoma"/>
            <family val="2"/>
          </rPr>
          <t xml:space="preserve">
รอปรับด้วย cormobidity</t>
        </r>
      </text>
    </comment>
    <comment ref="G97" authorId="1" shapeId="0" xr:uid="{00000000-0006-0000-0500-000003000000}">
      <text>
        <r>
          <rPr>
            <b/>
            <sz val="8"/>
            <color indexed="81"/>
            <rFont val="Tahoma"/>
            <family val="2"/>
          </rPr>
          <t>User:</t>
        </r>
        <r>
          <rPr>
            <sz val="8"/>
            <color indexed="81"/>
            <rFont val="Tahoma"/>
            <family val="2"/>
          </rPr>
          <t xml:space="preserve">
รอปรับด้วย comorbidity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1" authorId="0" shapeId="0" xr:uid="{00000000-0006-0000-0800-000001000000}">
      <text>
        <r>
          <rPr>
            <b/>
            <sz val="8"/>
            <color indexed="81"/>
            <rFont val="Tahoma"/>
            <family val="2"/>
          </rPr>
          <t>User:</t>
        </r>
        <r>
          <rPr>
            <sz val="8"/>
            <color indexed="81"/>
            <rFont val="Tahoma"/>
            <family val="2"/>
          </rPr>
          <t xml:space="preserve">
รอการคำนวณโรคไตจากพี่เจ</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55" authorId="0" shapeId="0" xr:uid="{00000000-0006-0000-0B00-000001000000}">
      <text>
        <r>
          <rPr>
            <b/>
            <sz val="8"/>
            <color indexed="81"/>
            <rFont val="Tahoma"/>
            <family val="2"/>
          </rPr>
          <t>User:</t>
        </r>
        <r>
          <rPr>
            <sz val="8"/>
            <color indexed="81"/>
            <rFont val="Tahoma"/>
            <family val="2"/>
          </rPr>
          <t xml:space="preserve">
คาดประมาณอุบัติการณ์โรค อีก 10 และ 20  ปีข้างหน้า</t>
        </r>
      </text>
    </comment>
    <comment ref="L57" authorId="0" shapeId="0" xr:uid="{00000000-0006-0000-0B00-000002000000}">
      <text>
        <r>
          <rPr>
            <b/>
            <sz val="8"/>
            <color indexed="81"/>
            <rFont val="Tahoma"/>
            <family val="2"/>
          </rPr>
          <t>User:</t>
        </r>
        <r>
          <rPr>
            <sz val="8"/>
            <color indexed="81"/>
            <rFont val="Tahoma"/>
            <family val="2"/>
          </rPr>
          <t xml:space="preserve">
ปรับสูตรจากของเดิมนิดหน่อย</t>
        </r>
      </text>
    </comment>
    <comment ref="L71" authorId="0" shapeId="0" xr:uid="{00000000-0006-0000-0B00-000003000000}">
      <text>
        <r>
          <rPr>
            <b/>
            <sz val="8"/>
            <color indexed="81"/>
            <rFont val="Tahoma"/>
            <family val="2"/>
          </rPr>
          <t>User:</t>
        </r>
        <r>
          <rPr>
            <sz val="8"/>
            <color indexed="81"/>
            <rFont val="Tahoma"/>
            <family val="2"/>
          </rPr>
          <t xml:space="preserve">
ปรับสูตรจากของเดิมนิดหน่อย</t>
        </r>
      </text>
    </comment>
    <comment ref="E86" authorId="0" shapeId="0" xr:uid="{00000000-0006-0000-0B00-000004000000}">
      <text>
        <r>
          <rPr>
            <b/>
            <sz val="8"/>
            <color indexed="81"/>
            <rFont val="Tahoma"/>
            <family val="2"/>
          </rPr>
          <t>User:</t>
        </r>
        <r>
          <rPr>
            <sz val="8"/>
            <color indexed="81"/>
            <rFont val="Tahoma"/>
            <family val="2"/>
          </rPr>
          <t xml:space="preserve">
การคำนวณ YLD 2552 คูณด้วย 2/3 แต่ไม่บอกทีมา</t>
        </r>
      </text>
    </comment>
    <comment ref="C87" authorId="0" shapeId="0" xr:uid="{00000000-0006-0000-0B00-000005000000}">
      <text>
        <r>
          <rPr>
            <b/>
            <sz val="8"/>
            <color indexed="81"/>
            <rFont val="Tahoma"/>
            <family val="2"/>
          </rPr>
          <t>User:</t>
        </r>
        <r>
          <rPr>
            <sz val="8"/>
            <color indexed="81"/>
            <rFont val="Tahoma"/>
            <family val="2"/>
          </rPr>
          <t xml:space="preserve">
การคำนวณ YLD 2552 คูณด้วย 2/3 แต่ไม่บอกทีมา</t>
        </r>
      </text>
    </comment>
    <comment ref="M116" authorId="0" shapeId="0" xr:uid="{00000000-0006-0000-0B00-000006000000}">
      <text>
        <r>
          <rPr>
            <b/>
            <sz val="8"/>
            <color indexed="81"/>
            <rFont val="Tahoma"/>
            <family val="2"/>
          </rPr>
          <t>User:</t>
        </r>
        <r>
          <rPr>
            <sz val="8"/>
            <color indexed="81"/>
            <rFont val="Tahoma"/>
            <family val="2"/>
          </rPr>
          <t xml:space="preserve">
ปรับสูตรจากของเดิมนิดหน่อย</t>
        </r>
      </text>
    </comment>
    <comment ref="M130" authorId="0" shapeId="0" xr:uid="{00000000-0006-0000-0B00-000007000000}">
      <text>
        <r>
          <rPr>
            <b/>
            <sz val="8"/>
            <color indexed="81"/>
            <rFont val="Tahoma"/>
            <family val="2"/>
          </rPr>
          <t>User:</t>
        </r>
        <r>
          <rPr>
            <sz val="8"/>
            <color indexed="81"/>
            <rFont val="Tahoma"/>
            <family val="2"/>
          </rPr>
          <t xml:space="preserve">
ปรับสูตรจากของเดิมนิดหน่อย</t>
        </r>
      </text>
    </comment>
    <comment ref="E146" authorId="0" shapeId="0" xr:uid="{00000000-0006-0000-0B00-000008000000}">
      <text>
        <r>
          <rPr>
            <b/>
            <sz val="8"/>
            <color indexed="81"/>
            <rFont val="Tahoma"/>
            <family val="2"/>
          </rPr>
          <t>User:</t>
        </r>
        <r>
          <rPr>
            <sz val="8"/>
            <color indexed="81"/>
            <rFont val="Tahoma"/>
            <family val="2"/>
          </rPr>
          <t xml:space="preserve">
การคำนวณ YLD 2552 คูณด้วย 2/3 แต่ไม่บอกทีมา</t>
        </r>
      </text>
    </comment>
    <comment ref="C147" authorId="0" shapeId="0" xr:uid="{00000000-0006-0000-0B00-000009000000}">
      <text>
        <r>
          <rPr>
            <b/>
            <sz val="8"/>
            <color indexed="81"/>
            <rFont val="Tahoma"/>
            <family val="2"/>
          </rPr>
          <t>User:</t>
        </r>
        <r>
          <rPr>
            <sz val="8"/>
            <color indexed="81"/>
            <rFont val="Tahoma"/>
            <family val="2"/>
          </rPr>
          <t xml:space="preserve">
การคำนวณ YLD 2552 คูณด้วย 2/3 แต่ไม่บอกทีมา</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E33" authorId="0" shapeId="0" xr:uid="{00000000-0006-0000-0D00-000001000000}">
      <text>
        <r>
          <rPr>
            <b/>
            <sz val="8"/>
            <color indexed="81"/>
            <rFont val="Tahoma"/>
            <family val="2"/>
          </rPr>
          <t>User:</t>
        </r>
        <r>
          <rPr>
            <sz val="8"/>
            <color indexed="81"/>
            <rFont val="Tahoma"/>
            <family val="2"/>
          </rPr>
          <t xml:space="preserve">
วิธีคำนวณ PAF = pe*(RR-1)/1+pe*(RR-1)</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E33" authorId="0" shapeId="0" xr:uid="{00000000-0006-0000-0F00-000001000000}">
      <text>
        <r>
          <rPr>
            <b/>
            <sz val="8"/>
            <color indexed="81"/>
            <rFont val="Tahoma"/>
            <family val="2"/>
          </rPr>
          <t>User:</t>
        </r>
        <r>
          <rPr>
            <sz val="8"/>
            <color indexed="81"/>
            <rFont val="Tahoma"/>
            <family val="2"/>
          </rPr>
          <t xml:space="preserve">
วิธีคำนวณ PAF = pe*(RR-1)/1+pe*(RR-1)</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Kanitta_nb</author>
    <author>User</author>
  </authors>
  <commentList>
    <comment ref="A4" authorId="0" shapeId="0" xr:uid="{00000000-0006-0000-1100-000001000000}">
      <text>
        <r>
          <rPr>
            <b/>
            <sz val="9"/>
            <color indexed="81"/>
            <rFont val="Tahoma"/>
            <family val="2"/>
          </rPr>
          <t>Kanitta_nb:</t>
        </r>
        <r>
          <rPr>
            <sz val="9"/>
            <color indexed="81"/>
            <rFont val="Tahoma"/>
            <family val="2"/>
          </rPr>
          <t xml:space="preserve">
please specify ICD code for every category</t>
        </r>
      </text>
    </comment>
    <comment ref="I4" authorId="1" shapeId="0" xr:uid="{00000000-0006-0000-1100-000002000000}">
      <text>
        <r>
          <rPr>
            <b/>
            <sz val="8"/>
            <color indexed="81"/>
            <rFont val="Tahoma"/>
            <family val="2"/>
          </rPr>
          <t>User:</t>
        </r>
        <r>
          <rPr>
            <sz val="8"/>
            <color indexed="81"/>
            <rFont val="Tahoma"/>
            <family val="2"/>
          </rPr>
          <t xml:space="preserve">
รหัส 8410 คือ Disarticulation or amputation at tibiofibular joint (ข้อเท้า, กระดูกเล็กๆ) เป็นต้น</t>
        </r>
      </text>
    </comment>
    <comment ref="M4" authorId="1" shapeId="0" xr:uid="{00000000-0006-0000-1100-000003000000}">
      <text>
        <r>
          <rPr>
            <b/>
            <sz val="8"/>
            <color indexed="81"/>
            <rFont val="Tahoma"/>
            <family val="2"/>
          </rPr>
          <t>User:</t>
        </r>
        <r>
          <rPr>
            <sz val="8"/>
            <color indexed="81"/>
            <rFont val="Tahoma"/>
            <family val="2"/>
          </rPr>
          <t xml:space="preserve">
รหัส 8400 คือ Upper limb amputation (แขน,มือ), not otherwise specified</t>
        </r>
      </text>
    </comment>
    <comment ref="I30" authorId="1" shapeId="0" xr:uid="{00000000-0006-0000-1100-000004000000}">
      <text>
        <r>
          <rPr>
            <b/>
            <sz val="8"/>
            <color indexed="81"/>
            <rFont val="Tahoma"/>
            <family val="2"/>
          </rPr>
          <t>User:</t>
        </r>
        <r>
          <rPr>
            <sz val="8"/>
            <color indexed="81"/>
            <rFont val="Tahoma"/>
            <family val="2"/>
          </rPr>
          <t xml:space="preserve">
รหัส 8410 คือ Disarticulation or amputation at tibiofibular joint (ข้อเท้า, กระดูกเล็กๆ) เป็นต้น</t>
        </r>
      </text>
    </comment>
    <comment ref="M30" authorId="1" shapeId="0" xr:uid="{00000000-0006-0000-1100-000005000000}">
      <text>
        <r>
          <rPr>
            <b/>
            <sz val="8"/>
            <color indexed="81"/>
            <rFont val="Tahoma"/>
            <family val="2"/>
          </rPr>
          <t>User:</t>
        </r>
        <r>
          <rPr>
            <sz val="8"/>
            <color indexed="81"/>
            <rFont val="Tahoma"/>
            <family val="2"/>
          </rPr>
          <t xml:space="preserve">
รหัส 8400 คือ Upper limb amputation (แขน,มือ), not otherwise specified</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G70" authorId="0" shapeId="0" xr:uid="{00000000-0006-0000-1200-000001000000}">
      <text>
        <r>
          <rPr>
            <b/>
            <sz val="8"/>
            <color indexed="81"/>
            <rFont val="Tahoma"/>
            <family val="2"/>
          </rPr>
          <t>User:</t>
        </r>
        <r>
          <rPr>
            <sz val="8"/>
            <color indexed="81"/>
            <rFont val="Tahoma"/>
            <family val="2"/>
          </rPr>
          <t xml:space="preserve">
รอปรับด้วย cormobidity</t>
        </r>
      </text>
    </comment>
    <comment ref="G99" authorId="0" shapeId="0" xr:uid="{00000000-0006-0000-1200-000002000000}">
      <text>
        <r>
          <rPr>
            <b/>
            <sz val="8"/>
            <color indexed="81"/>
            <rFont val="Tahoma"/>
            <family val="2"/>
          </rPr>
          <t>User:</t>
        </r>
        <r>
          <rPr>
            <sz val="8"/>
            <color indexed="81"/>
            <rFont val="Tahoma"/>
            <family val="2"/>
          </rPr>
          <t xml:space="preserve">
รอปรับด้วย comorbidity</t>
        </r>
      </text>
    </comment>
  </commentList>
</comments>
</file>

<file path=xl/sharedStrings.xml><?xml version="1.0" encoding="utf-8"?>
<sst xmlns="http://schemas.openxmlformats.org/spreadsheetml/2006/main" count="3840" uniqueCount="348">
  <si>
    <t>Region:  Thailand 2014</t>
  </si>
  <si>
    <t>Status : in the process</t>
  </si>
  <si>
    <t>1.  Case definition and sequelae</t>
  </si>
  <si>
    <t>Disease category</t>
  </si>
  <si>
    <t>Sequelae</t>
  </si>
  <si>
    <t>2. Disability weight (Dw)</t>
  </si>
  <si>
    <t>Reference</t>
  </si>
  <si>
    <t>0-4</t>
  </si>
  <si>
    <t>3. Duration</t>
  </si>
  <si>
    <t>Duration</t>
  </si>
  <si>
    <t>4.Mortality data</t>
  </si>
  <si>
    <t>5-14</t>
  </si>
  <si>
    <t>15-29</t>
  </si>
  <si>
    <t>30-44</t>
  </si>
  <si>
    <t>45-59</t>
  </si>
  <si>
    <t>60-69</t>
  </si>
  <si>
    <t>70-79</t>
  </si>
  <si>
    <t>80+</t>
  </si>
  <si>
    <t>Total</t>
  </si>
  <si>
    <t>Number of deaths</t>
  </si>
  <si>
    <t xml:space="preserve">   Males</t>
  </si>
  <si>
    <t xml:space="preserve">   Females</t>
  </si>
  <si>
    <t>Mortallity rate (/100,000)</t>
  </si>
  <si>
    <t xml:space="preserve"> </t>
  </si>
  <si>
    <t>5. Data for calculation and literature reviews</t>
  </si>
  <si>
    <t>Thailand</t>
  </si>
  <si>
    <t>Population</t>
  </si>
  <si>
    <t>Incidence</t>
  </si>
  <si>
    <t>Incidence rate</t>
  </si>
  <si>
    <t>Age at onset</t>
  </si>
  <si>
    <t>Disability weight</t>
  </si>
  <si>
    <t>YLD</t>
  </si>
  <si>
    <t>(0,0)</t>
  </si>
  <si>
    <t>(3,0)</t>
  </si>
  <si>
    <t>Males</t>
  </si>
  <si>
    <t>Females</t>
  </si>
  <si>
    <t xml:space="preserve">6. YLD </t>
  </si>
  <si>
    <t>prev YLDs</t>
  </si>
  <si>
    <t>Prevalent</t>
  </si>
  <si>
    <t>cases</t>
  </si>
  <si>
    <t>อายุ</t>
  </si>
  <si>
    <t>Difinition</t>
  </si>
  <si>
    <t>GBD</t>
  </si>
  <si>
    <t>ชาย</t>
  </si>
  <si>
    <t>หญิง</t>
  </si>
  <si>
    <t>ร้อยละ</t>
  </si>
  <si>
    <t>Who Update : Ratsida Saithong</t>
  </si>
  <si>
    <t>Disease: Diabetes</t>
  </si>
  <si>
    <t>Update: 28.7.16</t>
  </si>
  <si>
    <t>7.Diabetes</t>
  </si>
  <si>
    <t>ICD-10 code: E10-E14</t>
  </si>
  <si>
    <t>diabetes</t>
  </si>
  <si>
    <t>Untreated group</t>
  </si>
  <si>
    <t>Treated group</t>
  </si>
  <si>
    <t>ประชากรสำรวจ</t>
  </si>
  <si>
    <t>ที่มา: ข้อมูลการสำรวจ NHES ครั้งที่ 5 พ.ศ.2557</t>
  </si>
  <si>
    <t>6.1 เบาหวานชนิดพึ่งอินซูลิน (Insulin-dependent diabetes mellitus/ IDDM)</t>
  </si>
  <si>
    <t>6.2  เบาหวานชนิดไม่พึ่งอินซูลิน (Non-Insulin-dependent diabetes mellitus/ NIDDM)</t>
  </si>
  <si>
    <t>1.ข้อมูลความชุกโรคเบาหวาน (Diabetes) พ.ศ.2557</t>
  </si>
  <si>
    <t>2. ข้อมูลอุบัติการณ์โรคเบาหวานชนิดพึ่งอินซูลิน (IDDM)</t>
  </si>
  <si>
    <t>อุบัติการณ์/1</t>
  </si>
  <si>
    <t>ที่มา: การคำนวณ YLD 2552</t>
  </si>
  <si>
    <t>ข้อมูลนำเข้า DISMOD มีดังต่อไปนี้</t>
  </si>
  <si>
    <t>1. อุบัติการณ์โรคเบาหวานชนิดพึ่งอินซูลิน</t>
  </si>
  <si>
    <t>2. Remission = 0 (การคำนวณ YLD 2552)</t>
  </si>
  <si>
    <t>3. Case faltality rate</t>
  </si>
  <si>
    <t>Case faltality rate/1</t>
  </si>
  <si>
    <t>4. RR mortallity rate</t>
  </si>
  <si>
    <t>RR mortallity rate/1</t>
  </si>
  <si>
    <t>1. ความชุกโรคเบาหวานทั้งหมด</t>
  </si>
  <si>
    <t>อัตราความชุก /1</t>
  </si>
  <si>
    <t>3. RR mortallity rate/1</t>
  </si>
  <si>
    <t xml:space="preserve">Retinopathy </t>
  </si>
  <si>
    <t>1. Prevalence rate of retinopathy (IDDM)</t>
  </si>
  <si>
    <t>prevalence rate/1</t>
  </si>
  <si>
    <t>ที่มา : การคำนวณ YLD 2552</t>
  </si>
  <si>
    <t>2. Prevalence rate of retinopathy (NIDDM)</t>
  </si>
  <si>
    <t>DisMod II output, date: 28/7/2016, time: 14:52:49</t>
  </si>
  <si>
    <t>Disease: DM_IDDM, ICD codes:  E10-E14</t>
  </si>
  <si>
    <t>Input</t>
  </si>
  <si>
    <t>Output</t>
  </si>
  <si>
    <t>Age</t>
  </si>
  <si>
    <t>Remission</t>
  </si>
  <si>
    <t>Case fatality</t>
  </si>
  <si>
    <t>RR Mortality</t>
  </si>
  <si>
    <t>Prevalence</t>
  </si>
  <si>
    <t>Mortality</t>
  </si>
  <si>
    <t>RR mortality</t>
  </si>
  <si>
    <t>Age of onset</t>
  </si>
  <si>
    <t xml:space="preserve"> (rates)</t>
  </si>
  <si>
    <t xml:space="preserve"> (years)</t>
  </si>
  <si>
    <t xml:space="preserve"> (number)</t>
  </si>
  <si>
    <t>0+</t>
  </si>
  <si>
    <t>NA</t>
  </si>
  <si>
    <t xml:space="preserve"> (numbers)</t>
  </si>
  <si>
    <t>DisMod II output, date: 28/7/2016, time: 15:01:13</t>
  </si>
  <si>
    <t>Disease: DM_ALL, ICD codes:  E10-E14</t>
  </si>
  <si>
    <t>ข้อมูลที่นำเข้า DISMOD ดังนี้</t>
  </si>
  <si>
    <t>2. Remission rate = 0 (การคำนวณ YLD 2552)</t>
  </si>
  <si>
    <t>3. Case fatality rate</t>
  </si>
  <si>
    <t>Case fatality rate/1</t>
  </si>
  <si>
    <t>DisMod II output, date: 28/7/2016, time: 15:36:36</t>
  </si>
  <si>
    <t>Disease: Retino_IDDM, ICD codes:  E10-E14</t>
  </si>
  <si>
    <t>DisMod II output, date: 28/7/2016, time: 15:41:17</t>
  </si>
  <si>
    <t>Disease: Retino_NIDDM, ICD codes: E10-E14</t>
  </si>
  <si>
    <t>(/1)</t>
  </si>
  <si>
    <t>Insulin-dependent diabetes mellitus/ IDDM</t>
  </si>
  <si>
    <t>Non-Insulin-dependent diabetes mellitus/ NIDDM</t>
  </si>
  <si>
    <t>Male</t>
  </si>
  <si>
    <t>Female</t>
  </si>
  <si>
    <t>DISMOD</t>
  </si>
  <si>
    <t xml:space="preserve">Disease: Diabetes. Retinopathy </t>
  </si>
  <si>
    <t>6.2  Retinopathy (NIDDM)</t>
  </si>
  <si>
    <t>6.1 Retinopathy (IDDM)</t>
  </si>
  <si>
    <t>7.Retinopathy</t>
  </si>
  <si>
    <t>Victoria study</t>
  </si>
  <si>
    <t>Retinopathy (IDDM)</t>
  </si>
  <si>
    <t>Retinopathy (NIDDM)</t>
  </si>
  <si>
    <t>Disease: Diabetes. Nephropathy</t>
  </si>
  <si>
    <t xml:space="preserve">Disease: Diabetes. Neuropathy </t>
  </si>
  <si>
    <t>Diabetic IDDM</t>
  </si>
  <si>
    <t>Diabetic NIDDM</t>
  </si>
  <si>
    <t>1. Incidence (rate per 1) of IDDM and NIDDM</t>
  </si>
  <si>
    <t>IDDM</t>
  </si>
  <si>
    <t>NIDDM</t>
  </si>
  <si>
    <t>Sex</t>
  </si>
  <si>
    <t>after 10 yrs</t>
  </si>
  <si>
    <t>after 20 yrs</t>
  </si>
  <si>
    <t>at onset</t>
  </si>
  <si>
    <t>2. Prevalence of neuropathy</t>
  </si>
  <si>
    <t xml:space="preserve">3. Calculated the incidence of diabetic neuropathy according to the duration of onset.
</t>
  </si>
  <si>
    <t>male</t>
  </si>
  <si>
    <t>female</t>
  </si>
  <si>
    <t>incidence of neuropathy</t>
  </si>
  <si>
    <t>10 years</t>
  </si>
  <si>
    <t>20 years</t>
  </si>
  <si>
    <t>incidence IDDM/10000</t>
  </si>
  <si>
    <t>เพศชาย</t>
  </si>
  <si>
    <t>รวม</t>
  </si>
  <si>
    <t>รวมอุบัติการณ์โรค</t>
  </si>
  <si>
    <t>เพศหญิง</t>
  </si>
  <si>
    <t>5-14 ปี</t>
  </si>
  <si>
    <t>15-29 ปี</t>
  </si>
  <si>
    <t>30-44 ปี</t>
  </si>
  <si>
    <t>45-59 ปี</t>
  </si>
  <si>
    <t>60-69 ปี</t>
  </si>
  <si>
    <t>70-79 ปี</t>
  </si>
  <si>
    <t>5. Incidence of persistent and remitting diabetic neuropathy in IDDM</t>
  </si>
  <si>
    <t>persistent</t>
  </si>
  <si>
    <t>remitting</t>
  </si>
  <si>
    <t>Male (incidence/10000)</t>
  </si>
  <si>
    <t>Female (incidence/10000)</t>
  </si>
  <si>
    <t>incidence</t>
  </si>
  <si>
    <t>6. Incidence of diabetic neuropathy among NIDDM patients at the onset of diabetic and 10 years later.</t>
  </si>
  <si>
    <t>incidence IDDM/1000</t>
  </si>
  <si>
    <t>4. Incidence of diabetic neuropathy per 10,000 of IDDM at specified age groups (column headings) arising from incident cases (row headings)</t>
  </si>
  <si>
    <t>7.Incidence of diabetic neuropathy per 1,000 among NIDDM patients at specified age groups (column headings) arising from incident cases (row headings)</t>
  </si>
  <si>
    <t>80 ปี+</t>
  </si>
  <si>
    <t>8. Incidence of persistent and remitting diabetic neuropathy in NIDDM</t>
  </si>
  <si>
    <t>Status</t>
  </si>
  <si>
    <t>all</t>
  </si>
  <si>
    <t>BOD 2552</t>
  </si>
  <si>
    <t>DISMOD (diabetes cases)</t>
  </si>
  <si>
    <t>GBD 2004: DW=0.066-0.076 ; untreated 0.078 , treated 0.064</t>
  </si>
  <si>
    <t>(/10000)</t>
  </si>
  <si>
    <t>Disease: Diabetes. Cataract</t>
  </si>
  <si>
    <t>Update: 2.8.16</t>
  </si>
  <si>
    <t>Update: 1.8.16</t>
  </si>
  <si>
    <t>Prevalent cases</t>
  </si>
  <si>
    <t>% cataract attributable to diabetes</t>
  </si>
  <si>
    <t>1. YLD for cataract 2014</t>
  </si>
  <si>
    <t>6.1 Total YLD for cataract attributable to IDDM</t>
  </si>
  <si>
    <t>6.2  Total YLD for cataract attributable to NIDDM</t>
  </si>
  <si>
    <t>7.Total YLD for cataract attributable to Diabetes</t>
  </si>
  <si>
    <t>Disease: Diabetes. Glaucoma</t>
  </si>
  <si>
    <t>1. YLD for Glaucoma 2014</t>
  </si>
  <si>
    <t xml:space="preserve">2.Glaucoma due to  attributable to diabetes. 
</t>
  </si>
  <si>
    <t>Disease: Diabetes. Amputations</t>
  </si>
  <si>
    <t xml:space="preserve">toe amputations </t>
  </si>
  <si>
    <t>foot/leg amputations</t>
  </si>
  <si>
    <t xml:space="preserve">hip/foot/above knee amputations </t>
  </si>
  <si>
    <t xml:space="preserve">diabetic amputations in IDDM (toe/hip/foot/above knee amputations) </t>
  </si>
  <si>
    <t xml:space="preserve">diabetic amputations in NIDDM
(toe/hip/foot/above knee amputations) </t>
  </si>
  <si>
    <t>toe</t>
  </si>
  <si>
    <t>7.YLD for amputations in Diabetes</t>
  </si>
  <si>
    <t>6.2  YLD for diabetic amputations in NIDDM</t>
  </si>
  <si>
    <t>6.1 YLD for diabetic amputations in IDDM</t>
  </si>
  <si>
    <t>Update: 3.8.16</t>
  </si>
  <si>
    <t>% glaucoma attributable to diabetes</t>
  </si>
  <si>
    <t>6.2  YLD for Glaucoma  attributable to NIDDM</t>
  </si>
  <si>
    <t>6.1 YLD for Glaucoma attributable to IDDM</t>
  </si>
  <si>
    <t>7.Total YLD for Glaucoma attributable to Diabetes</t>
  </si>
  <si>
    <t>1. YLDs for end-stage renal failure with dialysis</t>
  </si>
  <si>
    <t>2. YLDs for kidney transplants</t>
  </si>
  <si>
    <t>3. YLDs for Estimate untreated ESRD by subtracting dialysis and transplant deaths from total deaths</t>
  </si>
  <si>
    <t xml:space="preserve">4. Underlying renal disease distribution for new cases of end-stage renal failure </t>
  </si>
  <si>
    <t>75+</t>
  </si>
  <si>
    <t>unknown</t>
  </si>
  <si>
    <t>DM</t>
  </si>
  <si>
    <t>Not DM</t>
  </si>
  <si>
    <t>จำนวน</t>
  </si>
  <si>
    <t>สัดส่วน</t>
  </si>
  <si>
    <t>กระจาย unknow</t>
  </si>
  <si>
    <t xml:space="preserve">Total </t>
  </si>
  <si>
    <t>4.2 ร้อยละการเกิดโรคเบาหวาน</t>
  </si>
  <si>
    <t>Diabetes</t>
  </si>
  <si>
    <t>other causes exclude DM</t>
  </si>
  <si>
    <t>75 +</t>
  </si>
  <si>
    <t>5. Total YLD for diabetic nephropathy</t>
  </si>
  <si>
    <t>/100000</t>
  </si>
  <si>
    <t xml:space="preserve">2.Cataract due to attributable to diabetes. 
</t>
  </si>
  <si>
    <t>6.1 YLD for diabetic nephropathy attributable to IDDM</t>
  </si>
  <si>
    <t>6. YLD</t>
  </si>
  <si>
    <t>6.2 YLD for diabetic nephropathy attributable to NIDDM</t>
  </si>
  <si>
    <t>7. Total YLD for nephropathy attributable to Diabetes</t>
  </si>
  <si>
    <t>1. ข้อมูลเบาหวานชนิดพึ่งอินซูลิน Type 1 (Insulin-dependent diabetes mellitus/ IDDM)</t>
  </si>
  <si>
    <t>2. ข้อมูลเบาหวานชนิดไม่พึ่งอินซูลิน Type 2 (Non-Insulin-dependent diabetes mellitus/ NIDDM)</t>
  </si>
  <si>
    <t>1.1 ampotation (hip)</t>
  </si>
  <si>
    <t>1.2 ampotation (foot)</t>
  </si>
  <si>
    <t>1.3 ampotation (any-8410)</t>
  </si>
  <si>
    <t>1.4 ampotation (any-8400)</t>
  </si>
  <si>
    <t>2.1 ampotation (hip)</t>
  </si>
  <si>
    <t>2.2 ampotation (foot)</t>
  </si>
  <si>
    <t>2.3 ampotation (any-8410)</t>
  </si>
  <si>
    <t>2.4 ampotation (any-8400)</t>
  </si>
  <si>
    <t>hip/foot</t>
  </si>
  <si>
    <t>6. Prevalence of diabetes</t>
  </si>
  <si>
    <t>3. รวมข้อมูล</t>
  </si>
  <si>
    <t>3.1 IDDM (type 1) ; toe</t>
  </si>
  <si>
    <t>3.2 IDDM (type 1) ;Hip/foot</t>
  </si>
  <si>
    <t>3.3 NIDDM (type 2) ; toe</t>
  </si>
  <si>
    <t>3.4 NIDDM (type 2) ;Hip/foot</t>
  </si>
  <si>
    <t>1.5 ampotation (toe)</t>
  </si>
  <si>
    <t>2.5 ampotation (toe)</t>
  </si>
  <si>
    <t>hip/foot/below knee</t>
  </si>
  <si>
    <t>Update: 4.8.16</t>
  </si>
  <si>
    <t>1. Total for YLD diabetes (0,0)</t>
  </si>
  <si>
    <t>Diabetes cases</t>
  </si>
  <si>
    <t>Retinopathy</t>
  </si>
  <si>
    <t>Nephropathy</t>
  </si>
  <si>
    <t>Neuropathy</t>
  </si>
  <si>
    <t>Cataract</t>
  </si>
  <si>
    <t>Glaucoma</t>
  </si>
  <si>
    <t>Amputations</t>
  </si>
  <si>
    <t>ALL</t>
  </si>
  <si>
    <t>2. Total for YLD diabetes (3,0)</t>
  </si>
  <si>
    <t>Neuropathy (IDDM)</t>
  </si>
  <si>
    <t>Neuropathy (NIDDM)</t>
  </si>
  <si>
    <t>6.1 Neuropathy (IDDM)</t>
  </si>
  <si>
    <t>6.2  Neuropathy (NIDDM)</t>
  </si>
  <si>
    <t>7. Total YLD for Neuropathy</t>
  </si>
  <si>
    <t>7.1 YLD for IDDM</t>
  </si>
  <si>
    <t>7.1 YLD for NIDDM</t>
  </si>
  <si>
    <t>7.1 YLD for ALL</t>
  </si>
  <si>
    <t>See Cataract sheet</t>
  </si>
  <si>
    <t>Prevalence rate</t>
  </si>
  <si>
    <t>Comorbidity correction</t>
  </si>
  <si>
    <t>M</t>
  </si>
  <si>
    <t>F</t>
  </si>
  <si>
    <t>0 - 4</t>
  </si>
  <si>
    <t>5 -14</t>
  </si>
  <si>
    <t>15 - 29</t>
  </si>
  <si>
    <t>30 - 44</t>
  </si>
  <si>
    <t>45 - 59</t>
  </si>
  <si>
    <t>60 - 69</t>
  </si>
  <si>
    <t>70 -79</t>
  </si>
  <si>
    <t>Last update</t>
  </si>
  <si>
    <t>Prevalence (case)</t>
  </si>
  <si>
    <t>UPDATE from NHES IV</t>
  </si>
  <si>
    <t>per 1,000</t>
  </si>
  <si>
    <t>treated DM</t>
  </si>
  <si>
    <t>untreated DM</t>
  </si>
  <si>
    <t>proportion of treated DM</t>
  </si>
  <si>
    <t>by DISMOD</t>
  </si>
  <si>
    <t>total</t>
  </si>
  <si>
    <t>3.  prevalenceof treated DM and untreated DM by sex and age group</t>
  </si>
  <si>
    <r>
      <t xml:space="preserve">DM self report from the National Health Examination </t>
    </r>
    <r>
      <rPr>
        <sz val="11"/>
        <color indexed="10"/>
        <rFont val="Arial"/>
        <family val="2"/>
      </rPr>
      <t>Survey IV (2008)</t>
    </r>
  </si>
  <si>
    <t>%treated&amp;control</t>
  </si>
  <si>
    <t>%treated&amp;uncontrol</t>
  </si>
  <si>
    <t>% untreated DM</t>
  </si>
  <si>
    <t>% DM prevalence</t>
  </si>
  <si>
    <t>Definition</t>
  </si>
  <si>
    <t>Note: DM cases who receive treatment regardless controllability</t>
  </si>
  <si>
    <t>Review</t>
  </si>
  <si>
    <t>Tuchinda et al</t>
  </si>
  <si>
    <t>author</t>
  </si>
  <si>
    <t>year</t>
  </si>
  <si>
    <t>1.65 per 100000</t>
  </si>
  <si>
    <t>Source: Inter Asia survey: prev of type 1 = 0.2%</t>
  </si>
  <si>
    <t xml:space="preserve">Disease: IDDM_1, ICD codes: </t>
  </si>
  <si>
    <t>DisMod II output, date: 11/4/2016, time: 4:17:02 PM</t>
  </si>
  <si>
    <t>Likitmaskul et al</t>
  </si>
  <si>
    <t>Note: See sheet 1.Diabetes case_DATA</t>
  </si>
  <si>
    <t>If 80% NIDDM report while 100% IDDM report</t>
  </si>
  <si>
    <t>Approach: see below.</t>
  </si>
  <si>
    <t>Foot</t>
  </si>
  <si>
    <t>Disease: Diabetes. Foot</t>
  </si>
  <si>
    <t>6.1 Foot (IDDM)</t>
  </si>
  <si>
    <t>6.2  Foot (NIDDM)</t>
  </si>
  <si>
    <t>7. Foot</t>
  </si>
  <si>
    <t>DisMod II output, date: 12/13/2016, time: 2:52:04 PM</t>
  </si>
  <si>
    <t xml:space="preserve">Disease: All DM, ICD codes: </t>
  </si>
  <si>
    <t>Prevalence (per 1,000) of retinopathy</t>
  </si>
  <si>
    <t>15-24</t>
  </si>
  <si>
    <t>25-34</t>
  </si>
  <si>
    <t>35-44</t>
  </si>
  <si>
    <t>45-54</t>
  </si>
  <si>
    <t>55-64</t>
  </si>
  <si>
    <t>65-74</t>
  </si>
  <si>
    <t>We based our duration from Australia BOD at 8.9 months</t>
  </si>
  <si>
    <t>TI</t>
  </si>
  <si>
    <t>Peripheral neuropathy in adolescents and young adults with type 1 and type 2 diabetes from the SEARCH for Diabetes in Youth follow-up cohort: a pilot study.</t>
  </si>
  <si>
    <t>AU</t>
  </si>
  <si>
    <t>Jaiswal M, Lauer A, Martin CL, Bell RA, Divers J, Dabelea D, Pettitt DJ, Saydah S, Pihoker C, Standiford DA, Rodriguez BL, Pop-Busui R, Feldman EL, SEARCH for Diabetes in Youth Study Group</t>
  </si>
  <si>
    <t>SO</t>
  </si>
  <si>
    <t>Diabetes Care. 2013 Dec;36(12):3903-8. Epub 2013 Oct 21.</t>
  </si>
  <si>
    <t>OBJECTIVE: To estimate the prevalence of and risk factors for diabetic peripheral neuropathy (DPN) in a pilot study among youth participating in the SEARCH for Diabetes in Youth study.</t>
  </si>
  <si>
    <t>RESEARCH DESIGN AND METHODS: DPN was assessed using the Michigan Neuropathy Screening Instrument (MNSI) (examination for foot abnormalities, distal vibration perception, and ankle reflexes). An MNSI exam (MNSIE) score&gt;2 is diagnostic for DPN.</t>
  </si>
  <si>
    <t>RESULTS: The MNSIE was completed in 399 subjects, including 329 youth with type 1 diabetes (mean age 15.7±4.3 years, duration 6.2±0.9 years) and 70 with type 2 diabetes (mean age 21.6±4.1 years, duration 7.6±1.8 years). Glycated hemoglobin (A1C) was similar in both groups (8.8±1.8% for type 1 vs. 8.5±2.9% for type 2). The prevalence of DPN was significantly higher in youth with type 2 compared with those with type 1 diabetes (25.7 vs. 8.2%; P&lt;0.0001). In unadjusted analyses,diabetes type, older age, longer duration of diabetes, increased waist circumference, elevated blood pressure, lower HDL cholesterol, and presence of microalbuminuria (urinary albumin-to-creatinine ratio&gt;30 mg/g) were associated with DPN. The association between diabetes type and DPN remained significant after adjustment for age and sex (odds ratio 2.29 [95% CI 1.05-5.02], P = 0.03).</t>
  </si>
  <si>
    <t>CONCLUSIONS: DPN prevalence among youth with type 2 diabetes approached rates reported in adult populations with diabetes. Our findings suggest not only that youth with diabetes are at risk for DPN but also that many already show measurable signs of DPN.</t>
  </si>
  <si>
    <t>The prevalence by staged severity of various types of diabetic neuropathy, retinopathy, and nephropathy in a population-based cohort: the Rochester Diabetic Neuropathy Study.</t>
  </si>
  <si>
    <t>Dyck PJ , Kratz KM , Karnes JL , Litchy WJ , Klein R , Pach JM , Wilson DM , O'Brien PC , Melton LJ , Service FJ .</t>
  </si>
  <si>
    <t>Department of Neurology, Mayo Clinic, Rochester, MN 55905.</t>
  </si>
  <si>
    <t>Abstract</t>
  </si>
  <si>
    <t>The magnitude of the health problem from diabetic neuropathies remains inadequately estimated due to the lack of prospective population-based studies employing standardized and validated assessments of the type and stage of neuropathy as compared with background frequency. All Rochester, Minnesota, residents with diabetes mellitus on January 1, 1986, were invited to participate in a cross-sectional and longitudinal study of diabetic neuropathies (and also of other microvascular and macrovascular complications). Of 64,573 inhabitants on January 1, 1986 in Rochester, 870 (1.3%) had clinically recognized diabetes mellitus (National Diabetes Data Group criteria), of whom 380 were enrolled in the Rochester Diabetic Neuropathy Study. Of these, 102 (26.8%) had insulin-dependent diabetes mellitus (IDDM), and 278 (73.2%) had non-insulin-dependent diabetes mellitus (NIDDM). Approximately 10% of diabetic patients had neurologic deficits attributable to nondiabetic causes. Sixty-six percent of IDDM patients had some form of neuropathy; the frequencies of individual types were as follows: polyneuropathy, 54%; carpal tunnel syndrome, asymptomatic, 22%, and symptomatic, 11%; visceral autonomic neuropathy, 7%, and other varieties, 3%. Among NIDDM patients, 59% had various neuropathies; the individual percentages were 45%, 29%, 6%, 5%, and 3%. Symptomatic degrees of polyneuropathy occurred in only 15% of IDDM and 13% of NIDDM patients. The more severe stage of polyneuropathy, to the point that patients were unable to walk on their heels and also had distal sensory and autonomic deficits (stage 2b) occurred even less frequently--6% of IDDM and 1% of NIDDM patients.</t>
  </si>
  <si>
    <t>PLoS One. 2015; 10(5): e0124446.</t>
  </si>
  <si>
    <t>Published online 2015 May 6. doi:  10.1371/journal.pone.0124446</t>
  </si>
  <si>
    <t>PMCID: PMC4422657</t>
  </si>
  <si>
    <t>Diabetic Foot Complications and Their Risk Factors from a Large Retrospective Cohort Study</t>
  </si>
  <si>
    <t>Khalid Al-Rubeaan,1,* Mohammad Al Derwish,2 Samir Ouizi,2 Amira M. Youssef,3 Shazia N. Subhani,4Heba M. Ibrahim,3 and Bader N. Alamri5</t>
  </si>
  <si>
    <t xml:space="preserve"> 5-24</t>
  </si>
  <si>
    <t>age specific prevalence of DM cohort</t>
  </si>
  <si>
    <t>%</t>
  </si>
  <si>
    <t>GBD2000</t>
  </si>
  <si>
    <t>DM foot</t>
  </si>
  <si>
    <t>DisMod II output, date: 12/17/2016, time: 4:42:35 AM</t>
  </si>
  <si>
    <t xml:space="preserve">Disease: DM Foot, ICD codes: </t>
  </si>
  <si>
    <t>prevalent rate</t>
  </si>
  <si>
    <t>ที่มา: IP data 2014</t>
  </si>
  <si>
    <t xml:space="preserve">4.1 ข้อมูล DM และ not DM </t>
  </si>
  <si>
    <t>Prevalent case</t>
  </si>
  <si>
    <t>YLD 0,0</t>
  </si>
  <si>
    <t xml:space="preserve">YLD 3,0 </t>
  </si>
  <si>
    <t>3. Total for PYLD diabetes (0,0)</t>
  </si>
  <si>
    <t>PYLD  (0,0)</t>
  </si>
  <si>
    <t>4. Total for Prevalence case</t>
  </si>
  <si>
    <t>4. Total for incidence case</t>
  </si>
  <si>
    <t>Prevalence 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</si>
</sst>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_(* \(#,##0.00\);_(* &quot;-&quot;??_);_(@_)"/>
    <numFmt numFmtId="164" formatCode="_-* #,##0.00_-;\-* #,##0.00_-;_-* &quot;-&quot;??_-;_-@_-"/>
    <numFmt numFmtId="165" formatCode="0.000"/>
    <numFmt numFmtId="166" formatCode="0.00000"/>
    <numFmt numFmtId="167" formatCode="0.0000"/>
    <numFmt numFmtId="168" formatCode="0.000000"/>
    <numFmt numFmtId="169" formatCode="0.0"/>
    <numFmt numFmtId="170" formatCode="0.0_)"/>
    <numFmt numFmtId="171" formatCode="0_)"/>
    <numFmt numFmtId="172" formatCode="_(* #,##0_);_(* \(#,##0\);_(* &quot;-&quot;??_);_(@_)"/>
    <numFmt numFmtId="173" formatCode="0.0%"/>
    <numFmt numFmtId="174" formatCode="0.000%"/>
    <numFmt numFmtId="175" formatCode="0.0000000"/>
    <numFmt numFmtId="176" formatCode="_-* #,##0_-;\-* #,##0_-;_-* &quot;-&quot;??_-;_-@_-"/>
    <numFmt numFmtId="177" formatCode="_-* #,##0.000_-;\-* #,##0.000_-;_-* &quot;-&quot;??_-;_-@_-"/>
  </numFmts>
  <fonts count="33" x14ac:knownFonts="1">
    <font>
      <sz val="11"/>
      <color theme="1"/>
      <name val="Calibri"/>
      <family val="2"/>
      <charset val="22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4"/>
      <name val="Cordia New"/>
      <family val="2"/>
    </font>
    <font>
      <b/>
      <sz val="11"/>
      <color rgb="FFFF0000"/>
      <name val="Calibri"/>
      <family val="2"/>
      <scheme val="minor"/>
    </font>
    <font>
      <b/>
      <sz val="11"/>
      <name val="Arial"/>
      <family val="2"/>
      <charset val="222"/>
    </font>
    <font>
      <sz val="8"/>
      <color indexed="81"/>
      <name val="Tahoma"/>
      <family val="2"/>
    </font>
    <font>
      <b/>
      <sz val="8"/>
      <color indexed="81"/>
      <name val="Tahoma"/>
      <family val="2"/>
    </font>
    <font>
      <sz val="10"/>
      <name val="Geneva"/>
      <family val="2"/>
    </font>
    <font>
      <sz val="11"/>
      <name val="Arial"/>
      <family val="2"/>
      <charset val="222"/>
    </font>
    <font>
      <sz val="11"/>
      <color rgb="FF000000"/>
      <name val="Calibri"/>
      <family val="2"/>
    </font>
    <font>
      <sz val="11"/>
      <color theme="1"/>
      <name val="Calibri"/>
      <family val="2"/>
      <scheme val="minor"/>
    </font>
    <font>
      <b/>
      <sz val="11"/>
      <name val="Calibri"/>
      <family val="2"/>
      <scheme val="minor"/>
    </font>
    <font>
      <sz val="11"/>
      <name val="Arial"/>
      <family val="2"/>
    </font>
    <font>
      <sz val="12"/>
      <name val="Arial"/>
      <family val="2"/>
    </font>
    <font>
      <sz val="11"/>
      <color rgb="FFFF0000"/>
      <name val="Calibri"/>
      <family val="2"/>
      <charset val="222"/>
      <scheme val="minor"/>
    </font>
    <font>
      <sz val="11"/>
      <color theme="1"/>
      <name val="Calibri"/>
      <family val="2"/>
      <charset val="222"/>
      <scheme val="minor"/>
    </font>
    <font>
      <b/>
      <sz val="11"/>
      <name val="Arial"/>
      <family val="2"/>
    </font>
    <font>
      <sz val="9"/>
      <color indexed="81"/>
      <name val="Tahoma"/>
      <family val="2"/>
    </font>
    <font>
      <b/>
      <sz val="9"/>
      <color indexed="81"/>
      <name val="Tahoma"/>
      <family val="2"/>
    </font>
    <font>
      <sz val="11"/>
      <name val="Calibri"/>
      <family val="2"/>
      <scheme val="minor"/>
    </font>
    <font>
      <sz val="11"/>
      <color rgb="FF000000"/>
      <name val="Calibri"/>
      <family val="2"/>
      <scheme val="minor"/>
    </font>
    <font>
      <sz val="11"/>
      <color theme="0"/>
      <name val="Calibri"/>
      <family val="2"/>
      <charset val="222"/>
      <scheme val="minor"/>
    </font>
    <font>
      <sz val="11"/>
      <color indexed="10"/>
      <name val="Arial"/>
      <family val="2"/>
    </font>
    <font>
      <b/>
      <sz val="11"/>
      <color indexed="10"/>
      <name val="Arial"/>
      <family val="2"/>
      <charset val="222"/>
    </font>
    <font>
      <sz val="11"/>
      <color indexed="10"/>
      <name val="Arial"/>
      <family val="2"/>
      <charset val="222"/>
    </font>
    <font>
      <b/>
      <sz val="11"/>
      <color theme="2" tint="-0.249977111117893"/>
      <name val="Calibri"/>
      <family val="2"/>
      <scheme val="minor"/>
    </font>
    <font>
      <sz val="11"/>
      <color theme="2" tint="-0.249977111117893"/>
      <name val="Calibri"/>
      <family val="2"/>
      <scheme val="minor"/>
    </font>
  </fonts>
  <fills count="12">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7" tint="0.59999389629810485"/>
        <bgColor indexed="64"/>
      </patternFill>
    </fill>
    <fill>
      <patternFill patternType="solid">
        <fgColor rgb="FFFFFF00"/>
        <bgColor indexed="64"/>
      </patternFill>
    </fill>
    <fill>
      <patternFill patternType="solid">
        <fgColor rgb="FF800080"/>
        <bgColor indexed="64"/>
      </patternFill>
    </fill>
    <fill>
      <patternFill patternType="solid">
        <fgColor indexed="41"/>
        <bgColor indexed="64"/>
      </patternFill>
    </fill>
    <fill>
      <patternFill patternType="solid">
        <fgColor rgb="FFFFFFCC"/>
        <bgColor indexed="64"/>
      </patternFill>
    </fill>
    <fill>
      <patternFill patternType="solid">
        <fgColor rgb="FFFFC00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8"/>
      </bottom>
      <diagonal/>
    </border>
    <border>
      <left style="thin">
        <color indexed="64"/>
      </left>
      <right style="thin">
        <color indexed="64"/>
      </right>
      <top/>
      <bottom style="thin">
        <color indexed="8"/>
      </bottom>
      <diagonal/>
    </border>
    <border>
      <left style="medium">
        <color theme="9" tint="-0.24994659260841701"/>
      </left>
      <right/>
      <top style="medium">
        <color theme="9" tint="-0.24994659260841701"/>
      </top>
      <bottom style="medium">
        <color theme="9" tint="-0.24994659260841701"/>
      </bottom>
      <diagonal/>
    </border>
    <border>
      <left/>
      <right style="medium">
        <color theme="9" tint="-0.24994659260841701"/>
      </right>
      <top style="medium">
        <color theme="9" tint="-0.24994659260841701"/>
      </top>
      <bottom style="medium">
        <color theme="9" tint="-0.24994659260841701"/>
      </bottom>
      <diagonal/>
    </border>
  </borders>
  <cellStyleXfs count="20">
    <xf numFmtId="0" fontId="0" fillId="0" borderId="0"/>
    <xf numFmtId="0" fontId="7" fillId="0" borderId="0"/>
    <xf numFmtId="0" fontId="8" fillId="0" borderId="0" applyNumberFormat="0" applyFill="0" applyBorder="0" applyAlignment="0" applyProtection="0"/>
    <xf numFmtId="0" fontId="8" fillId="0" borderId="0" applyNumberFormat="0" applyFill="0" applyBorder="0" applyAlignment="0" applyProtection="0"/>
    <xf numFmtId="0" fontId="7"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13" fillId="0" borderId="0"/>
    <xf numFmtId="0" fontId="7" fillId="0" borderId="0"/>
    <xf numFmtId="0" fontId="19" fillId="0" borderId="0"/>
    <xf numFmtId="164" fontId="21" fillId="0" borderId="0" applyFont="0" applyFill="0" applyBorder="0" applyAlignment="0" applyProtection="0"/>
    <xf numFmtId="9" fontId="21" fillId="0" borderId="0" applyFont="0" applyFill="0" applyBorder="0" applyAlignment="0" applyProtection="0"/>
    <xf numFmtId="0" fontId="7" fillId="0" borderId="0"/>
    <xf numFmtId="43" fontId="7" fillId="0" borderId="0" applyFont="0" applyFill="0" applyBorder="0" applyAlignment="0" applyProtection="0"/>
    <xf numFmtId="0" fontId="8" fillId="0" borderId="0" applyNumberFormat="0" applyFill="0" applyBorder="0" applyAlignment="0" applyProtection="0"/>
    <xf numFmtId="0" fontId="4" fillId="0" borderId="0"/>
    <xf numFmtId="0" fontId="3" fillId="0" borderId="0"/>
    <xf numFmtId="0" fontId="1" fillId="0" borderId="0"/>
  </cellStyleXfs>
  <cellXfs count="486">
    <xf numFmtId="0" fontId="0" fillId="0" borderId="0" xfId="0"/>
    <xf numFmtId="0" fontId="0" fillId="0" borderId="0" xfId="0"/>
    <xf numFmtId="0" fontId="0" fillId="0" borderId="0" xfId="0" applyFill="1"/>
    <xf numFmtId="0" fontId="0" fillId="0" borderId="0" xfId="0"/>
    <xf numFmtId="0" fontId="6" fillId="0" borderId="0" xfId="0" applyFont="1"/>
    <xf numFmtId="0" fontId="0" fillId="0" borderId="13" xfId="0" applyBorder="1"/>
    <xf numFmtId="0" fontId="0" fillId="0" borderId="0" xfId="0"/>
    <xf numFmtId="0" fontId="6" fillId="0" borderId="0" xfId="0" applyFont="1"/>
    <xf numFmtId="0" fontId="0" fillId="0" borderId="0" xfId="0" applyBorder="1"/>
    <xf numFmtId="0" fontId="9" fillId="0" borderId="0" xfId="0" applyFont="1"/>
    <xf numFmtId="0" fontId="0" fillId="0" borderId="0" xfId="0"/>
    <xf numFmtId="0" fontId="0" fillId="0" borderId="0" xfId="0"/>
    <xf numFmtId="0" fontId="0" fillId="0" borderId="2" xfId="0" applyBorder="1"/>
    <xf numFmtId="0" fontId="0" fillId="0" borderId="3" xfId="0" applyBorder="1"/>
    <xf numFmtId="0" fontId="0" fillId="0" borderId="4" xfId="0" applyBorder="1"/>
    <xf numFmtId="0" fontId="0" fillId="0" borderId="5"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5" xfId="0" applyBorder="1" applyAlignment="1">
      <alignment horizontal="right"/>
    </xf>
    <xf numFmtId="0" fontId="0" fillId="0" borderId="0" xfId="0"/>
    <xf numFmtId="0" fontId="6" fillId="0" borderId="0" xfId="0"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5" xfId="0" applyBorder="1" applyAlignment="1">
      <alignment horizontal="left"/>
    </xf>
    <xf numFmtId="0" fontId="0" fillId="0" borderId="5" xfId="0" applyFill="1" applyBorder="1" applyAlignment="1">
      <alignment horizontal="left"/>
    </xf>
    <xf numFmtId="0" fontId="0" fillId="2" borderId="3" xfId="0" applyFill="1" applyBorder="1"/>
    <xf numFmtId="0" fontId="0" fillId="2" borderId="8" xfId="0" applyFill="1" applyBorder="1"/>
    <xf numFmtId="0" fontId="10" fillId="3" borderId="2" xfId="2" applyFont="1" applyFill="1" applyBorder="1" applyAlignment="1">
      <alignment horizontal="center"/>
    </xf>
    <xf numFmtId="0" fontId="10" fillId="3" borderId="12" xfId="2" applyFont="1" applyFill="1" applyBorder="1" applyAlignment="1">
      <alignment horizontal="center"/>
    </xf>
    <xf numFmtId="0" fontId="10" fillId="3" borderId="16" xfId="2" applyFont="1" applyFill="1" applyBorder="1" applyAlignment="1">
      <alignment horizontal="center"/>
    </xf>
    <xf numFmtId="0" fontId="10" fillId="3" borderId="13" xfId="2" applyFont="1" applyFill="1" applyBorder="1" applyAlignment="1">
      <alignment horizontal="center"/>
    </xf>
    <xf numFmtId="0" fontId="0" fillId="0" borderId="10" xfId="0" applyBorder="1"/>
    <xf numFmtId="2" fontId="0" fillId="0" borderId="0" xfId="0" applyNumberFormat="1" applyBorder="1"/>
    <xf numFmtId="0" fontId="6" fillId="0" borderId="12" xfId="0" applyFont="1" applyBorder="1"/>
    <xf numFmtId="0" fontId="6" fillId="0" borderId="2" xfId="0" applyFont="1" applyBorder="1"/>
    <xf numFmtId="165" fontId="0" fillId="0" borderId="0" xfId="0" applyNumberFormat="1" applyBorder="1"/>
    <xf numFmtId="1" fontId="0" fillId="0" borderId="0" xfId="0" applyNumberFormat="1" applyBorder="1"/>
    <xf numFmtId="1" fontId="14" fillId="0" borderId="0" xfId="9" applyNumberFormat="1" applyFont="1"/>
    <xf numFmtId="0" fontId="6" fillId="0" borderId="5" xfId="0" applyFont="1" applyBorder="1"/>
    <xf numFmtId="0" fontId="0" fillId="0" borderId="0" xfId="0" applyBorder="1" applyAlignment="1"/>
    <xf numFmtId="0" fontId="0" fillId="0" borderId="5" xfId="0" applyBorder="1" applyAlignment="1"/>
    <xf numFmtId="0" fontId="0" fillId="0" borderId="6" xfId="0" applyBorder="1" applyAlignment="1"/>
    <xf numFmtId="0" fontId="16" fillId="0" borderId="2" xfId="0" applyFont="1" applyBorder="1"/>
    <xf numFmtId="0" fontId="0" fillId="0" borderId="7" xfId="0" applyBorder="1" applyAlignment="1">
      <alignment horizontal="left"/>
    </xf>
    <xf numFmtId="0" fontId="6" fillId="0" borderId="1" xfId="0" applyFont="1" applyBorder="1"/>
    <xf numFmtId="0" fontId="0" fillId="0" borderId="12" xfId="0" applyBorder="1"/>
    <xf numFmtId="2" fontId="0" fillId="0" borderId="12" xfId="0" applyNumberFormat="1" applyBorder="1" applyAlignment="1">
      <alignment vertical="center"/>
    </xf>
    <xf numFmtId="2" fontId="0" fillId="0" borderId="10" xfId="0" applyNumberFormat="1" applyBorder="1" applyAlignment="1">
      <alignment vertical="center"/>
    </xf>
    <xf numFmtId="0" fontId="0" fillId="0" borderId="0" xfId="0" applyFill="1" applyBorder="1"/>
    <xf numFmtId="0" fontId="0" fillId="0" borderId="8" xfId="0" applyFill="1" applyBorder="1"/>
    <xf numFmtId="1" fontId="0" fillId="2" borderId="0" xfId="0" applyNumberFormat="1" applyFill="1" applyBorder="1"/>
    <xf numFmtId="0" fontId="0" fillId="0" borderId="9" xfId="0" applyFill="1" applyBorder="1"/>
    <xf numFmtId="1" fontId="0" fillId="0" borderId="6" xfId="0" applyNumberFormat="1" applyFill="1" applyBorder="1"/>
    <xf numFmtId="2" fontId="0" fillId="0" borderId="10" xfId="0" applyNumberFormat="1" applyBorder="1"/>
    <xf numFmtId="0" fontId="17" fillId="0" borderId="0" xfId="0" applyFont="1"/>
    <xf numFmtId="0" fontId="6" fillId="0" borderId="11" xfId="0" applyFont="1" applyBorder="1" applyAlignment="1"/>
    <xf numFmtId="0" fontId="15" fillId="0" borderId="2" xfId="0" applyFont="1" applyBorder="1" applyAlignment="1">
      <alignment vertical="top"/>
    </xf>
    <xf numFmtId="0" fontId="15" fillId="0" borderId="5" xfId="0" applyFont="1" applyBorder="1" applyAlignment="1">
      <alignment vertical="top"/>
    </xf>
    <xf numFmtId="0" fontId="0" fillId="0" borderId="7" xfId="0" applyBorder="1" applyAlignment="1">
      <alignment vertical="top"/>
    </xf>
    <xf numFmtId="0" fontId="0" fillId="0" borderId="1" xfId="0" applyBorder="1"/>
    <xf numFmtId="0" fontId="0" fillId="0" borderId="0" xfId="0" applyFill="1" applyBorder="1" applyAlignment="1">
      <alignment horizontal="left"/>
    </xf>
    <xf numFmtId="0" fontId="7" fillId="0" borderId="5" xfId="10" applyBorder="1"/>
    <xf numFmtId="0" fontId="0" fillId="0" borderId="11" xfId="0" applyBorder="1"/>
    <xf numFmtId="0" fontId="0" fillId="0" borderId="15" xfId="0" applyBorder="1"/>
    <xf numFmtId="0" fontId="7" fillId="0" borderId="0" xfId="10" applyFill="1" applyBorder="1"/>
    <xf numFmtId="0" fontId="0" fillId="0" borderId="7" xfId="0" applyFill="1" applyBorder="1" applyAlignment="1">
      <alignment horizontal="left"/>
    </xf>
    <xf numFmtId="0" fontId="0" fillId="0" borderId="7" xfId="0" applyBorder="1" applyAlignment="1">
      <alignment horizontal="center"/>
    </xf>
    <xf numFmtId="0" fontId="0" fillId="0" borderId="1" xfId="0" applyBorder="1" applyAlignment="1">
      <alignment horizontal="center"/>
    </xf>
    <xf numFmtId="0" fontId="0" fillId="0" borderId="13" xfId="0" applyBorder="1" applyAlignment="1">
      <alignment horizontal="center"/>
    </xf>
    <xf numFmtId="165" fontId="0" fillId="0" borderId="5" xfId="0" applyNumberFormat="1" applyBorder="1"/>
    <xf numFmtId="165" fontId="0" fillId="0" borderId="6" xfId="0" applyNumberFormat="1" applyBorder="1"/>
    <xf numFmtId="0" fontId="0" fillId="0" borderId="12" xfId="0" applyBorder="1" applyAlignment="1">
      <alignment horizontal="center"/>
    </xf>
    <xf numFmtId="165" fontId="0" fillId="0" borderId="5" xfId="0" applyNumberFormat="1" applyBorder="1" applyAlignment="1">
      <alignment horizontal="right"/>
    </xf>
    <xf numFmtId="165" fontId="0" fillId="0" borderId="6" xfId="0" applyNumberFormat="1" applyBorder="1" applyAlignment="1">
      <alignment horizontal="right"/>
    </xf>
    <xf numFmtId="166" fontId="0" fillId="0" borderId="2" xfId="0" applyNumberFormat="1" applyBorder="1"/>
    <xf numFmtId="166" fontId="0" fillId="0" borderId="4" xfId="0" applyNumberFormat="1" applyBorder="1"/>
    <xf numFmtId="166" fontId="0" fillId="0" borderId="5" xfId="0" applyNumberFormat="1" applyBorder="1"/>
    <xf numFmtId="166" fontId="0" fillId="0" borderId="6" xfId="0" applyNumberFormat="1" applyBorder="1"/>
    <xf numFmtId="0" fontId="0" fillId="4" borderId="0" xfId="0" applyFill="1"/>
    <xf numFmtId="166" fontId="0" fillId="0" borderId="5" xfId="0" applyNumberFormat="1" applyBorder="1" applyAlignment="1">
      <alignment horizontal="right"/>
    </xf>
    <xf numFmtId="166" fontId="0" fillId="0" borderId="6" xfId="0" applyNumberFormat="1" applyBorder="1" applyAlignment="1">
      <alignment horizontal="right"/>
    </xf>
    <xf numFmtId="166" fontId="0" fillId="0" borderId="0" xfId="0" applyNumberFormat="1" applyBorder="1"/>
    <xf numFmtId="0" fontId="0" fillId="0" borderId="0" xfId="0" applyBorder="1" applyAlignment="1">
      <alignment horizontal="left"/>
    </xf>
    <xf numFmtId="0" fontId="0" fillId="0" borderId="8" xfId="0" applyBorder="1" applyAlignment="1">
      <alignment horizontal="left"/>
    </xf>
    <xf numFmtId="0" fontId="6" fillId="0" borderId="1" xfId="0" applyFont="1" applyBorder="1" applyAlignment="1"/>
    <xf numFmtId="2" fontId="0" fillId="0" borderId="5" xfId="0" applyNumberFormat="1" applyBorder="1" applyAlignment="1">
      <alignment horizontal="right"/>
    </xf>
    <xf numFmtId="0" fontId="0" fillId="0" borderId="2" xfId="0" applyBorder="1" applyAlignment="1">
      <alignment horizontal="left"/>
    </xf>
    <xf numFmtId="2" fontId="0" fillId="0" borderId="2" xfId="0" applyNumberFormat="1" applyBorder="1" applyAlignment="1">
      <alignment horizontal="right"/>
    </xf>
    <xf numFmtId="1" fontId="0" fillId="0" borderId="6" xfId="0" applyNumberFormat="1" applyBorder="1"/>
    <xf numFmtId="1" fontId="0" fillId="0" borderId="5" xfId="0" applyNumberFormat="1" applyBorder="1"/>
    <xf numFmtId="1" fontId="0" fillId="0" borderId="10" xfId="0" applyNumberFormat="1" applyBorder="1"/>
    <xf numFmtId="167" fontId="0" fillId="0" borderId="0" xfId="0" applyNumberFormat="1" applyBorder="1"/>
    <xf numFmtId="168" fontId="0" fillId="0" borderId="0" xfId="0" applyNumberFormat="1" applyBorder="1"/>
    <xf numFmtId="0" fontId="0" fillId="0" borderId="6" xfId="0" applyFill="1" applyBorder="1"/>
    <xf numFmtId="0" fontId="6" fillId="0" borderId="0" xfId="0" applyFont="1" applyBorder="1" applyAlignment="1"/>
    <xf numFmtId="2" fontId="0" fillId="0" borderId="0" xfId="0" applyNumberFormat="1" applyBorder="1" applyAlignment="1">
      <alignment horizontal="right"/>
    </xf>
    <xf numFmtId="0" fontId="16" fillId="0" borderId="0" xfId="0" applyFont="1" applyBorder="1" applyAlignment="1">
      <alignment vertical="top" wrapText="1"/>
    </xf>
    <xf numFmtId="0" fontId="0" fillId="0" borderId="0" xfId="0" applyBorder="1" applyAlignment="1">
      <alignment vertical="center"/>
    </xf>
    <xf numFmtId="0" fontId="0" fillId="0" borderId="5" xfId="0" applyFill="1" applyBorder="1"/>
    <xf numFmtId="0" fontId="0" fillId="0" borderId="7" xfId="0" applyFill="1" applyBorder="1"/>
    <xf numFmtId="0" fontId="18" fillId="0" borderId="1" xfId="11" applyFont="1" applyFill="1" applyBorder="1" applyAlignment="1">
      <alignment horizontal="left" vertical="top"/>
    </xf>
    <xf numFmtId="0" fontId="18" fillId="0" borderId="10" xfId="11" applyFont="1" applyFill="1" applyBorder="1" applyAlignment="1">
      <alignment horizontal="left" vertical="top"/>
    </xf>
    <xf numFmtId="0" fontId="0" fillId="0" borderId="10" xfId="0" applyFill="1" applyBorder="1"/>
    <xf numFmtId="0" fontId="0" fillId="0" borderId="13" xfId="0" applyFill="1" applyBorder="1"/>
    <xf numFmtId="0" fontId="18" fillId="0" borderId="11" xfId="11" applyFont="1" applyFill="1" applyBorder="1" applyAlignment="1">
      <alignment horizontal="center" vertical="top" wrapText="1"/>
    </xf>
    <xf numFmtId="0" fontId="18" fillId="0" borderId="1" xfId="11" applyFont="1" applyFill="1" applyBorder="1" applyAlignment="1">
      <alignment horizontal="center" vertical="top" wrapText="1"/>
    </xf>
    <xf numFmtId="17" fontId="0" fillId="0" borderId="5" xfId="0" applyNumberFormat="1" applyBorder="1"/>
    <xf numFmtId="0" fontId="0" fillId="0" borderId="5" xfId="0" applyNumberFormat="1" applyBorder="1"/>
    <xf numFmtId="0" fontId="0" fillId="0" borderId="7" xfId="0" applyNumberFormat="1" applyBorder="1"/>
    <xf numFmtId="0" fontId="0" fillId="0" borderId="0" xfId="0" applyNumberFormat="1" applyBorder="1"/>
    <xf numFmtId="0" fontId="14" fillId="0" borderId="14" xfId="0" applyFont="1" applyBorder="1"/>
    <xf numFmtId="167" fontId="0" fillId="0" borderId="6" xfId="0" applyNumberFormat="1" applyBorder="1"/>
    <xf numFmtId="0" fontId="18" fillId="0" borderId="11" xfId="11" applyFont="1" applyFill="1" applyBorder="1" applyAlignment="1">
      <alignment horizontal="center" vertical="top" wrapText="1"/>
    </xf>
    <xf numFmtId="0" fontId="18" fillId="0" borderId="15" xfId="11" applyFont="1" applyFill="1" applyBorder="1" applyAlignment="1">
      <alignment horizontal="center" vertical="top" wrapText="1"/>
    </xf>
    <xf numFmtId="0" fontId="6" fillId="0" borderId="2" xfId="0" applyFont="1" applyBorder="1" applyAlignment="1">
      <alignment horizontal="center" vertical="center" wrapText="1"/>
    </xf>
    <xf numFmtId="0" fontId="6" fillId="0" borderId="7" xfId="0" applyFont="1" applyBorder="1" applyAlignment="1">
      <alignment horizontal="center" vertical="center" wrapText="1"/>
    </xf>
    <xf numFmtId="166" fontId="0" fillId="0" borderId="10" xfId="0" applyNumberFormat="1" applyBorder="1"/>
    <xf numFmtId="166" fontId="0" fillId="0" borderId="12" xfId="0" applyNumberFormat="1" applyBorder="1"/>
    <xf numFmtId="169" fontId="0" fillId="0" borderId="0" xfId="0" applyNumberFormat="1" applyBorder="1"/>
    <xf numFmtId="166" fontId="0" fillId="0" borderId="9" xfId="0" applyNumberFormat="1" applyBorder="1"/>
    <xf numFmtId="0" fontId="6" fillId="0" borderId="11" xfId="0" applyFont="1" applyBorder="1"/>
    <xf numFmtId="0" fontId="6" fillId="0" borderId="15" xfId="0" applyFont="1" applyBorder="1"/>
    <xf numFmtId="166" fontId="0" fillId="0" borderId="8" xfId="0" applyNumberFormat="1" applyBorder="1"/>
    <xf numFmtId="0" fontId="16" fillId="0" borderId="5" xfId="0" applyFont="1" applyBorder="1"/>
    <xf numFmtId="0" fontId="16" fillId="0" borderId="3" xfId="0" applyFont="1" applyBorder="1"/>
    <xf numFmtId="0" fontId="16" fillId="0" borderId="4" xfId="0" applyFont="1" applyBorder="1"/>
    <xf numFmtId="167" fontId="0" fillId="0" borderId="5" xfId="0" applyNumberFormat="1" applyBorder="1"/>
    <xf numFmtId="0" fontId="14" fillId="0" borderId="11" xfId="0" applyFont="1" applyBorder="1"/>
    <xf numFmtId="0" fontId="14" fillId="0" borderId="2" xfId="0" applyFont="1" applyBorder="1"/>
    <xf numFmtId="0" fontId="14" fillId="0" borderId="3" xfId="0" applyFont="1" applyBorder="1"/>
    <xf numFmtId="167" fontId="0" fillId="0" borderId="2" xfId="0" applyNumberFormat="1" applyBorder="1"/>
    <xf numFmtId="167" fontId="0" fillId="0" borderId="9" xfId="0" applyNumberFormat="1" applyBorder="1"/>
    <xf numFmtId="0" fontId="14" fillId="5" borderId="14" xfId="0" applyFont="1" applyFill="1" applyBorder="1"/>
    <xf numFmtId="167" fontId="0" fillId="5" borderId="0" xfId="0" applyNumberFormat="1" applyFill="1" applyBorder="1"/>
    <xf numFmtId="0" fontId="0" fillId="5" borderId="8" xfId="0" applyFill="1" applyBorder="1"/>
    <xf numFmtId="0" fontId="6" fillId="0" borderId="0" xfId="0" applyFont="1" applyFill="1" applyBorder="1" applyAlignment="1">
      <alignment horizontal="left"/>
    </xf>
    <xf numFmtId="0" fontId="14" fillId="5" borderId="3" xfId="0" applyFont="1" applyFill="1" applyBorder="1"/>
    <xf numFmtId="167" fontId="0" fillId="5" borderId="3" xfId="0" applyNumberFormat="1" applyFill="1" applyBorder="1"/>
    <xf numFmtId="0" fontId="6" fillId="0" borderId="0" xfId="0" applyFont="1" applyAlignment="1"/>
    <xf numFmtId="0" fontId="16" fillId="0" borderId="2" xfId="0" applyFont="1" applyBorder="1" applyAlignment="1">
      <alignment vertical="top" wrapText="1"/>
    </xf>
    <xf numFmtId="0" fontId="14" fillId="5" borderId="15" xfId="0" applyFont="1" applyFill="1" applyBorder="1"/>
    <xf numFmtId="167" fontId="0" fillId="5" borderId="6" xfId="0" applyNumberFormat="1" applyFill="1" applyBorder="1"/>
    <xf numFmtId="0" fontId="0" fillId="5" borderId="9" xfId="0" applyFill="1" applyBorder="1"/>
    <xf numFmtId="0" fontId="16" fillId="0" borderId="12" xfId="0" applyFont="1" applyBorder="1" applyAlignment="1">
      <alignment vertical="center"/>
    </xf>
    <xf numFmtId="0" fontId="0" fillId="0" borderId="12" xfId="0" applyBorder="1" applyAlignment="1">
      <alignment vertical="center"/>
    </xf>
    <xf numFmtId="0" fontId="6" fillId="0" borderId="12" xfId="0" applyFont="1" applyBorder="1" applyAlignment="1"/>
    <xf numFmtId="1" fontId="0" fillId="0" borderId="3" xfId="0" applyNumberFormat="1" applyBorder="1" applyAlignment="1">
      <alignment horizontal="right"/>
    </xf>
    <xf numFmtId="2" fontId="0" fillId="0" borderId="0" xfId="0" applyNumberFormat="1" applyBorder="1" applyAlignment="1">
      <alignment vertical="center"/>
    </xf>
    <xf numFmtId="1" fontId="0" fillId="0" borderId="3" xfId="0" applyNumberFormat="1" applyBorder="1" applyAlignment="1">
      <alignment vertical="center"/>
    </xf>
    <xf numFmtId="2" fontId="0" fillId="0" borderId="8" xfId="0" applyNumberFormat="1" applyBorder="1"/>
    <xf numFmtId="0" fontId="20" fillId="0" borderId="0" xfId="0" applyFont="1"/>
    <xf numFmtId="2" fontId="0" fillId="0" borderId="0" xfId="0" applyNumberFormat="1" applyFill="1" applyBorder="1"/>
    <xf numFmtId="1" fontId="0" fillId="0" borderId="0" xfId="0" applyNumberFormat="1" applyFill="1" applyBorder="1"/>
    <xf numFmtId="0" fontId="14" fillId="5" borderId="4" xfId="0" applyFont="1" applyFill="1" applyBorder="1"/>
    <xf numFmtId="167" fontId="0" fillId="5" borderId="4" xfId="0" applyNumberFormat="1" applyFill="1" applyBorder="1"/>
    <xf numFmtId="0" fontId="6" fillId="0" borderId="2" xfId="0" applyFont="1" applyBorder="1" applyAlignment="1">
      <alignment horizontal="center" vertical="center" wrapText="1"/>
    </xf>
    <xf numFmtId="0" fontId="6" fillId="0" borderId="7" xfId="0" applyFont="1" applyBorder="1" applyAlignment="1">
      <alignment horizontal="center" vertical="center" wrapText="1"/>
    </xf>
    <xf numFmtId="0" fontId="14" fillId="0" borderId="5" xfId="14" quotePrefix="1" applyFont="1" applyBorder="1" applyAlignment="1">
      <alignment horizontal="left"/>
    </xf>
    <xf numFmtId="0" fontId="14" fillId="0" borderId="5" xfId="14" applyFont="1" applyBorder="1" applyAlignment="1">
      <alignment horizontal="left"/>
    </xf>
    <xf numFmtId="0" fontId="6" fillId="0" borderId="0" xfId="0" applyFont="1" applyAlignment="1">
      <alignment horizontal="left" vertical="top"/>
    </xf>
    <xf numFmtId="0" fontId="6" fillId="0" borderId="0" xfId="0" applyFont="1" applyBorder="1" applyAlignment="1">
      <alignment horizontal="center" vertical="center"/>
    </xf>
    <xf numFmtId="0" fontId="6" fillId="0" borderId="3" xfId="0" applyFont="1" applyBorder="1" applyAlignment="1">
      <alignment horizontal="center" vertical="center"/>
    </xf>
    <xf numFmtId="0" fontId="6" fillId="0" borderId="3" xfId="0" applyFont="1" applyBorder="1" applyAlignment="1"/>
    <xf numFmtId="0" fontId="6" fillId="0" borderId="4" xfId="0" applyFont="1" applyFill="1" applyBorder="1" applyAlignment="1">
      <alignment horizontal="center" vertical="center"/>
    </xf>
    <xf numFmtId="0" fontId="6" fillId="0" borderId="5" xfId="0" applyFont="1" applyBorder="1" applyAlignment="1">
      <alignment horizontal="center" vertical="center" wrapText="1"/>
    </xf>
    <xf numFmtId="0" fontId="6" fillId="0" borderId="6" xfId="0" applyFont="1" applyFill="1" applyBorder="1" applyAlignment="1">
      <alignment horizontal="center" vertical="center"/>
    </xf>
    <xf numFmtId="0" fontId="6" fillId="0" borderId="8" xfId="0" applyFont="1" applyBorder="1" applyAlignment="1">
      <alignment horizontal="center" vertical="center"/>
    </xf>
    <xf numFmtId="0" fontId="6" fillId="0" borderId="8" xfId="0" applyFont="1" applyBorder="1" applyAlignment="1"/>
    <xf numFmtId="0" fontId="6" fillId="0" borderId="9" xfId="0" applyFont="1" applyFill="1" applyBorder="1" applyAlignment="1">
      <alignment horizontal="center" vertical="center"/>
    </xf>
    <xf numFmtId="0" fontId="10" fillId="0" borderId="0" xfId="2" applyFont="1" applyFill="1" applyBorder="1" applyAlignment="1">
      <alignment horizontal="center"/>
    </xf>
    <xf numFmtId="0" fontId="6" fillId="0" borderId="0" xfId="0" applyFont="1" applyBorder="1"/>
    <xf numFmtId="1" fontId="0" fillId="0" borderId="9" xfId="0" applyNumberFormat="1" applyBorder="1"/>
    <xf numFmtId="0" fontId="0" fillId="6" borderId="2" xfId="0" applyFill="1" applyBorder="1"/>
    <xf numFmtId="0" fontId="0" fillId="6" borderId="4" xfId="0" applyFill="1" applyBorder="1"/>
    <xf numFmtId="0" fontId="0" fillId="6" borderId="7" xfId="0" applyFill="1" applyBorder="1"/>
    <xf numFmtId="0" fontId="0" fillId="6" borderId="9" xfId="0" applyFill="1" applyBorder="1"/>
    <xf numFmtId="1" fontId="0" fillId="0" borderId="0" xfId="0" applyNumberFormat="1" applyBorder="1" applyAlignment="1">
      <alignment horizontal="right"/>
    </xf>
    <xf numFmtId="0" fontId="6" fillId="0" borderId="3" xfId="0" applyFont="1" applyBorder="1" applyAlignment="1">
      <alignment horizontal="center" vertical="center"/>
    </xf>
    <xf numFmtId="0" fontId="14" fillId="0" borderId="2" xfId="14" quotePrefix="1" applyFont="1" applyBorder="1" applyAlignment="1">
      <alignment horizontal="left"/>
    </xf>
    <xf numFmtId="0" fontId="14" fillId="0" borderId="7" xfId="14" applyFont="1" applyBorder="1" applyAlignment="1">
      <alignment horizontal="left"/>
    </xf>
    <xf numFmtId="169" fontId="0" fillId="0" borderId="0" xfId="0" applyNumberFormat="1" applyBorder="1" applyAlignment="1">
      <alignment horizontal="right"/>
    </xf>
    <xf numFmtId="0" fontId="6" fillId="0" borderId="8" xfId="0" applyFont="1" applyBorder="1" applyAlignment="1">
      <alignment horizontal="center" vertical="center"/>
    </xf>
    <xf numFmtId="0" fontId="0" fillId="0" borderId="0" xfId="0" applyNumberFormat="1" applyBorder="1" applyAlignment="1">
      <alignment horizontal="right"/>
    </xf>
    <xf numFmtId="169" fontId="0" fillId="0" borderId="0" xfId="0" applyNumberFormat="1"/>
    <xf numFmtId="0" fontId="6" fillId="2" borderId="3" xfId="0" applyFont="1" applyFill="1" applyBorder="1"/>
    <xf numFmtId="0" fontId="6" fillId="2" borderId="8" xfId="0" applyFont="1" applyFill="1" applyBorder="1"/>
    <xf numFmtId="1" fontId="0" fillId="0" borderId="0" xfId="0" applyNumberFormat="1"/>
    <xf numFmtId="0" fontId="0" fillId="4" borderId="11" xfId="0" applyFill="1" applyBorder="1"/>
    <xf numFmtId="0" fontId="0" fillId="4" borderId="14" xfId="0" applyFill="1" applyBorder="1"/>
    <xf numFmtId="0" fontId="0" fillId="4" borderId="15" xfId="0" applyFill="1" applyBorder="1"/>
    <xf numFmtId="0" fontId="0" fillId="4" borderId="5" xfId="0" applyFill="1" applyBorder="1"/>
    <xf numFmtId="0" fontId="0" fillId="4" borderId="0" xfId="0" applyFill="1" applyBorder="1"/>
    <xf numFmtId="0" fontId="0" fillId="4" borderId="6" xfId="0" applyFill="1" applyBorder="1"/>
    <xf numFmtId="0" fontId="0" fillId="4" borderId="7" xfId="0" applyFill="1" applyBorder="1"/>
    <xf numFmtId="0" fontId="0" fillId="4" borderId="8" xfId="0" applyFill="1" applyBorder="1"/>
    <xf numFmtId="0" fontId="0" fillId="4" borderId="9" xfId="0" applyFill="1" applyBorder="1"/>
    <xf numFmtId="1" fontId="0" fillId="4" borderId="0" xfId="0" applyNumberFormat="1" applyFill="1" applyBorder="1"/>
    <xf numFmtId="1" fontId="0" fillId="4" borderId="6" xfId="0" applyNumberFormat="1" applyFill="1" applyBorder="1"/>
    <xf numFmtId="0" fontId="0" fillId="0" borderId="3" xfId="0" applyFill="1" applyBorder="1"/>
    <xf numFmtId="0" fontId="0" fillId="0" borderId="4" xfId="0" applyFill="1" applyBorder="1"/>
    <xf numFmtId="0" fontId="6" fillId="0" borderId="2" xfId="0" applyFont="1" applyFill="1" applyBorder="1"/>
    <xf numFmtId="0" fontId="6" fillId="0" borderId="3" xfId="0" applyFont="1" applyFill="1" applyBorder="1"/>
    <xf numFmtId="0" fontId="6" fillId="0" borderId="4" xfId="0" applyFont="1" applyFill="1" applyBorder="1"/>
    <xf numFmtId="0" fontId="6" fillId="0" borderId="5" xfId="0" applyFont="1" applyFill="1" applyBorder="1"/>
    <xf numFmtId="0" fontId="6" fillId="0" borderId="7" xfId="0" applyFont="1" applyFill="1" applyBorder="1"/>
    <xf numFmtId="0" fontId="6" fillId="0" borderId="8" xfId="0" applyFont="1" applyFill="1" applyBorder="1"/>
    <xf numFmtId="0" fontId="6" fillId="0" borderId="9" xfId="0" applyFont="1" applyFill="1" applyBorder="1"/>
    <xf numFmtId="0" fontId="6" fillId="0" borderId="14" xfId="0" applyFont="1" applyBorder="1"/>
    <xf numFmtId="169" fontId="0" fillId="0" borderId="8" xfId="0" applyNumberFormat="1" applyBorder="1"/>
    <xf numFmtId="0" fontId="0" fillId="0" borderId="8" xfId="0" applyBorder="1" applyAlignment="1">
      <alignment horizontal="center"/>
    </xf>
    <xf numFmtId="0" fontId="10" fillId="3" borderId="17" xfId="2" applyFont="1" applyFill="1" applyBorder="1" applyAlignment="1">
      <alignment horizontal="center"/>
    </xf>
    <xf numFmtId="0" fontId="16" fillId="0" borderId="0" xfId="0" applyFont="1"/>
    <xf numFmtId="0" fontId="16" fillId="0" borderId="0" xfId="0" applyFont="1" applyBorder="1"/>
    <xf numFmtId="0" fontId="6" fillId="0" borderId="3" xfId="0" applyFont="1" applyBorder="1"/>
    <xf numFmtId="0" fontId="6" fillId="0" borderId="4" xfId="0" applyFont="1" applyBorder="1"/>
    <xf numFmtId="1" fontId="16" fillId="0" borderId="6" xfId="0" applyNumberFormat="1" applyFont="1" applyBorder="1"/>
    <xf numFmtId="0" fontId="16" fillId="0" borderId="7" xfId="0" applyFont="1" applyBorder="1"/>
    <xf numFmtId="0" fontId="16" fillId="0" borderId="8" xfId="0" applyFont="1" applyBorder="1"/>
    <xf numFmtId="0" fontId="16" fillId="0" borderId="9" xfId="0" applyFont="1" applyBorder="1"/>
    <xf numFmtId="0" fontId="16" fillId="0" borderId="6" xfId="0" applyFont="1" applyBorder="1"/>
    <xf numFmtId="0" fontId="0" fillId="0" borderId="14" xfId="0" applyBorder="1"/>
    <xf numFmtId="1" fontId="0" fillId="0" borderId="6" xfId="0" applyNumberFormat="1" applyBorder="1" applyAlignment="1">
      <alignment horizontal="right"/>
    </xf>
    <xf numFmtId="1" fontId="0" fillId="0" borderId="9" xfId="0" applyNumberFormat="1" applyBorder="1" applyAlignment="1">
      <alignment horizontal="right"/>
    </xf>
    <xf numFmtId="0" fontId="0" fillId="0" borderId="15" xfId="0" applyFill="1" applyBorder="1"/>
    <xf numFmtId="1" fontId="0" fillId="7" borderId="0" xfId="0" applyNumberFormat="1" applyFill="1" applyBorder="1"/>
    <xf numFmtId="0" fontId="0" fillId="7" borderId="0" xfId="0" applyFill="1" applyBorder="1"/>
    <xf numFmtId="1" fontId="0" fillId="7" borderId="6" xfId="0" applyNumberFormat="1" applyFill="1" applyBorder="1"/>
    <xf numFmtId="0" fontId="0" fillId="7" borderId="6" xfId="0" applyFill="1" applyBorder="1"/>
    <xf numFmtId="0" fontId="0" fillId="0" borderId="0" xfId="0" quotePrefix="1"/>
    <xf numFmtId="1" fontId="0" fillId="7" borderId="5" xfId="0" applyNumberFormat="1" applyFill="1" applyBorder="1"/>
    <xf numFmtId="0" fontId="0" fillId="7" borderId="5" xfId="0" applyFill="1" applyBorder="1"/>
    <xf numFmtId="0" fontId="0" fillId="7" borderId="5" xfId="0" applyFill="1" applyBorder="1" applyAlignment="1"/>
    <xf numFmtId="0" fontId="5" fillId="0" borderId="0" xfId="0" applyFont="1"/>
    <xf numFmtId="0" fontId="5" fillId="0" borderId="2" xfId="0" applyFont="1" applyFill="1" applyBorder="1"/>
    <xf numFmtId="0" fontId="5" fillId="0" borderId="3" xfId="0" applyFont="1" applyFill="1" applyBorder="1"/>
    <xf numFmtId="0" fontId="5" fillId="2" borderId="3" xfId="0" applyFont="1" applyFill="1" applyBorder="1"/>
    <xf numFmtId="0" fontId="5" fillId="0" borderId="4" xfId="0" applyFont="1" applyFill="1" applyBorder="1"/>
    <xf numFmtId="0" fontId="5" fillId="0" borderId="0" xfId="0" applyFont="1" applyFill="1" applyBorder="1"/>
    <xf numFmtId="0" fontId="5" fillId="6" borderId="2" xfId="0" applyFont="1" applyFill="1" applyBorder="1"/>
    <xf numFmtId="0" fontId="5" fillId="6" borderId="4" xfId="0" applyFont="1" applyFill="1" applyBorder="1"/>
    <xf numFmtId="0" fontId="5" fillId="0" borderId="7" xfId="0" applyFont="1" applyFill="1" applyBorder="1"/>
    <xf numFmtId="0" fontId="5" fillId="0" borderId="8" xfId="0" applyFont="1" applyFill="1" applyBorder="1"/>
    <xf numFmtId="0" fontId="5" fillId="2" borderId="8" xfId="0" applyFont="1" applyFill="1" applyBorder="1"/>
    <xf numFmtId="0" fontId="5" fillId="0" borderId="9" xfId="0" applyFont="1" applyFill="1" applyBorder="1"/>
    <xf numFmtId="0" fontId="5" fillId="6" borderId="7" xfId="0" applyFont="1" applyFill="1" applyBorder="1"/>
    <xf numFmtId="0" fontId="5" fillId="6" borderId="9" xfId="0" applyFont="1" applyFill="1" applyBorder="1"/>
    <xf numFmtId="0" fontId="5" fillId="0" borderId="5" xfId="0" applyFont="1" applyFill="1" applyBorder="1"/>
    <xf numFmtId="0" fontId="5" fillId="0" borderId="6" xfId="0" applyFont="1" applyFill="1" applyBorder="1"/>
    <xf numFmtId="1" fontId="5" fillId="0" borderId="5" xfId="0" applyNumberFormat="1" applyFont="1" applyFill="1" applyBorder="1"/>
    <xf numFmtId="1" fontId="5" fillId="0" borderId="6" xfId="0" applyNumberFormat="1" applyFont="1" applyFill="1" applyBorder="1"/>
    <xf numFmtId="1" fontId="5" fillId="2" borderId="0" xfId="0" applyNumberFormat="1" applyFont="1" applyFill="1" applyBorder="1"/>
    <xf numFmtId="1" fontId="5" fillId="0" borderId="0" xfId="0" applyNumberFormat="1" applyFont="1" applyFill="1" applyBorder="1"/>
    <xf numFmtId="1" fontId="5" fillId="0" borderId="7" xfId="0" applyNumberFormat="1" applyFont="1" applyFill="1" applyBorder="1"/>
    <xf numFmtId="1" fontId="5" fillId="0" borderId="9" xfId="0" applyNumberFormat="1" applyFont="1" applyFill="1" applyBorder="1"/>
    <xf numFmtId="0" fontId="25" fillId="0" borderId="1" xfId="14" applyFont="1" applyBorder="1" applyAlignment="1">
      <alignment horizontal="centerContinuous" wrapText="1"/>
    </xf>
    <xf numFmtId="0" fontId="25" fillId="0" borderId="1" xfId="14" applyFont="1" applyBorder="1" applyAlignment="1">
      <alignment horizontal="center"/>
    </xf>
    <xf numFmtId="0" fontId="25" fillId="0" borderId="11" xfId="14" applyFont="1" applyBorder="1" applyAlignment="1">
      <alignment horizontal="center"/>
    </xf>
    <xf numFmtId="0" fontId="25" fillId="0" borderId="15" xfId="14" applyFont="1" applyBorder="1" applyAlignment="1">
      <alignment horizontal="center"/>
    </xf>
    <xf numFmtId="0" fontId="25" fillId="0" borderId="14" xfId="14" applyFont="1" applyBorder="1" applyAlignment="1">
      <alignment horizontal="center"/>
    </xf>
    <xf numFmtId="171" fontId="25" fillId="0" borderId="14" xfId="14" applyNumberFormat="1" applyFont="1" applyBorder="1" applyAlignment="1">
      <alignment horizontal="center"/>
    </xf>
    <xf numFmtId="0" fontId="17" fillId="0" borderId="5" xfId="14" applyFont="1" applyBorder="1"/>
    <xf numFmtId="0" fontId="25" fillId="0" borderId="12" xfId="14" applyFont="1" applyBorder="1"/>
    <xf numFmtId="0" fontId="25" fillId="0" borderId="5" xfId="14" applyFont="1" applyBorder="1"/>
    <xf numFmtId="0" fontId="25" fillId="0" borderId="6" xfId="14" applyFont="1" applyBorder="1"/>
    <xf numFmtId="0" fontId="25" fillId="0" borderId="0" xfId="14" applyFont="1" applyBorder="1"/>
    <xf numFmtId="171" fontId="25" fillId="0" borderId="0" xfId="14" applyNumberFormat="1" applyFont="1" applyBorder="1" applyAlignment="1"/>
    <xf numFmtId="0" fontId="25" fillId="0" borderId="6" xfId="14" applyFont="1" applyBorder="1" applyAlignment="1"/>
    <xf numFmtId="0" fontId="25" fillId="0" borderId="5" xfId="14" quotePrefix="1" applyFont="1" applyBorder="1" applyAlignment="1">
      <alignment horizontal="left"/>
    </xf>
    <xf numFmtId="0" fontId="5" fillId="0" borderId="10" xfId="0" applyFont="1" applyBorder="1"/>
    <xf numFmtId="172" fontId="25" fillId="0" borderId="5" xfId="15" quotePrefix="1" applyNumberFormat="1" applyFont="1" applyBorder="1" applyAlignment="1">
      <alignment horizontal="right"/>
    </xf>
    <xf numFmtId="173" fontId="25" fillId="0" borderId="0" xfId="13" applyNumberFormat="1" applyFont="1" applyBorder="1" applyAlignment="1"/>
    <xf numFmtId="173" fontId="25" fillId="0" borderId="6" xfId="13" applyNumberFormat="1" applyFont="1" applyBorder="1" applyAlignment="1"/>
    <xf numFmtId="0" fontId="25" fillId="0" borderId="5" xfId="14" applyFont="1" applyBorder="1" applyAlignment="1">
      <alignment horizontal="left"/>
    </xf>
    <xf numFmtId="172" fontId="25" fillId="0" borderId="6" xfId="15" quotePrefix="1" applyNumberFormat="1" applyFont="1" applyBorder="1" applyAlignment="1">
      <alignment horizontal="right"/>
    </xf>
    <xf numFmtId="0" fontId="25" fillId="0" borderId="5" xfId="14" applyFont="1" applyFill="1" applyBorder="1" applyAlignment="1">
      <alignment horizontal="left"/>
    </xf>
    <xf numFmtId="1" fontId="5" fillId="0" borderId="5" xfId="0" applyNumberFormat="1" applyFont="1" applyBorder="1"/>
    <xf numFmtId="1" fontId="5" fillId="0" borderId="6" xfId="0" applyNumberFormat="1" applyFont="1" applyBorder="1"/>
    <xf numFmtId="0" fontId="5" fillId="0" borderId="0" xfId="0" applyFont="1" applyBorder="1"/>
    <xf numFmtId="0" fontId="5" fillId="0" borderId="6" xfId="0" applyFont="1" applyBorder="1"/>
    <xf numFmtId="0" fontId="5" fillId="0" borderId="5" xfId="0" applyFont="1" applyBorder="1"/>
    <xf numFmtId="0" fontId="5" fillId="0" borderId="10" xfId="0" applyFont="1" applyFill="1" applyBorder="1"/>
    <xf numFmtId="1" fontId="5" fillId="0" borderId="10" xfId="0" applyNumberFormat="1" applyFont="1" applyBorder="1"/>
    <xf numFmtId="0" fontId="5" fillId="0" borderId="7" xfId="0" applyFont="1" applyBorder="1"/>
    <xf numFmtId="0" fontId="5" fillId="0" borderId="13" xfId="0" applyFont="1" applyBorder="1"/>
    <xf numFmtId="0" fontId="5" fillId="0" borderId="9" xfId="0" applyFont="1" applyBorder="1"/>
    <xf numFmtId="0" fontId="5" fillId="0" borderId="8" xfId="0" applyFont="1" applyBorder="1"/>
    <xf numFmtId="0" fontId="26" fillId="0" borderId="0" xfId="0" applyFont="1" applyAlignment="1">
      <alignment vertical="top" wrapText="1" readingOrder="1"/>
    </xf>
    <xf numFmtId="0" fontId="27" fillId="8" borderId="0" xfId="0" applyFont="1" applyFill="1"/>
    <xf numFmtId="10" fontId="0" fillId="0" borderId="0" xfId="13" applyNumberFormat="1" applyFont="1"/>
    <xf numFmtId="0" fontId="22" fillId="0" borderId="0" xfId="2" applyFont="1"/>
    <xf numFmtId="0" fontId="18" fillId="0" borderId="0" xfId="2" applyFont="1"/>
    <xf numFmtId="0" fontId="18" fillId="0" borderId="0" xfId="2" applyFont="1" applyAlignment="1">
      <alignment horizontal="right"/>
    </xf>
    <xf numFmtId="167" fontId="18" fillId="0" borderId="0" xfId="2" applyNumberFormat="1" applyFont="1"/>
    <xf numFmtId="167" fontId="18" fillId="0" borderId="0" xfId="2" applyNumberFormat="1" applyFont="1" applyAlignment="1"/>
    <xf numFmtId="17" fontId="18" fillId="0" borderId="0" xfId="2" quotePrefix="1" applyNumberFormat="1" applyFont="1" applyAlignment="1">
      <alignment horizontal="right"/>
    </xf>
    <xf numFmtId="0" fontId="0" fillId="0" borderId="2" xfId="0" applyBorder="1" applyAlignment="1">
      <alignment horizontal="center"/>
    </xf>
    <xf numFmtId="0" fontId="0" fillId="0" borderId="4" xfId="0" applyBorder="1" applyAlignment="1">
      <alignment horizontal="center"/>
    </xf>
    <xf numFmtId="0" fontId="0" fillId="0" borderId="3" xfId="0" applyBorder="1" applyAlignment="1">
      <alignment horizontal="center"/>
    </xf>
    <xf numFmtId="0" fontId="0" fillId="0" borderId="11"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8" xfId="0" applyFill="1" applyBorder="1"/>
    <xf numFmtId="14" fontId="0" fillId="0" borderId="19" xfId="0" applyNumberFormat="1" applyFill="1" applyBorder="1"/>
    <xf numFmtId="2" fontId="0" fillId="0" borderId="0" xfId="0" applyNumberFormat="1"/>
    <xf numFmtId="174" fontId="18" fillId="9" borderId="0" xfId="13" applyNumberFormat="1" applyFont="1" applyFill="1"/>
    <xf numFmtId="0" fontId="18" fillId="9" borderId="0" xfId="0" applyFont="1" applyFill="1"/>
    <xf numFmtId="0" fontId="18" fillId="0" borderId="0" xfId="0" applyFont="1"/>
    <xf numFmtId="0" fontId="22" fillId="9" borderId="2" xfId="0" applyFont="1" applyFill="1" applyBorder="1"/>
    <xf numFmtId="0" fontId="22" fillId="9" borderId="3" xfId="0" applyFont="1" applyFill="1" applyBorder="1"/>
    <xf numFmtId="0" fontId="22" fillId="9" borderId="4" xfId="0" applyFont="1" applyFill="1" applyBorder="1"/>
    <xf numFmtId="0" fontId="10" fillId="9" borderId="0" xfId="0" applyFont="1" applyFill="1"/>
    <xf numFmtId="169" fontId="29" fillId="9" borderId="0" xfId="0" applyNumberFormat="1" applyFont="1" applyFill="1"/>
    <xf numFmtId="169" fontId="30" fillId="9" borderId="0" xfId="0" applyNumberFormat="1" applyFont="1" applyFill="1"/>
    <xf numFmtId="165" fontId="0" fillId="10" borderId="0" xfId="0" applyNumberFormat="1" applyFill="1" applyBorder="1"/>
    <xf numFmtId="0" fontId="0" fillId="10" borderId="0" xfId="0" applyFill="1" applyBorder="1"/>
    <xf numFmtId="0" fontId="0" fillId="10" borderId="0" xfId="0" applyFill="1"/>
    <xf numFmtId="2" fontId="0" fillId="10" borderId="0" xfId="0" applyNumberFormat="1" applyFill="1" applyBorder="1"/>
    <xf numFmtId="2" fontId="0" fillId="10" borderId="6" xfId="0" applyNumberFormat="1" applyFill="1" applyBorder="1"/>
    <xf numFmtId="1" fontId="0" fillId="10" borderId="0" xfId="0" applyNumberFormat="1" applyFill="1"/>
    <xf numFmtId="0" fontId="7" fillId="0" borderId="5" xfId="10" applyFill="1" applyBorder="1"/>
    <xf numFmtId="175" fontId="0" fillId="0" borderId="0" xfId="0" applyNumberFormat="1" applyBorder="1"/>
    <xf numFmtId="0" fontId="4" fillId="0" borderId="0" xfId="17"/>
    <xf numFmtId="176" fontId="0" fillId="0" borderId="0" xfId="12" applyNumberFormat="1" applyFont="1"/>
    <xf numFmtId="173" fontId="0" fillId="0" borderId="0" xfId="13" applyNumberFormat="1" applyFont="1"/>
    <xf numFmtId="0" fontId="3" fillId="0" borderId="0" xfId="0" applyFont="1"/>
    <xf numFmtId="0" fontId="3" fillId="0" borderId="0" xfId="0" applyFont="1" applyFill="1" applyBorder="1"/>
    <xf numFmtId="0" fontId="3" fillId="6" borderId="2" xfId="0" applyFont="1" applyFill="1" applyBorder="1"/>
    <xf numFmtId="0" fontId="3" fillId="6" borderId="4" xfId="0" applyFont="1" applyFill="1" applyBorder="1"/>
    <xf numFmtId="0" fontId="3" fillId="6" borderId="7" xfId="0" applyFont="1" applyFill="1" applyBorder="1"/>
    <xf numFmtId="0" fontId="3" fillId="6" borderId="9" xfId="0" applyFont="1" applyFill="1" applyBorder="1"/>
    <xf numFmtId="0" fontId="3" fillId="0" borderId="5" xfId="0" applyFont="1" applyFill="1" applyBorder="1"/>
    <xf numFmtId="0" fontId="3" fillId="0" borderId="6" xfId="0" applyFont="1" applyFill="1" applyBorder="1"/>
    <xf numFmtId="1" fontId="3" fillId="2" borderId="0" xfId="0" applyNumberFormat="1" applyFont="1" applyFill="1" applyBorder="1"/>
    <xf numFmtId="1" fontId="3" fillId="0" borderId="6" xfId="0" applyNumberFormat="1" applyFont="1" applyFill="1" applyBorder="1"/>
    <xf numFmtId="1" fontId="3" fillId="0" borderId="5" xfId="0" applyNumberFormat="1" applyFont="1" applyFill="1" applyBorder="1"/>
    <xf numFmtId="1" fontId="3" fillId="0" borderId="0" xfId="0" applyNumberFormat="1" applyFont="1" applyFill="1" applyBorder="1"/>
    <xf numFmtId="0" fontId="3" fillId="0" borderId="7" xfId="0" applyFont="1" applyFill="1" applyBorder="1"/>
    <xf numFmtId="0" fontId="3" fillId="0" borderId="8" xfId="0" applyFont="1" applyFill="1" applyBorder="1"/>
    <xf numFmtId="1" fontId="3" fillId="2" borderId="8" xfId="0" applyNumberFormat="1" applyFont="1" applyFill="1" applyBorder="1"/>
    <xf numFmtId="1" fontId="3" fillId="0" borderId="9" xfId="0" applyNumberFormat="1" applyFont="1" applyFill="1" applyBorder="1"/>
    <xf numFmtId="0" fontId="3" fillId="0" borderId="9" xfId="0" applyFont="1" applyFill="1" applyBorder="1"/>
    <xf numFmtId="0" fontId="3" fillId="0" borderId="10" xfId="0" applyFont="1" applyBorder="1"/>
    <xf numFmtId="0" fontId="3" fillId="0" borderId="5" xfId="12" applyNumberFormat="1" applyFont="1" applyBorder="1"/>
    <xf numFmtId="0" fontId="3" fillId="0" borderId="6" xfId="12" applyNumberFormat="1" applyFont="1" applyBorder="1"/>
    <xf numFmtId="0" fontId="3" fillId="0" borderId="0" xfId="0" applyFont="1" applyBorder="1"/>
    <xf numFmtId="0" fontId="3" fillId="0" borderId="6" xfId="0" applyFont="1" applyBorder="1"/>
    <xf numFmtId="0" fontId="3" fillId="0" borderId="5" xfId="0" applyFont="1" applyBorder="1"/>
    <xf numFmtId="0" fontId="3" fillId="0" borderId="10" xfId="0" applyFont="1" applyFill="1" applyBorder="1"/>
    <xf numFmtId="1" fontId="3" fillId="0" borderId="10" xfId="0" applyNumberFormat="1" applyFont="1" applyBorder="1"/>
    <xf numFmtId="0" fontId="3" fillId="0" borderId="5" xfId="0" applyNumberFormat="1" applyFont="1" applyBorder="1"/>
    <xf numFmtId="0" fontId="3" fillId="0" borderId="6" xfId="0" applyNumberFormat="1" applyFont="1" applyBorder="1"/>
    <xf numFmtId="0" fontId="3" fillId="0" borderId="7" xfId="0" applyFont="1" applyBorder="1"/>
    <xf numFmtId="0" fontId="3" fillId="0" borderId="13" xfId="0" applyFont="1" applyBorder="1"/>
    <xf numFmtId="0" fontId="3" fillId="0" borderId="9" xfId="0" applyFont="1" applyBorder="1"/>
    <xf numFmtId="0" fontId="3" fillId="0" borderId="8" xfId="0" applyFont="1" applyBorder="1"/>
    <xf numFmtId="0" fontId="25" fillId="0" borderId="5" xfId="12" quotePrefix="1" applyNumberFormat="1" applyFont="1" applyBorder="1" applyAlignment="1">
      <alignment horizontal="right"/>
    </xf>
    <xf numFmtId="0" fontId="25" fillId="0" borderId="6" xfId="12" quotePrefix="1" applyNumberFormat="1" applyFont="1" applyBorder="1" applyAlignment="1">
      <alignment horizontal="right"/>
    </xf>
    <xf numFmtId="0" fontId="3" fillId="7" borderId="0" xfId="18" applyFill="1"/>
    <xf numFmtId="0" fontId="3" fillId="0" borderId="0" xfId="18"/>
    <xf numFmtId="177" fontId="0" fillId="0" borderId="0" xfId="12" applyNumberFormat="1" applyFont="1"/>
    <xf numFmtId="0" fontId="2" fillId="0" borderId="0" xfId="0" applyFont="1"/>
    <xf numFmtId="16" fontId="0" fillId="0" borderId="0" xfId="0" applyNumberFormat="1"/>
    <xf numFmtId="0" fontId="1" fillId="0" borderId="0" xfId="19"/>
    <xf numFmtId="2" fontId="0" fillId="4" borderId="0" xfId="0" applyNumberFormat="1" applyFill="1" applyBorder="1"/>
    <xf numFmtId="0" fontId="31" fillId="0" borderId="0" xfId="0" applyFont="1"/>
    <xf numFmtId="0" fontId="32" fillId="0" borderId="0" xfId="0" applyFont="1"/>
    <xf numFmtId="0" fontId="31" fillId="0" borderId="11" xfId="0" applyFont="1" applyBorder="1" applyAlignment="1">
      <alignment horizontal="center"/>
    </xf>
    <xf numFmtId="0" fontId="31" fillId="0" borderId="14" xfId="0" applyFont="1" applyBorder="1" applyAlignment="1">
      <alignment horizontal="center"/>
    </xf>
    <xf numFmtId="0" fontId="31" fillId="0" borderId="15" xfId="0" applyFont="1" applyBorder="1" applyAlignment="1">
      <alignment horizontal="center"/>
    </xf>
    <xf numFmtId="0" fontId="32" fillId="0" borderId="5" xfId="0" applyFont="1" applyBorder="1"/>
    <xf numFmtId="0" fontId="32" fillId="0" borderId="0" xfId="0" applyFont="1" applyBorder="1"/>
    <xf numFmtId="167" fontId="32" fillId="0" borderId="5" xfId="0" applyNumberFormat="1" applyFont="1" applyBorder="1"/>
    <xf numFmtId="167" fontId="32" fillId="0" borderId="6" xfId="0" applyNumberFormat="1" applyFont="1" applyBorder="1"/>
    <xf numFmtId="169" fontId="32" fillId="0" borderId="5" xfId="0" applyNumberFormat="1" applyFont="1" applyBorder="1"/>
    <xf numFmtId="169" fontId="32" fillId="0" borderId="6" xfId="0" applyNumberFormat="1" applyFont="1" applyBorder="1"/>
    <xf numFmtId="1" fontId="32" fillId="0" borderId="0" xfId="0" applyNumberFormat="1" applyFont="1" applyBorder="1"/>
    <xf numFmtId="1" fontId="32" fillId="0" borderId="6" xfId="0" applyNumberFormat="1" applyFont="1" applyBorder="1"/>
    <xf numFmtId="0" fontId="32" fillId="0" borderId="6" xfId="0" applyFont="1" applyBorder="1"/>
    <xf numFmtId="0" fontId="31" fillId="0" borderId="5" xfId="0" applyFont="1" applyBorder="1"/>
    <xf numFmtId="0" fontId="31" fillId="0" borderId="0" xfId="0" applyFont="1" applyBorder="1" applyAlignment="1">
      <alignment horizontal="center"/>
    </xf>
    <xf numFmtId="2" fontId="32" fillId="0" borderId="5" xfId="0" applyNumberFormat="1" applyFont="1" applyBorder="1"/>
    <xf numFmtId="2" fontId="32" fillId="0" borderId="6" xfId="0" applyNumberFormat="1" applyFont="1" applyBorder="1"/>
    <xf numFmtId="0" fontId="32" fillId="0" borderId="7" xfId="0" applyFont="1" applyBorder="1"/>
    <xf numFmtId="0" fontId="32" fillId="0" borderId="8" xfId="0" applyFont="1" applyBorder="1"/>
    <xf numFmtId="0" fontId="32" fillId="0" borderId="9" xfId="0" applyFont="1" applyBorder="1"/>
    <xf numFmtId="0" fontId="0" fillId="0" borderId="0" xfId="0" quotePrefix="1" applyBorder="1"/>
    <xf numFmtId="0" fontId="0" fillId="11" borderId="0" xfId="0" applyFill="1" applyBorder="1"/>
    <xf numFmtId="176" fontId="5" fillId="0" borderId="0" xfId="12" applyNumberFormat="1" applyFont="1" applyFill="1" applyBorder="1"/>
    <xf numFmtId="1" fontId="5" fillId="0" borderId="10" xfId="0" applyNumberFormat="1" applyFont="1" applyFill="1" applyBorder="1"/>
    <xf numFmtId="1" fontId="0" fillId="0" borderId="7" xfId="0" applyNumberFormat="1" applyBorder="1"/>
    <xf numFmtId="0" fontId="6" fillId="3" borderId="12" xfId="0" applyFont="1" applyFill="1" applyBorder="1"/>
    <xf numFmtId="0" fontId="0" fillId="3" borderId="13" xfId="0" applyFill="1" applyBorder="1"/>
    <xf numFmtId="0" fontId="0" fillId="0" borderId="2" xfId="0" applyBorder="1" applyAlignment="1">
      <alignment horizontal="center"/>
    </xf>
    <xf numFmtId="0" fontId="0" fillId="0" borderId="4" xfId="0" applyBorder="1" applyAlignment="1">
      <alignment horizontal="center"/>
    </xf>
    <xf numFmtId="0" fontId="0" fillId="0" borderId="3" xfId="0" applyBorder="1" applyAlignment="1">
      <alignment horizontal="center"/>
    </xf>
    <xf numFmtId="1" fontId="0" fillId="2" borderId="6" xfId="0" applyNumberFormat="1" applyFill="1" applyBorder="1"/>
    <xf numFmtId="167" fontId="0" fillId="0" borderId="0" xfId="0" applyNumberFormat="1"/>
    <xf numFmtId="167" fontId="0" fillId="0" borderId="0" xfId="12" applyNumberFormat="1" applyFont="1"/>
    <xf numFmtId="0" fontId="0" fillId="0" borderId="2" xfId="0" applyBorder="1" applyAlignment="1">
      <alignment horizontal="center"/>
    </xf>
    <xf numFmtId="0" fontId="0" fillId="0" borderId="4" xfId="0" applyBorder="1" applyAlignment="1">
      <alignment horizontal="center"/>
    </xf>
    <xf numFmtId="0" fontId="0" fillId="0" borderId="3" xfId="0" applyBorder="1" applyAlignment="1">
      <alignment horizontal="center"/>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6" fillId="3" borderId="12" xfId="0" applyFont="1" applyFill="1" applyBorder="1" applyAlignment="1">
      <alignment horizontal="center" wrapText="1"/>
    </xf>
    <xf numFmtId="0" fontId="6" fillId="3" borderId="13" xfId="0" applyFont="1" applyFill="1" applyBorder="1" applyAlignment="1">
      <alignment horizontal="center" wrapText="1"/>
    </xf>
    <xf numFmtId="0" fontId="0" fillId="0" borderId="11"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6" xfId="0" applyBorder="1" applyAlignment="1">
      <alignment horizontal="center" vertical="center"/>
    </xf>
    <xf numFmtId="0" fontId="0" fillId="0" borderId="0" xfId="0" applyFill="1" applyAlignment="1">
      <alignment horizontal="left" vertical="top"/>
    </xf>
    <xf numFmtId="0" fontId="6" fillId="0" borderId="12" xfId="0" applyFont="1" applyFill="1" applyBorder="1" applyAlignment="1">
      <alignment horizontal="center" vertical="center"/>
    </xf>
    <xf numFmtId="0" fontId="6" fillId="0" borderId="13" xfId="0" applyFont="1" applyFill="1" applyBorder="1" applyAlignment="1">
      <alignment horizontal="center" vertical="center"/>
    </xf>
    <xf numFmtId="0" fontId="16" fillId="0" borderId="12" xfId="0" applyFont="1" applyBorder="1" applyAlignment="1">
      <alignment horizontal="center" vertical="center"/>
    </xf>
    <xf numFmtId="0" fontId="16" fillId="0" borderId="10" xfId="0" applyFont="1" applyBorder="1" applyAlignment="1">
      <alignment horizontal="center" vertical="center"/>
    </xf>
    <xf numFmtId="0" fontId="16" fillId="0" borderId="13" xfId="0" applyFont="1" applyBorder="1" applyAlignment="1">
      <alignment horizontal="center" vertical="center"/>
    </xf>
    <xf numFmtId="0" fontId="0" fillId="0" borderId="12" xfId="0" applyBorder="1" applyAlignment="1">
      <alignment horizontal="center" vertical="center"/>
    </xf>
    <xf numFmtId="0" fontId="0" fillId="0" borderId="10" xfId="0" applyBorder="1" applyAlignment="1">
      <alignment horizontal="center" vertical="center"/>
    </xf>
    <xf numFmtId="0" fontId="0" fillId="0" borderId="13" xfId="0" applyBorder="1" applyAlignment="1">
      <alignment horizontal="center" vertical="center"/>
    </xf>
    <xf numFmtId="0" fontId="6" fillId="0" borderId="11" xfId="0" applyFont="1" applyBorder="1" applyAlignment="1">
      <alignment horizontal="center"/>
    </xf>
    <xf numFmtId="0" fontId="6" fillId="0" borderId="15" xfId="0" applyFont="1" applyBorder="1" applyAlignment="1">
      <alignment horizontal="center"/>
    </xf>
    <xf numFmtId="0" fontId="16" fillId="0" borderId="12" xfId="0" applyFont="1" applyBorder="1" applyAlignment="1">
      <alignment horizontal="left" vertical="top" wrapText="1"/>
    </xf>
    <xf numFmtId="0" fontId="16" fillId="0" borderId="10" xfId="0" applyFont="1" applyBorder="1" applyAlignment="1">
      <alignment horizontal="left" vertical="top" wrapText="1"/>
    </xf>
    <xf numFmtId="0" fontId="16" fillId="0" borderId="13" xfId="0" applyFont="1" applyBorder="1" applyAlignment="1">
      <alignment horizontal="left" vertical="top" wrapText="1"/>
    </xf>
    <xf numFmtId="0" fontId="15" fillId="0" borderId="12" xfId="0" applyFont="1" applyBorder="1" applyAlignment="1">
      <alignment horizontal="left" vertical="top" wrapText="1"/>
    </xf>
    <xf numFmtId="0" fontId="15" fillId="0" borderId="10" xfId="0" applyFont="1" applyBorder="1" applyAlignment="1">
      <alignment horizontal="left" vertical="top" wrapText="1"/>
    </xf>
    <xf numFmtId="0" fontId="6" fillId="0" borderId="2" xfId="0" applyFont="1" applyBorder="1" applyAlignment="1">
      <alignment horizontal="center" vertical="center" wrapText="1"/>
    </xf>
    <xf numFmtId="0" fontId="6" fillId="0" borderId="7" xfId="0" applyFont="1" applyBorder="1" applyAlignment="1">
      <alignment horizontal="center" vertical="center" wrapText="1"/>
    </xf>
    <xf numFmtId="0" fontId="0" fillId="0" borderId="11"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2" xfId="0" applyBorder="1" applyAlignment="1">
      <alignment horizontal="center" vertical="center" wrapText="1"/>
    </xf>
    <xf numFmtId="0" fontId="0" fillId="0" borderId="7" xfId="0" applyBorder="1" applyAlignment="1">
      <alignment horizontal="center" vertical="center" wrapText="1"/>
    </xf>
    <xf numFmtId="0" fontId="0" fillId="0" borderId="2" xfId="0" applyBorder="1" applyAlignment="1">
      <alignment horizontal="center" vertical="center"/>
    </xf>
    <xf numFmtId="0" fontId="0" fillId="0" borderId="7" xfId="0" applyBorder="1" applyAlignment="1">
      <alignment horizontal="center" vertical="center"/>
    </xf>
    <xf numFmtId="0" fontId="16" fillId="0" borderId="12" xfId="0" applyFont="1" applyBorder="1" applyAlignment="1">
      <alignment horizontal="center" vertical="top" wrapText="1"/>
    </xf>
    <xf numFmtId="0" fontId="16" fillId="0" borderId="10" xfId="0" applyFont="1" applyBorder="1" applyAlignment="1">
      <alignment horizontal="center" vertical="top" wrapText="1"/>
    </xf>
    <xf numFmtId="0" fontId="16" fillId="0" borderId="13" xfId="0" applyFont="1" applyBorder="1" applyAlignment="1">
      <alignment horizontal="center" vertical="top" wrapText="1"/>
    </xf>
    <xf numFmtId="0" fontId="32" fillId="0" borderId="14" xfId="0" applyFont="1" applyBorder="1" applyAlignment="1">
      <alignment horizontal="center"/>
    </xf>
    <xf numFmtId="0" fontId="32" fillId="0" borderId="15" xfId="0" applyFont="1" applyBorder="1" applyAlignment="1">
      <alignment horizontal="center"/>
    </xf>
    <xf numFmtId="0" fontId="31" fillId="0" borderId="2" xfId="0" applyFont="1" applyBorder="1" applyAlignment="1">
      <alignment horizontal="center" vertical="center"/>
    </xf>
    <xf numFmtId="0" fontId="31" fillId="0" borderId="7" xfId="0" applyFont="1" applyBorder="1" applyAlignment="1">
      <alignment horizontal="center" vertical="center"/>
    </xf>
    <xf numFmtId="0" fontId="32" fillId="0" borderId="11" xfId="0" applyFont="1" applyBorder="1" applyAlignment="1">
      <alignment horizontal="center"/>
    </xf>
    <xf numFmtId="0" fontId="6" fillId="0" borderId="10" xfId="0" applyFont="1" applyFill="1" applyBorder="1" applyAlignment="1">
      <alignment horizontal="center" vertical="center"/>
    </xf>
    <xf numFmtId="0" fontId="6" fillId="0" borderId="12" xfId="0" applyFont="1" applyBorder="1" applyAlignment="1">
      <alignment horizontal="center" vertical="center" wrapText="1"/>
    </xf>
    <xf numFmtId="0" fontId="6" fillId="0" borderId="13" xfId="0" applyFont="1" applyBorder="1" applyAlignment="1">
      <alignment horizontal="center" vertical="center" wrapText="1"/>
    </xf>
    <xf numFmtId="0" fontId="16" fillId="0" borderId="5" xfId="0" applyFont="1" applyBorder="1" applyAlignment="1">
      <alignment horizontal="left" vertical="center" wrapText="1"/>
    </xf>
    <xf numFmtId="0" fontId="16" fillId="0" borderId="7" xfId="0" applyFont="1" applyBorder="1" applyAlignment="1">
      <alignment horizontal="left" vertical="center" wrapText="1"/>
    </xf>
    <xf numFmtId="0" fontId="16" fillId="0" borderId="10" xfId="0" applyFont="1" applyBorder="1" applyAlignment="1">
      <alignment horizontal="center" vertical="center" wrapText="1"/>
    </xf>
    <xf numFmtId="0" fontId="16" fillId="0" borderId="13" xfId="0" applyFont="1" applyBorder="1" applyAlignment="1">
      <alignment horizontal="center" vertical="center" wrapText="1"/>
    </xf>
    <xf numFmtId="0" fontId="6" fillId="0" borderId="10" xfId="0" applyFont="1" applyBorder="1" applyAlignment="1">
      <alignment horizontal="center" vertical="center"/>
    </xf>
    <xf numFmtId="0" fontId="0" fillId="0" borderId="5" xfId="0" applyBorder="1" applyAlignment="1">
      <alignment horizontal="center" vertical="center"/>
    </xf>
    <xf numFmtId="0" fontId="18" fillId="0" borderId="2" xfId="11" applyFont="1" applyFill="1" applyBorder="1" applyAlignment="1">
      <alignment horizontal="center" vertical="center" wrapText="1"/>
    </xf>
    <xf numFmtId="0" fontId="18" fillId="0" borderId="4" xfId="11" applyFont="1" applyFill="1" applyBorder="1" applyAlignment="1">
      <alignment horizontal="center" vertical="center" wrapText="1"/>
    </xf>
    <xf numFmtId="0" fontId="18" fillId="0" borderId="5" xfId="11" applyFont="1" applyFill="1" applyBorder="1" applyAlignment="1">
      <alignment horizontal="center" vertical="center" wrapText="1"/>
    </xf>
    <xf numFmtId="0" fontId="18" fillId="0" borderId="6" xfId="11" applyFont="1" applyFill="1" applyBorder="1" applyAlignment="1">
      <alignment horizontal="center" vertical="center" wrapText="1"/>
    </xf>
    <xf numFmtId="0" fontId="0" fillId="0" borderId="1" xfId="0" applyBorder="1" applyAlignment="1">
      <alignment horizontal="center"/>
    </xf>
    <xf numFmtId="0" fontId="18" fillId="0" borderId="14" xfId="11" applyFont="1" applyFill="1" applyBorder="1" applyAlignment="1">
      <alignment horizontal="center" vertical="top" wrapText="1"/>
    </xf>
    <xf numFmtId="0" fontId="18" fillId="0" borderId="11" xfId="11" applyFont="1" applyFill="1" applyBorder="1" applyAlignment="1">
      <alignment horizontal="center" vertical="top" wrapText="1"/>
    </xf>
    <xf numFmtId="0" fontId="18" fillId="0" borderId="15" xfId="11" applyFont="1" applyFill="1" applyBorder="1" applyAlignment="1">
      <alignment horizontal="center" vertical="top" wrapText="1"/>
    </xf>
    <xf numFmtId="0" fontId="14" fillId="5" borderId="11" xfId="0" applyFont="1" applyFill="1" applyBorder="1" applyAlignment="1">
      <alignment horizontal="center"/>
    </xf>
    <xf numFmtId="0" fontId="14" fillId="5" borderId="14" xfId="0" applyFont="1" applyFill="1" applyBorder="1" applyAlignment="1">
      <alignment horizontal="center"/>
    </xf>
    <xf numFmtId="0" fontId="14" fillId="5" borderId="15" xfId="0" applyFont="1" applyFill="1" applyBorder="1" applyAlignment="1">
      <alignment horizontal="center"/>
    </xf>
    <xf numFmtId="0" fontId="25" fillId="0" borderId="11" xfId="14" applyFont="1" applyBorder="1" applyAlignment="1">
      <alignment horizontal="center" vertical="center" wrapText="1"/>
    </xf>
    <xf numFmtId="0" fontId="25" fillId="0" borderId="15" xfId="14" applyFont="1" applyBorder="1" applyAlignment="1">
      <alignment horizontal="center" vertical="center" wrapText="1"/>
    </xf>
    <xf numFmtId="170" fontId="25" fillId="0" borderId="14" xfId="14" applyNumberFormat="1" applyFont="1" applyBorder="1" applyAlignment="1" applyProtection="1">
      <alignment horizontal="left" vertical="center" wrapText="1"/>
    </xf>
    <xf numFmtId="170" fontId="25" fillId="0" borderId="15" xfId="14" applyNumberFormat="1" applyFont="1" applyBorder="1" applyAlignment="1" applyProtection="1">
      <alignment horizontal="left" vertical="center" wrapText="1"/>
    </xf>
    <xf numFmtId="0" fontId="25" fillId="0" borderId="2" xfId="14" applyFont="1" applyBorder="1" applyAlignment="1">
      <alignment horizontal="center" vertical="center"/>
    </xf>
    <xf numFmtId="0" fontId="25" fillId="0" borderId="7" xfId="14" applyFont="1" applyBorder="1" applyAlignment="1">
      <alignment horizontal="center" vertical="center"/>
    </xf>
    <xf numFmtId="0" fontId="6" fillId="0" borderId="2" xfId="0" applyFont="1" applyBorder="1" applyAlignment="1">
      <alignment horizontal="center" vertical="center"/>
    </xf>
    <xf numFmtId="0" fontId="6" fillId="0" borderId="7" xfId="0" applyFont="1" applyBorder="1" applyAlignment="1">
      <alignment horizontal="center" vertical="center"/>
    </xf>
    <xf numFmtId="0" fontId="6" fillId="0" borderId="3" xfId="0" applyFont="1" applyBorder="1" applyAlignment="1">
      <alignment horizontal="center" vertical="center"/>
    </xf>
    <xf numFmtId="0" fontId="6" fillId="0" borderId="8" xfId="0" applyFont="1" applyBorder="1" applyAlignment="1">
      <alignment horizontal="center" vertical="center"/>
    </xf>
    <xf numFmtId="0" fontId="6" fillId="0" borderId="11" xfId="0" applyFont="1" applyBorder="1" applyAlignment="1">
      <alignment horizontal="center" vertical="center"/>
    </xf>
    <xf numFmtId="0" fontId="6" fillId="0" borderId="14" xfId="0" applyFont="1" applyBorder="1" applyAlignment="1">
      <alignment horizontal="center" vertical="center"/>
    </xf>
    <xf numFmtId="0" fontId="6" fillId="0" borderId="15" xfId="0" applyFont="1" applyBorder="1" applyAlignment="1">
      <alignment horizontal="center" vertical="center"/>
    </xf>
  </cellXfs>
  <cellStyles count="20">
    <cellStyle name="Comma" xfId="12" builtinId="3"/>
    <cellStyle name="Comma_Th_Visual loss" xfId="15" xr:uid="{00000000-0005-0000-0000-000001000000}"/>
    <cellStyle name="Microsoft Excel found an error in the formula you entered. Do you want to accept the correction proposed below?_x000a__x000a_|_x000a__x000a_• To accept the correction, click Yes._x000a_• To close this message and correct the formula yourself, click No." xfId="2" xr:uid="{00000000-0005-0000-0000-000002000000}"/>
    <cellStyle name="Microsoft Excel found an error in the formula you entered. Do you want to accept the correction proposed below?_x000a__x000a_|_x000a__x000a_• To accept the correction, click Yes._x000a_• To close this message and correct the formula yourself, click No. 4" xfId="16" xr:uid="{00000000-0005-0000-0000-000003000000}"/>
    <cellStyle name="Normal" xfId="0" builtinId="0"/>
    <cellStyle name="Normal 2" xfId="1" xr:uid="{00000000-0005-0000-0000-000005000000}"/>
    <cellStyle name="Normal 2 2" xfId="3" xr:uid="{00000000-0005-0000-0000-000006000000}"/>
    <cellStyle name="Normal 2 3" xfId="5" xr:uid="{00000000-0005-0000-0000-000007000000}"/>
    <cellStyle name="Normal 2 4" xfId="6" xr:uid="{00000000-0005-0000-0000-000008000000}"/>
    <cellStyle name="Normal 2 5" xfId="7" xr:uid="{00000000-0005-0000-0000-000009000000}"/>
    <cellStyle name="Normal 2 6" xfId="8" xr:uid="{00000000-0005-0000-0000-00000A000000}"/>
    <cellStyle name="Normal 3" xfId="17" xr:uid="{00000000-0005-0000-0000-00000B000000}"/>
    <cellStyle name="Normal 4" xfId="18" xr:uid="{00000000-0005-0000-0000-00000C000000}"/>
    <cellStyle name="Normal 5" xfId="19" xr:uid="{00000000-0005-0000-0000-00000D000000}"/>
    <cellStyle name="Normal_5 BH Vaccine preventable cluster" xfId="9" xr:uid="{00000000-0005-0000-0000-00000E000000}"/>
    <cellStyle name="Normal_dismod dm 2004_iddm" xfId="10" xr:uid="{00000000-0005-0000-0000-00000F000000}"/>
    <cellStyle name="Normal_Th_Visual loss" xfId="14" xr:uid="{00000000-0005-0000-0000-000010000000}"/>
    <cellStyle name="Normal_VH Diabetes" xfId="11" xr:uid="{00000000-0005-0000-0000-000011000000}"/>
    <cellStyle name="Percent" xfId="13" builtinId="5"/>
    <cellStyle name="ปกติ_Dismod_input_death47byAgeSex" xfId="4" xr:uid="{00000000-0005-0000-0000-000013000000}"/>
  </cellStyles>
  <dxfs count="0"/>
  <tableStyles count="0" defaultTableStyle="TableStyleMedium9" defaultPivotStyle="PivotStyleLight16"/>
  <colors>
    <mruColors>
      <color rgb="FFFFFFCC"/>
      <color rgb="FF800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6.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3.xml"/><Relationship Id="rId28" Type="http://schemas.openxmlformats.org/officeDocument/2006/relationships/externalLink" Target="externalLinks/externalLink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 Id="rId27" Type="http://schemas.openxmlformats.org/officeDocument/2006/relationships/externalLink" Target="externalLinks/externalLink7.xml"/><Relationship Id="rId30" Type="http://schemas.openxmlformats.org/officeDocument/2006/relationships/styles" Target="styles.xml"/></Relationships>
</file>

<file path=xl/drawings/_rels/drawing8.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4</xdr:col>
      <xdr:colOff>542925</xdr:colOff>
      <xdr:row>0</xdr:row>
      <xdr:rowOff>38100</xdr:rowOff>
    </xdr:from>
    <xdr:to>
      <xdr:col>10</xdr:col>
      <xdr:colOff>638175</xdr:colOff>
      <xdr:row>13</xdr:row>
      <xdr:rowOff>66675</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4305300" y="38100"/>
          <a:ext cx="4476750" cy="2524125"/>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a:t>- Correct</a:t>
          </a:r>
          <a:r>
            <a:rPr lang="en-SG" sz="1100" baseline="0"/>
            <a:t> YLD from nephropathy</a:t>
          </a:r>
        </a:p>
        <a:p>
          <a:r>
            <a:rPr lang="en-SG" sz="1100" baseline="0"/>
            <a:t>- all reference figures need update later</a:t>
          </a:r>
        </a:p>
        <a:p>
          <a:r>
            <a:rPr lang="en-SG" sz="1100" baseline="0"/>
            <a:t>- need to add comorbidity  calculation sheet when available</a:t>
          </a:r>
        </a:p>
        <a:p>
          <a:r>
            <a:rPr lang="en-SG" sz="1100" baseline="0"/>
            <a:t>- add description for each estimates  (which no description was provided)</a:t>
          </a:r>
        </a:p>
        <a:p>
          <a:r>
            <a:rPr lang="en-SG" sz="1100" baseline="0"/>
            <a:t>After Expert meeting:</a:t>
          </a:r>
        </a:p>
        <a:p>
          <a:r>
            <a:rPr lang="en-SG" sz="1100" baseline="0"/>
            <a:t>-correct DW of DM cases</a:t>
          </a:r>
        </a:p>
        <a:p>
          <a:r>
            <a:rPr lang="en-SG" sz="1100" baseline="0"/>
            <a:t>- Check cataract&amp;glaucoma worksheet, waiting from Nueng</a:t>
          </a:r>
        </a:p>
        <a:p>
          <a:r>
            <a:rPr lang="en-SG" sz="1100" baseline="0"/>
            <a:t>- </a:t>
          </a:r>
        </a:p>
        <a:p>
          <a:endParaRPr lang="en-SG"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455083</xdr:colOff>
      <xdr:row>23</xdr:row>
      <xdr:rowOff>84666</xdr:rowOff>
    </xdr:from>
    <xdr:to>
      <xdr:col>8</xdr:col>
      <xdr:colOff>306917</xdr:colOff>
      <xdr:row>25</xdr:row>
      <xdr:rowOff>169333</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3630083" y="4466166"/>
          <a:ext cx="1693334" cy="465667"/>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a:t>waiting</a:t>
          </a:r>
          <a:r>
            <a:rPr lang="en-SG" sz="1100" baseline="0"/>
            <a:t> for NHES V</a:t>
          </a:r>
          <a:endParaRPr lang="en-SG"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19</xdr:row>
      <xdr:rowOff>161925</xdr:rowOff>
    </xdr:from>
    <xdr:to>
      <xdr:col>5</xdr:col>
      <xdr:colOff>47624</xdr:colOff>
      <xdr:row>25</xdr:row>
      <xdr:rowOff>104774</xdr:rowOff>
    </xdr:to>
    <xdr:sp macro="" textlink="">
      <xdr:nvSpPr>
        <xdr:cNvPr id="2" name="Text 5">
          <a:extLst>
            <a:ext uri="{FF2B5EF4-FFF2-40B4-BE49-F238E27FC236}">
              <a16:creationId xmlns:a16="http://schemas.microsoft.com/office/drawing/2014/main" id="{00000000-0008-0000-0500-000002000000}"/>
            </a:ext>
          </a:extLst>
        </xdr:cNvPr>
        <xdr:cNvSpPr txBox="1">
          <a:spLocks noChangeArrowheads="1"/>
        </xdr:cNvSpPr>
      </xdr:nvSpPr>
      <xdr:spPr bwMode="auto">
        <a:xfrm>
          <a:off x="38100" y="3629025"/>
          <a:ext cx="5572124" cy="1028699"/>
        </a:xfrm>
        <a:prstGeom prst="rect">
          <a:avLst/>
        </a:prstGeom>
        <a:solidFill>
          <a:srgbClr val="FFFFFF"/>
        </a:solidFill>
        <a:ln w="1">
          <a:noFill/>
          <a:miter lim="800000"/>
          <a:headEnd/>
          <a:tailEnd/>
        </a:ln>
      </xdr:spPr>
      <xdr:txBody>
        <a:bodyPr vertOverflow="clip" wrap="square" lIns="27432" tIns="22860" rIns="0" bIns="0" anchor="t" upright="1"/>
        <a:lstStyle/>
        <a:p>
          <a:pPr algn="l" rtl="0">
            <a:defRPr sz="1000"/>
          </a:pPr>
          <a:r>
            <a:rPr lang="en-US" sz="1100" b="0" i="0" strike="noStrike">
              <a:solidFill>
                <a:srgbClr val="000000"/>
              </a:solidFill>
              <a:latin typeface="Arial"/>
              <a:cs typeface="Arial"/>
            </a:rPr>
            <a:t>Dutch disability weights of </a:t>
          </a:r>
          <a:r>
            <a:rPr lang="en-US" sz="1100" b="1" i="0" strike="noStrike">
              <a:solidFill>
                <a:srgbClr val="000000"/>
              </a:solidFill>
              <a:latin typeface="Arial"/>
              <a:cs typeface="Arial"/>
            </a:rPr>
            <a:t>0.17 for moderate sight impairment </a:t>
          </a:r>
          <a:r>
            <a:rPr lang="en-US" sz="1100" b="0" i="0" strike="noStrike">
              <a:solidFill>
                <a:srgbClr val="000000"/>
              </a:solidFill>
              <a:latin typeface="Arial"/>
              <a:cs typeface="Arial"/>
            </a:rPr>
            <a:t>(great difficulty reading small newspaper print no difficulty recognising faces at 4m distance) and </a:t>
          </a:r>
          <a:r>
            <a:rPr lang="en-US" sz="1100" b="1" i="0" strike="noStrike">
              <a:solidFill>
                <a:srgbClr val="000000"/>
              </a:solidFill>
              <a:latin typeface="Arial"/>
              <a:cs typeface="Arial"/>
            </a:rPr>
            <a:t>0.43 for severe sight impairment </a:t>
          </a:r>
          <a:r>
            <a:rPr lang="en-US" sz="1100" b="0" i="0" strike="noStrike">
              <a:solidFill>
                <a:srgbClr val="000000"/>
              </a:solidFill>
              <a:latin typeface="Arial"/>
              <a:cs typeface="Arial"/>
            </a:rPr>
            <a:t>(unable to read small newspaper print or recognise faces at 4m distance) were used. Assuming 33% severe impairment and  66% moderate impairment at all ages (based on NHMRC figures using in Victoria study) results in an </a:t>
          </a:r>
          <a:r>
            <a:rPr lang="en-US" sz="1100" b="1" i="0" strike="noStrike">
              <a:solidFill>
                <a:srgbClr val="000000"/>
              </a:solidFill>
              <a:latin typeface="Arial"/>
              <a:cs typeface="Arial"/>
            </a:rPr>
            <a:t>average disability weight of 0.254</a:t>
          </a:r>
          <a:r>
            <a:rPr lang="th-TH" sz="1100" b="1" i="0" strike="noStrike">
              <a:solidFill>
                <a:srgbClr val="000000"/>
              </a:solidFill>
              <a:latin typeface="Arial"/>
              <a:cs typeface="Arial"/>
            </a:rPr>
            <a:t> </a:t>
          </a:r>
          <a:r>
            <a:rPr lang="en-US" sz="1100" b="1" i="0" strike="noStrike">
              <a:solidFill>
                <a:srgbClr val="000000"/>
              </a:solidFill>
              <a:latin typeface="Arial"/>
              <a:cs typeface="Arial"/>
            </a:rPr>
            <a:t>(0.17*0.66+0.43*0.33)</a:t>
          </a:r>
        </a:p>
      </xdr:txBody>
    </xdr:sp>
    <xdr:clientData/>
  </xdr:twoCellAnchor>
  <xdr:oneCellAnchor>
    <xdr:from>
      <xdr:col>3</xdr:col>
      <xdr:colOff>714375</xdr:colOff>
      <xdr:row>12</xdr:row>
      <xdr:rowOff>142875</xdr:rowOff>
    </xdr:from>
    <xdr:ext cx="5914761" cy="609013"/>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4019550" y="2428875"/>
          <a:ext cx="5914761"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SG" sz="1100"/>
            <a:t>We found a systematic review paper reporting</a:t>
          </a:r>
          <a:r>
            <a:rPr lang="en-SG" sz="1100" baseline="0"/>
            <a:t> incidence rate of PDR at 4, 5, and 10 years.  However,</a:t>
          </a:r>
        </a:p>
        <a:p>
          <a:r>
            <a:rPr lang="en-SG" sz="1100" baseline="0"/>
            <a:t>this is a bit crude compared with Australian data.  So, we decide to keep the rate as in previous</a:t>
          </a:r>
        </a:p>
        <a:p>
          <a:r>
            <a:rPr lang="en-SG" sz="1100" baseline="0"/>
            <a:t>estimation.</a:t>
          </a:r>
          <a:endParaRPr lang="en-SG" sz="1100"/>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0</xdr:col>
      <xdr:colOff>38100</xdr:colOff>
      <xdr:row>19</xdr:row>
      <xdr:rowOff>161925</xdr:rowOff>
    </xdr:from>
    <xdr:to>
      <xdr:col>5</xdr:col>
      <xdr:colOff>47624</xdr:colOff>
      <xdr:row>25</xdr:row>
      <xdr:rowOff>104774</xdr:rowOff>
    </xdr:to>
    <xdr:sp macro="" textlink="">
      <xdr:nvSpPr>
        <xdr:cNvPr id="2" name="Text 5">
          <a:extLst>
            <a:ext uri="{FF2B5EF4-FFF2-40B4-BE49-F238E27FC236}">
              <a16:creationId xmlns:a16="http://schemas.microsoft.com/office/drawing/2014/main" id="{00000000-0008-0000-0A00-000002000000}"/>
            </a:ext>
          </a:extLst>
        </xdr:cNvPr>
        <xdr:cNvSpPr txBox="1">
          <a:spLocks noChangeArrowheads="1"/>
        </xdr:cNvSpPr>
      </xdr:nvSpPr>
      <xdr:spPr bwMode="auto">
        <a:xfrm>
          <a:off x="38100" y="3629025"/>
          <a:ext cx="5572124" cy="1028699"/>
        </a:xfrm>
        <a:prstGeom prst="rect">
          <a:avLst/>
        </a:prstGeom>
        <a:solidFill>
          <a:srgbClr val="FFFFFF"/>
        </a:solidFill>
        <a:ln w="1">
          <a:noFill/>
          <a:miter lim="800000"/>
          <a:headEnd/>
          <a:tailEnd/>
        </a:ln>
      </xdr:spPr>
      <xdr:txBody>
        <a:bodyPr vertOverflow="clip" wrap="square" lIns="27432" tIns="22860" rIns="0" bIns="0" anchor="t" upright="1"/>
        <a:lstStyle/>
        <a:p>
          <a:pPr algn="l" rtl="0">
            <a:defRPr sz="1000"/>
          </a:pPr>
          <a:r>
            <a:rPr lang="en-US" sz="1100" b="0" i="0" strike="noStrike">
              <a:solidFill>
                <a:srgbClr val="000000"/>
              </a:solidFill>
              <a:latin typeface="Arial"/>
              <a:cs typeface="Arial"/>
            </a:rPr>
            <a:t>Dutch disability weights of </a:t>
          </a:r>
          <a:r>
            <a:rPr lang="en-US" sz="1100" b="1" i="0" strike="noStrike">
              <a:solidFill>
                <a:srgbClr val="000000"/>
              </a:solidFill>
              <a:latin typeface="Arial"/>
              <a:cs typeface="Arial"/>
            </a:rPr>
            <a:t>0.17 for moderate sight impairment </a:t>
          </a:r>
          <a:r>
            <a:rPr lang="en-US" sz="1100" b="0" i="0" strike="noStrike">
              <a:solidFill>
                <a:srgbClr val="000000"/>
              </a:solidFill>
              <a:latin typeface="Arial"/>
              <a:cs typeface="Arial"/>
            </a:rPr>
            <a:t>(great difficulty reading small newspaper print no difficulty recognising faces at 4m distance) and </a:t>
          </a:r>
          <a:r>
            <a:rPr lang="en-US" sz="1100" b="1" i="0" strike="noStrike">
              <a:solidFill>
                <a:srgbClr val="000000"/>
              </a:solidFill>
              <a:latin typeface="Arial"/>
              <a:cs typeface="Arial"/>
            </a:rPr>
            <a:t>0.43 for severe sight impairment </a:t>
          </a:r>
          <a:r>
            <a:rPr lang="en-US" sz="1100" b="0" i="0" strike="noStrike">
              <a:solidFill>
                <a:srgbClr val="000000"/>
              </a:solidFill>
              <a:latin typeface="Arial"/>
              <a:cs typeface="Arial"/>
            </a:rPr>
            <a:t>(unable to read small newspaper print or recognise faces at 4m distance) were used. Assuming 33% severe impairment and  66% moderate impairment at all ages (based on NHMRC figures using in Victoria study) results in an </a:t>
          </a:r>
          <a:r>
            <a:rPr lang="en-US" sz="1100" b="1" i="0" strike="noStrike">
              <a:solidFill>
                <a:srgbClr val="000000"/>
              </a:solidFill>
              <a:latin typeface="Arial"/>
              <a:cs typeface="Arial"/>
            </a:rPr>
            <a:t>average disability weight of 0.254</a:t>
          </a:r>
          <a:r>
            <a:rPr lang="th-TH" sz="1100" b="1" i="0" strike="noStrike">
              <a:solidFill>
                <a:srgbClr val="000000"/>
              </a:solidFill>
              <a:latin typeface="Arial"/>
              <a:cs typeface="Arial"/>
            </a:rPr>
            <a:t> </a:t>
          </a:r>
          <a:r>
            <a:rPr lang="en-US" sz="1100" b="1" i="0" strike="noStrike">
              <a:solidFill>
                <a:srgbClr val="000000"/>
              </a:solidFill>
              <a:latin typeface="Arial"/>
              <a:cs typeface="Arial"/>
            </a:rPr>
            <a:t>(0.17*0.66+0.43*0.33)</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85725</xdr:colOff>
      <xdr:row>24</xdr:row>
      <xdr:rowOff>47625</xdr:rowOff>
    </xdr:from>
    <xdr:to>
      <xdr:col>10</xdr:col>
      <xdr:colOff>142875</xdr:colOff>
      <xdr:row>36</xdr:row>
      <xdr:rowOff>123825</xdr:rowOff>
    </xdr:to>
    <xdr:sp macro="" textlink="">
      <xdr:nvSpPr>
        <xdr:cNvPr id="2" name="Text 1">
          <a:extLst>
            <a:ext uri="{FF2B5EF4-FFF2-40B4-BE49-F238E27FC236}">
              <a16:creationId xmlns:a16="http://schemas.microsoft.com/office/drawing/2014/main" id="{00000000-0008-0000-0B00-000002000000}"/>
            </a:ext>
          </a:extLst>
        </xdr:cNvPr>
        <xdr:cNvSpPr txBox="1">
          <a:spLocks noChangeArrowheads="1"/>
        </xdr:cNvSpPr>
      </xdr:nvSpPr>
      <xdr:spPr bwMode="auto">
        <a:xfrm>
          <a:off x="85725" y="4391025"/>
          <a:ext cx="7153275" cy="2247900"/>
        </a:xfrm>
        <a:prstGeom prst="rect">
          <a:avLst/>
        </a:prstGeom>
        <a:solidFill>
          <a:srgbClr val="FFFFFF"/>
        </a:solidFill>
        <a:ln w="1">
          <a:noFill/>
          <a:miter lim="800000"/>
          <a:headEnd/>
          <a:tailEnd/>
        </a:ln>
      </xdr:spPr>
      <xdr:txBody>
        <a:bodyPr vertOverflow="clip" wrap="square" lIns="27432" tIns="22860" rIns="0" bIns="0" anchor="t" upright="1"/>
        <a:lstStyle/>
        <a:p>
          <a:pPr algn="l" rtl="0">
            <a:defRPr sz="1000"/>
          </a:pPr>
          <a:r>
            <a:rPr lang="en-US" sz="1100" b="0" i="0" strike="noStrike">
              <a:solidFill>
                <a:srgbClr val="000000"/>
              </a:solidFill>
              <a:latin typeface="Arial"/>
              <a:cs typeface="Arial"/>
            </a:rPr>
            <a:t>1.  Colagiuri et al (1998) have reviewed information on prevalence, incidence and severity of peripheral neuropathy in diabetes. In Australia, 25% of diabetics are estimated to have peripheral neuropathy. It is present in 8% of new diagnoses and in 50% of patients after 10 years. Prof Zimmet advised the Mauritius BoD that 80% of patients with peripheral neuropathy have little disability, the other 20% are disabled. </a:t>
          </a:r>
        </a:p>
        <a:p>
          <a:pPr algn="l" rtl="0">
            <a:defRPr sz="1000"/>
          </a:pPr>
          <a:endParaRPr lang="en-US" sz="1100" b="0" i="0" strike="noStrike">
            <a:solidFill>
              <a:srgbClr val="000000"/>
            </a:solidFill>
            <a:latin typeface="Arial"/>
            <a:cs typeface="Arial"/>
          </a:endParaRPr>
        </a:p>
        <a:p>
          <a:pPr algn="l" rtl="0">
            <a:defRPr sz="1000"/>
          </a:pPr>
          <a:r>
            <a:rPr lang="en-US" sz="1100" b="0" i="0" strike="noStrike">
              <a:solidFill>
                <a:srgbClr val="000000"/>
              </a:solidFill>
              <a:latin typeface="Arial"/>
              <a:cs typeface="Arial"/>
            </a:rPr>
            <a:t>2.  As the assumptions using in the Victoria study, with the best estimates coming from a rural WA study in Australia concluded over 15 years ago (McCarty et al 1996). This study estimated prevalence of sensory neuropathy at 15.5% and 18.2% of males and females with NIDDM and 7.7% and 8.9% of males and females with IDDM. Assuming that:</a:t>
          </a:r>
        </a:p>
        <a:p>
          <a:pPr algn="l" rtl="0">
            <a:defRPr sz="1000"/>
          </a:pPr>
          <a:r>
            <a:rPr lang="en-US" sz="1100" b="0" i="0" strike="noStrike">
              <a:solidFill>
                <a:srgbClr val="FF0000"/>
              </a:solidFill>
              <a:latin typeface="Arial"/>
              <a:cs typeface="Arial"/>
            </a:rPr>
            <a:t>- in NIDDM at onset 20% x 8% = 1.6% have disability from neuropathy and after 10 years 20% x 50% = 10%</a:t>
          </a:r>
        </a:p>
        <a:p>
          <a:pPr algn="l" rtl="0">
            <a:defRPr sz="1000"/>
          </a:pPr>
          <a:r>
            <a:rPr lang="en-US" sz="1100" b="0" i="0" strike="noStrike">
              <a:solidFill>
                <a:srgbClr val="FF0000"/>
              </a:solidFill>
              <a:latin typeface="Arial"/>
              <a:cs typeface="Arial"/>
            </a:rPr>
            <a:t>- that the % prevalence in IDDM is half that in NIDDM</a:t>
          </a:r>
        </a:p>
        <a:p>
          <a:pPr algn="l" rtl="0">
            <a:defRPr sz="1000"/>
          </a:pPr>
          <a:r>
            <a:rPr lang="en-US" sz="1100" b="0" i="0" strike="noStrike">
              <a:solidFill>
                <a:srgbClr val="FF0000"/>
              </a:solidFill>
              <a:latin typeface="Arial"/>
              <a:cs typeface="Arial"/>
            </a:rPr>
            <a:t>- that the onset in IDDM is 10 years later </a:t>
          </a:r>
        </a:p>
        <a:p>
          <a:pPr algn="l" rtl="0">
            <a:defRPr sz="1000"/>
          </a:pPr>
          <a:r>
            <a:rPr lang="en-US" sz="1100" b="0" i="0" strike="noStrike">
              <a:solidFill>
                <a:srgbClr val="FF0000"/>
              </a:solidFill>
              <a:latin typeface="Arial"/>
              <a:cs typeface="Arial"/>
            </a:rPr>
            <a:t>We use the following assumption of % prevalence of neuropathy and onset after incidence of DM:</a:t>
          </a:r>
          <a:endParaRPr lang="en-US" sz="1100" b="0" i="0" strike="noStrike">
            <a:solidFill>
              <a:srgbClr val="000000"/>
            </a:solidFill>
            <a:latin typeface="Arial"/>
            <a:cs typeface="Arial"/>
          </a:endParaRPr>
        </a:p>
        <a:p>
          <a:pPr algn="l" rtl="0">
            <a:defRPr sz="1000"/>
          </a:pPr>
          <a:endParaRPr lang="en-US" sz="1100" b="0" i="0" strike="noStrike">
            <a:solidFill>
              <a:srgbClr val="000000"/>
            </a:solidFill>
            <a:latin typeface="Arial"/>
            <a:cs typeface="Aria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161925</xdr:colOff>
      <xdr:row>58</xdr:row>
      <xdr:rowOff>0</xdr:rowOff>
    </xdr:from>
    <xdr:to>
      <xdr:col>9</xdr:col>
      <xdr:colOff>190500</xdr:colOff>
      <xdr:row>67</xdr:row>
      <xdr:rowOff>66675</xdr:rowOff>
    </xdr:to>
    <xdr:sp macro="" textlink="">
      <xdr:nvSpPr>
        <xdr:cNvPr id="2" name="Text 31">
          <a:extLst>
            <a:ext uri="{FF2B5EF4-FFF2-40B4-BE49-F238E27FC236}">
              <a16:creationId xmlns:a16="http://schemas.microsoft.com/office/drawing/2014/main" id="{00000000-0008-0000-0D00-000002000000}"/>
            </a:ext>
          </a:extLst>
        </xdr:cNvPr>
        <xdr:cNvSpPr txBox="1">
          <a:spLocks noChangeArrowheads="1"/>
        </xdr:cNvSpPr>
      </xdr:nvSpPr>
      <xdr:spPr bwMode="auto">
        <a:xfrm>
          <a:off x="161925" y="10534650"/>
          <a:ext cx="7734300" cy="1695450"/>
        </a:xfrm>
        <a:prstGeom prst="rect">
          <a:avLst/>
        </a:prstGeom>
        <a:solidFill>
          <a:srgbClr val="FFFFFF"/>
        </a:solidFill>
        <a:ln w="1">
          <a:noFill/>
          <a:miter lim="800000"/>
          <a:headEnd/>
          <a:tailEnd/>
        </a:ln>
      </xdr:spPr>
      <xdr:txBody>
        <a:bodyPr vertOverflow="clip" wrap="square" lIns="27432" tIns="22860" rIns="0" bIns="0" anchor="t" upright="1"/>
        <a:lstStyle/>
        <a:p>
          <a:pPr algn="l" rtl="0">
            <a:defRPr sz="1000"/>
          </a:pPr>
          <a:r>
            <a:rPr lang="th-TH" sz="1000" b="1" i="0" strike="noStrike">
              <a:solidFill>
                <a:srgbClr val="000000"/>
              </a:solidFill>
              <a:latin typeface="Arial"/>
              <a:cs typeface="Arial"/>
            </a:rPr>
            <a:t>การคำนวณ</a:t>
          </a:r>
          <a:r>
            <a:rPr lang="th-TH" sz="1000" b="1" i="0" strike="noStrike" baseline="0">
              <a:solidFill>
                <a:srgbClr val="000000"/>
              </a:solidFill>
              <a:latin typeface="Arial"/>
              <a:cs typeface="Arial"/>
            </a:rPr>
            <a:t> </a:t>
          </a:r>
          <a:r>
            <a:rPr lang="en-US" sz="1000" b="1" i="0" strike="noStrike" baseline="0">
              <a:solidFill>
                <a:srgbClr val="000000"/>
              </a:solidFill>
              <a:latin typeface="Arial"/>
              <a:cs typeface="Arial"/>
            </a:rPr>
            <a:t>YLD 2552 </a:t>
          </a:r>
          <a:r>
            <a:rPr lang="th-TH" sz="1000" b="1" i="0" strike="noStrike" baseline="0">
              <a:solidFill>
                <a:srgbClr val="000000"/>
              </a:solidFill>
              <a:latin typeface="Arial"/>
              <a:cs typeface="Arial"/>
            </a:rPr>
            <a:t>ใช้ข้อมูล </a:t>
          </a:r>
          <a:r>
            <a:rPr lang="en-US" sz="1000" b="1" i="0" strike="noStrike" baseline="0">
              <a:solidFill>
                <a:srgbClr val="000000"/>
              </a:solidFill>
              <a:latin typeface="Arial"/>
              <a:cs typeface="Arial"/>
            </a:rPr>
            <a:t>RR </a:t>
          </a:r>
          <a:r>
            <a:rPr lang="th-TH" sz="1000" b="1" i="0" strike="noStrike" baseline="0">
              <a:solidFill>
                <a:srgbClr val="000000"/>
              </a:solidFill>
              <a:latin typeface="Arial"/>
              <a:cs typeface="Arial"/>
            </a:rPr>
            <a:t>ดังนี้</a:t>
          </a:r>
          <a:endParaRPr lang="en-US" sz="1000" b="1"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YLDs for vision loss due to cataracts attributable to diabetes</a:t>
          </a:r>
          <a:r>
            <a:rPr lang="en-US" sz="1000" b="0" i="0" strike="noStrike">
              <a:solidFill>
                <a:srgbClr val="000000"/>
              </a:solidFill>
              <a:latin typeface="Arial"/>
              <a:cs typeface="Arial"/>
            </a:rPr>
            <a:t>. </a:t>
          </a:r>
        </a:p>
        <a:p>
          <a:pPr algn="l" rtl="0">
            <a:defRPr sz="1000"/>
          </a:pPr>
          <a:r>
            <a:rPr lang="en-US" sz="1000" b="0" i="0" strike="noStrike">
              <a:solidFill>
                <a:srgbClr val="000000"/>
              </a:solidFill>
              <a:latin typeface="Arial"/>
              <a:cs typeface="Arial"/>
            </a:rPr>
            <a:t>Diabetes is associated with significant increased risk of cataracts. NHMRC (1997) reviewed population data from Framingham Eye Survey, US National Health and Nutrition Examination Survey, Blue Moutnains Eye Study (1992-94) and Melbourne Visual Impairment project. Both US studies gave a relative risk of cataracts of 4.02 for people aged less than 65, and NHANES but not Framingham also found a significant relative risk (1.63) for people aged 65 years and over. Both Australian studies found increased cataract risk in older diabetics.</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Use RR of 4.0  for ages &lt;59, 3.0 for ages 60-69 and 2.0 for ages 70+ to estimate proportion of cataract-related blindness attributable to diabetes.</a:t>
          </a:r>
        </a:p>
        <a:p>
          <a:pPr algn="l" rtl="0">
            <a:defRPr sz="1000"/>
          </a:pPr>
          <a:endParaRPr lang="en-US" sz="1000" b="0" i="0" strike="noStrike">
            <a:solidFill>
              <a:srgbClr val="000000"/>
            </a:solidFill>
            <a:latin typeface="Arial"/>
            <a:cs typeface="Aria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28575</xdr:colOff>
      <xdr:row>28</xdr:row>
      <xdr:rowOff>161925</xdr:rowOff>
    </xdr:from>
    <xdr:to>
      <xdr:col>15</xdr:col>
      <xdr:colOff>390525</xdr:colOff>
      <xdr:row>31</xdr:row>
      <xdr:rowOff>180975</xdr:rowOff>
    </xdr:to>
    <xdr:sp macro="" textlink="">
      <xdr:nvSpPr>
        <xdr:cNvPr id="2" name="Text 31">
          <a:extLst>
            <a:ext uri="{FF2B5EF4-FFF2-40B4-BE49-F238E27FC236}">
              <a16:creationId xmlns:a16="http://schemas.microsoft.com/office/drawing/2014/main" id="{00000000-0008-0000-0F00-000002000000}"/>
            </a:ext>
          </a:extLst>
        </xdr:cNvPr>
        <xdr:cNvSpPr txBox="1">
          <a:spLocks noChangeArrowheads="1"/>
        </xdr:cNvSpPr>
      </xdr:nvSpPr>
      <xdr:spPr bwMode="auto">
        <a:xfrm>
          <a:off x="2705100" y="5495925"/>
          <a:ext cx="8220075" cy="600075"/>
        </a:xfrm>
        <a:prstGeom prst="rect">
          <a:avLst/>
        </a:prstGeom>
        <a:solidFill>
          <a:srgbClr val="FFFFFF"/>
        </a:solidFill>
        <a:ln w="1">
          <a:noFill/>
          <a:miter lim="800000"/>
          <a:headEnd/>
          <a:tailEnd/>
        </a:ln>
      </xdr:spPr>
      <xdr:txBody>
        <a:bodyPr vertOverflow="clip" wrap="square" lIns="27432" tIns="22860" rIns="0" bIns="0" anchor="t" upright="1"/>
        <a:lstStyle/>
        <a:p>
          <a:pPr marL="0" marR="0" indent="0" algn="l" defTabSz="914400" rtl="0" eaLnBrk="1" fontAlgn="auto" latinLnBrk="0" hangingPunct="1">
            <a:lnSpc>
              <a:spcPct val="100000"/>
            </a:lnSpc>
            <a:spcBef>
              <a:spcPts val="0"/>
            </a:spcBef>
            <a:spcAft>
              <a:spcPts val="0"/>
            </a:spcAft>
            <a:buClrTx/>
            <a:buSzTx/>
            <a:buFontTx/>
            <a:buNone/>
            <a:tabLst/>
            <a:defRPr sz="1000"/>
          </a:pPr>
          <a:r>
            <a:rPr lang="en-US" sz="1000" b="0" i="0" strike="noStrike">
              <a:solidFill>
                <a:srgbClr val="000000"/>
              </a:solidFill>
              <a:latin typeface="Arial"/>
              <a:cs typeface="Arial"/>
            </a:rPr>
            <a:t> </a:t>
          </a:r>
          <a:r>
            <a:rPr lang="th-TH" sz="1000" b="1" i="0">
              <a:latin typeface="+mn-lt"/>
              <a:ea typeface="+mn-ea"/>
              <a:cs typeface="+mn-cs"/>
            </a:rPr>
            <a:t>การคำนวณ</a:t>
          </a:r>
          <a:r>
            <a:rPr lang="th-TH" sz="1000" b="1" i="0" baseline="0">
              <a:latin typeface="+mn-lt"/>
              <a:ea typeface="+mn-ea"/>
              <a:cs typeface="+mn-cs"/>
            </a:rPr>
            <a:t> </a:t>
          </a:r>
          <a:r>
            <a:rPr lang="en-US" sz="1000" b="1" i="0" baseline="0">
              <a:latin typeface="+mn-lt"/>
              <a:ea typeface="+mn-ea"/>
              <a:cs typeface="+mn-cs"/>
            </a:rPr>
            <a:t>YLD 2552 </a:t>
          </a:r>
          <a:r>
            <a:rPr lang="th-TH" sz="1000" b="1" i="0" baseline="0">
              <a:latin typeface="+mn-lt"/>
              <a:ea typeface="+mn-ea"/>
              <a:cs typeface="+mn-cs"/>
            </a:rPr>
            <a:t>ใช้ข้อมูล </a:t>
          </a:r>
          <a:r>
            <a:rPr lang="en-US" sz="1000" b="1" i="0" baseline="0">
              <a:latin typeface="+mn-lt"/>
              <a:ea typeface="+mn-ea"/>
              <a:cs typeface="+mn-cs"/>
            </a:rPr>
            <a:t>RR </a:t>
          </a:r>
          <a:r>
            <a:rPr lang="th-TH" sz="1000" b="1" i="0" baseline="0">
              <a:latin typeface="+mn-lt"/>
              <a:ea typeface="+mn-ea"/>
              <a:cs typeface="+mn-cs"/>
            </a:rPr>
            <a:t>ดังนี้</a:t>
          </a:r>
          <a:endParaRPr lang="th-TH"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Mitchell (1997) found a two-fold increase in the prevalence of glaucoma in diabetics and those with high fasting blood glucose (OR 2.12; 95% CI 1.18-3.79) in the BMES. Suggest to use a </a:t>
          </a:r>
          <a:r>
            <a:rPr lang="en-US" sz="1000" b="1" i="0" strike="noStrike">
              <a:solidFill>
                <a:srgbClr val="000000"/>
              </a:solidFill>
              <a:latin typeface="Arial"/>
              <a:cs typeface="Arial"/>
            </a:rPr>
            <a:t>RR of 2 to calculate the glaucoma burden attributable to diabetes</a:t>
          </a:r>
          <a:r>
            <a:rPr lang="en-US" sz="1000" b="0" i="0" strike="noStrike">
              <a:solidFill>
                <a:srgbClr val="000000"/>
              </a:solidFill>
              <a:latin typeface="Arial"/>
              <a:cs typeface="Arial"/>
            </a:rPr>
            <a:t>.</a:t>
          </a: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9</xdr:col>
      <xdr:colOff>485775</xdr:colOff>
      <xdr:row>30</xdr:row>
      <xdr:rowOff>142875</xdr:rowOff>
    </xdr:from>
    <xdr:to>
      <xdr:col>18</xdr:col>
      <xdr:colOff>476250</xdr:colOff>
      <xdr:row>49</xdr:row>
      <xdr:rowOff>123825</xdr:rowOff>
    </xdr:to>
    <xdr:pic>
      <xdr:nvPicPr>
        <xdr:cNvPr id="2" name="Picture 1">
          <a:extLst>
            <a:ext uri="{FF2B5EF4-FFF2-40B4-BE49-F238E27FC236}">
              <a16:creationId xmlns:a16="http://schemas.microsoft.com/office/drawing/2014/main" id="{00000000-0008-0000-1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8175" y="5857875"/>
          <a:ext cx="6505575" cy="3524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I:/pear_BOD/DALY_2557/&#3649;&#3614;&#3619;/YLD2557/Death%202557%20BOD%20group.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I:/pear_BOD/DALY_2557/pop255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BOD_JAY/BOD%20work%20sheet/BOD2014_final/YLD%202014%20Templates/Thai%20comorbidity.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I:/BOD%20work%20sheet/BOD2014_final/YLD%202014%20Templates/H%20Diabetes/H-01-Diabetes%20200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I:/BOD%20work%20sheet/BOD2014_final/YLD%202014%20Templates/P%20Genito-urinary%20diseases/P-1-Nephritis&amp;nephrosis_2014.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I:/pear_BOD/DATA_YLD/BOD%202009%20Update%2008022013/BOD%202009/YLD%202009%20Templates/P%20Genito-urinary%20diseases/P-01-Nephritis&amp;nephrosis%20200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I:/BOD%20work%20sheet/BOD2014_final/YLD%202014%20Templates/L%20Sense%20disorders/L-01-02-03-Vision%20loss%202014.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I:/BOD%20work%20sheet/BOD2014_final/YLD%202014%20Templates/H%20Diabetes/IPD_D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ath"/>
    </sheetNames>
    <sheetDataSet>
      <sheetData sheetId="0">
        <row r="103">
          <cell r="K103">
            <v>1.5224372366551795</v>
          </cell>
          <cell r="L103">
            <v>4.5233437112759098</v>
          </cell>
          <cell r="M103">
            <v>25.301746446265078</v>
          </cell>
          <cell r="N103">
            <v>407.66025498503308</v>
          </cell>
          <cell r="O103">
            <v>2703.2441808184158</v>
          </cell>
          <cell r="P103">
            <v>2713.8677045270706</v>
          </cell>
          <cell r="Q103">
            <v>3228.5703379219703</v>
          </cell>
          <cell r="R103">
            <v>2679.2130899339572</v>
          </cell>
          <cell r="T103">
            <v>46.281802016663327</v>
          </cell>
          <cell r="U103">
            <v>0</v>
          </cell>
          <cell r="V103">
            <v>37.80218732035339</v>
          </cell>
          <cell r="W103">
            <v>552.35976920574228</v>
          </cell>
          <cell r="X103">
            <v>2908.7292335967059</v>
          </cell>
          <cell r="Y103">
            <v>4184.36499847911</v>
          </cell>
          <cell r="Z103">
            <v>6176.9039235270784</v>
          </cell>
          <cell r="AA103">
            <v>4858.2879667255565</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 57"/>
      <sheetName val="Sheet2"/>
      <sheetName val="Sheet3"/>
    </sheetNames>
    <sheetDataSet>
      <sheetData sheetId="0" refreshError="1">
        <row r="5">
          <cell r="C5">
            <v>361971</v>
          </cell>
          <cell r="D5">
            <v>339976</v>
          </cell>
        </row>
        <row r="6">
          <cell r="C6">
            <v>1604348</v>
          </cell>
          <cell r="D6">
            <v>1509099</v>
          </cell>
        </row>
        <row r="7">
          <cell r="C7">
            <v>2069970</v>
          </cell>
          <cell r="D7">
            <v>1949119</v>
          </cell>
        </row>
        <row r="8">
          <cell r="C8">
            <v>2109236</v>
          </cell>
          <cell r="D8">
            <v>1991041</v>
          </cell>
        </row>
        <row r="9">
          <cell r="C9">
            <v>2474343</v>
          </cell>
          <cell r="D9">
            <v>2342738.1461293288</v>
          </cell>
        </row>
        <row r="10">
          <cell r="C10">
            <v>2460870</v>
          </cell>
          <cell r="D10">
            <v>2374579.0291607669</v>
          </cell>
        </row>
        <row r="11">
          <cell r="C11">
            <v>2366609</v>
          </cell>
          <cell r="D11">
            <v>2308841</v>
          </cell>
        </row>
        <row r="12">
          <cell r="C12">
            <v>2602499</v>
          </cell>
          <cell r="D12">
            <v>2574422</v>
          </cell>
        </row>
        <row r="13">
          <cell r="C13">
            <v>2651125</v>
          </cell>
          <cell r="D13">
            <v>2679679</v>
          </cell>
        </row>
        <row r="14">
          <cell r="C14">
            <v>2643141</v>
          </cell>
          <cell r="D14">
            <v>2763713</v>
          </cell>
        </row>
        <row r="15">
          <cell r="C15">
            <v>2550821</v>
          </cell>
          <cell r="D15">
            <v>2745699</v>
          </cell>
        </row>
        <row r="16">
          <cell r="C16">
            <v>2250280</v>
          </cell>
          <cell r="D16">
            <v>2455027</v>
          </cell>
        </row>
        <row r="17">
          <cell r="C17">
            <v>1753188</v>
          </cell>
          <cell r="D17">
            <v>1961478</v>
          </cell>
        </row>
        <row r="18">
          <cell r="C18">
            <v>1382189</v>
          </cell>
          <cell r="D18">
            <v>1600580</v>
          </cell>
        </row>
        <row r="19">
          <cell r="C19">
            <v>961868</v>
          </cell>
          <cell r="D19">
            <v>1139390.5356088658</v>
          </cell>
        </row>
        <row r="20">
          <cell r="C20">
            <v>674547</v>
          </cell>
          <cell r="D20">
            <v>838479</v>
          </cell>
        </row>
        <row r="21">
          <cell r="C21">
            <v>498520</v>
          </cell>
          <cell r="D21">
            <v>674767</v>
          </cell>
        </row>
        <row r="22">
          <cell r="C22">
            <v>297851</v>
          </cell>
          <cell r="D22">
            <v>442105</v>
          </cell>
        </row>
        <row r="23">
          <cell r="C23">
            <v>136773</v>
          </cell>
          <cell r="D23">
            <v>223938</v>
          </cell>
        </row>
        <row r="24">
          <cell r="C24">
            <v>46838</v>
          </cell>
          <cell r="D24">
            <v>80211</v>
          </cell>
        </row>
        <row r="25">
          <cell r="C25">
            <v>15713</v>
          </cell>
          <cell r="D25">
            <v>25187.446207300258</v>
          </cell>
        </row>
        <row r="26">
          <cell r="C26">
            <v>9790</v>
          </cell>
          <cell r="D26">
            <v>12754</v>
          </cell>
        </row>
      </sheetData>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W_comparison"/>
      <sheetName val="Summary"/>
      <sheetName val="Prevalence"/>
      <sheetName val="Periodontitis"/>
      <sheetName val="mild anaemia"/>
      <sheetName val="mod anaemia"/>
      <sheetName val="caries"/>
      <sheetName val="URTI"/>
      <sheetName val="Edentulism"/>
      <sheetName val="DM"/>
      <sheetName val="BPH"/>
      <sheetName val="Asthma"/>
      <sheetName val="low back pain"/>
      <sheetName val="IHD AP"/>
      <sheetName val="Severe anaemia"/>
      <sheetName val="Anxiety"/>
      <sheetName val="Cannabis"/>
      <sheetName val="Alcohol abuse"/>
      <sheetName val="Amphetamine"/>
      <sheetName val="HIV"/>
      <sheetName val="Epilepsy"/>
      <sheetName val="OA"/>
      <sheetName val="COPD"/>
      <sheetName val="Mod vision loss"/>
      <sheetName val="Bipolar"/>
      <sheetName val="Alc dep"/>
      <sheetName val="Deafness"/>
      <sheetName val="Heroin"/>
      <sheetName val="Mild MR"/>
      <sheetName val="Depression MDE"/>
      <sheetName val="Mod MR"/>
      <sheetName val="severe vision loss"/>
      <sheetName val="Stroke"/>
      <sheetName val="Dementia"/>
      <sheetName val="Psychoses"/>
      <sheetName val="Depression (dhythymia)"/>
    </sheetNames>
    <sheetDataSet>
      <sheetData sheetId="0"/>
      <sheetData sheetId="1"/>
      <sheetData sheetId="2"/>
      <sheetData sheetId="3"/>
      <sheetData sheetId="4"/>
      <sheetData sheetId="5"/>
      <sheetData sheetId="6"/>
      <sheetData sheetId="7"/>
      <sheetData sheetId="8"/>
      <sheetData sheetId="9">
        <row r="59">
          <cell r="F59">
            <v>0.99462615582187386</v>
          </cell>
          <cell r="G59">
            <v>0.99500341472660381</v>
          </cell>
        </row>
        <row r="60">
          <cell r="F60">
            <v>0.98450866145548677</v>
          </cell>
          <cell r="G60">
            <v>0.96869414025246381</v>
          </cell>
        </row>
        <row r="61">
          <cell r="F61">
            <v>0.94877152127701669</v>
          </cell>
          <cell r="G61">
            <v>0.9684639888191412</v>
          </cell>
        </row>
        <row r="62">
          <cell r="F62">
            <v>0.8486887441996509</v>
          </cell>
          <cell r="G62">
            <v>0.97522850029386221</v>
          </cell>
        </row>
        <row r="63">
          <cell r="F63">
            <v>0.89908182970873385</v>
          </cell>
          <cell r="G63">
            <v>0.95726880607447629</v>
          </cell>
        </row>
        <row r="64">
          <cell r="F64">
            <v>0.90181874555450448</v>
          </cell>
          <cell r="G64">
            <v>0.95158953355533382</v>
          </cell>
        </row>
        <row r="65">
          <cell r="F65">
            <v>0.87520667457682033</v>
          </cell>
          <cell r="G65">
            <v>0.94185043287018988</v>
          </cell>
        </row>
        <row r="66">
          <cell r="F66">
            <v>0.89659756598733797</v>
          </cell>
          <cell r="G66">
            <v>0.93472076018212202</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Death"/>
      <sheetName val="Comorb YLD"/>
      <sheetName val="summary"/>
      <sheetName val="2.Diabetic cases"/>
      <sheetName val="dismod dm 2010_iddm"/>
      <sheetName val="dismod dm all 2010"/>
      <sheetName val="3.Retinopathy"/>
      <sheetName val="an5.DISMOD_IDDM retinopathy"/>
      <sheetName val="an6.DISMOD_NIDDM retinopathy"/>
      <sheetName val="annex 1.VH Retinopathy"/>
      <sheetName val="4.Nephropathy"/>
      <sheetName val="5.Neuropathy"/>
      <sheetName val="6.Cataract"/>
      <sheetName val="7.Glaucoma"/>
      <sheetName val="8.Amput"/>
      <sheetName val="IHD"/>
      <sheetName val="CVA"/>
      <sheetName val="annex 2.DMcomplications"/>
      <sheetName val="ModelSummary"/>
      <sheetName val="annex 3.DISMOD_NIDDM"/>
      <sheetName val="annex 4.DISMOD-IDDM"/>
    </sheetNames>
    <sheetDataSet>
      <sheetData sheetId="0"/>
      <sheetData sheetId="1"/>
      <sheetData sheetId="2"/>
      <sheetData sheetId="3">
        <row r="19">
          <cell r="E19">
            <v>3.3000000000000002E-2</v>
          </cell>
        </row>
      </sheetData>
      <sheetData sheetId="4">
        <row r="8">
          <cell r="B8">
            <v>1E-4</v>
          </cell>
          <cell r="D8">
            <v>1.1000000000000001E-3</v>
          </cell>
          <cell r="E8">
            <v>2</v>
          </cell>
        </row>
        <row r="9">
          <cell r="B9">
            <v>1E-4</v>
          </cell>
          <cell r="D9">
            <v>1.1000000000000001E-3</v>
          </cell>
          <cell r="E9">
            <v>1.9</v>
          </cell>
        </row>
        <row r="10">
          <cell r="B10">
            <v>1E-4</v>
          </cell>
          <cell r="D10">
            <v>1.1000000000000001E-3</v>
          </cell>
          <cell r="E10">
            <v>3.1640000000000001</v>
          </cell>
        </row>
        <row r="11">
          <cell r="D11">
            <v>4.1000000000000003E-3</v>
          </cell>
          <cell r="E11">
            <v>3.7</v>
          </cell>
        </row>
        <row r="12">
          <cell r="D12">
            <v>4.1000000000000003E-3</v>
          </cell>
          <cell r="E12">
            <v>2.6</v>
          </cell>
        </row>
        <row r="13">
          <cell r="D13">
            <v>1.0800000000000001E-2</v>
          </cell>
          <cell r="E13">
            <v>1.5</v>
          </cell>
        </row>
        <row r="14">
          <cell r="D14">
            <v>2.8199999999999999E-2</v>
          </cell>
          <cell r="E14">
            <v>1.5</v>
          </cell>
        </row>
        <row r="15">
          <cell r="D15">
            <v>4.7199999999999999E-2</v>
          </cell>
          <cell r="E15">
            <v>1</v>
          </cell>
        </row>
        <row r="38">
          <cell r="D38">
            <v>1.1000000000000001E-3</v>
          </cell>
          <cell r="E38">
            <v>3.1</v>
          </cell>
        </row>
        <row r="39">
          <cell r="D39">
            <v>1.1000000000000001E-3</v>
          </cell>
          <cell r="E39">
            <v>3.1</v>
          </cell>
        </row>
        <row r="40">
          <cell r="D40">
            <v>1.1000000000000001E-3</v>
          </cell>
          <cell r="E40">
            <v>5.5</v>
          </cell>
        </row>
        <row r="41">
          <cell r="D41">
            <v>2.8E-3</v>
          </cell>
          <cell r="E41">
            <v>5.6333000000000002</v>
          </cell>
        </row>
        <row r="42">
          <cell r="D42">
            <v>4.0000000000000001E-3</v>
          </cell>
          <cell r="E42">
            <v>3.5</v>
          </cell>
        </row>
        <row r="43">
          <cell r="D43">
            <v>1.8100000000000002E-2</v>
          </cell>
          <cell r="E43">
            <v>2.2999999999999998</v>
          </cell>
        </row>
        <row r="44">
          <cell r="D44">
            <v>3.5400000000000001E-2</v>
          </cell>
          <cell r="E44">
            <v>2.2999999999999998</v>
          </cell>
        </row>
        <row r="45">
          <cell r="D45">
            <v>5.3199999999999997E-2</v>
          </cell>
          <cell r="E45">
            <v>1</v>
          </cell>
        </row>
      </sheetData>
      <sheetData sheetId="5">
        <row r="8">
          <cell r="D8">
            <v>4.6900000000000004</v>
          </cell>
        </row>
        <row r="9">
          <cell r="D9">
            <v>4.6900000000000004</v>
          </cell>
        </row>
        <row r="10">
          <cell r="D10">
            <v>4.6900000000000004</v>
          </cell>
        </row>
        <row r="11">
          <cell r="D11">
            <v>4.6900000000000004</v>
          </cell>
        </row>
        <row r="12">
          <cell r="D12">
            <v>2.2633000000000001</v>
          </cell>
        </row>
        <row r="13">
          <cell r="D13">
            <v>1.94</v>
          </cell>
        </row>
        <row r="14">
          <cell r="D14">
            <v>1.65</v>
          </cell>
        </row>
        <row r="15">
          <cell r="D15">
            <v>1.55</v>
          </cell>
        </row>
        <row r="38">
          <cell r="D38">
            <v>3.03</v>
          </cell>
        </row>
        <row r="39">
          <cell r="D39">
            <v>3.03</v>
          </cell>
        </row>
        <row r="40">
          <cell r="D40">
            <v>3.03</v>
          </cell>
        </row>
        <row r="41">
          <cell r="D41">
            <v>3.03</v>
          </cell>
        </row>
        <row r="42">
          <cell r="D42">
            <v>3.1533000000000002</v>
          </cell>
        </row>
        <row r="43">
          <cell r="D43">
            <v>2.5499999999999998</v>
          </cell>
        </row>
        <row r="44">
          <cell r="D44">
            <v>2.2000000000000002</v>
          </cell>
        </row>
        <row r="45">
          <cell r="D45">
            <v>1.9</v>
          </cell>
        </row>
      </sheetData>
      <sheetData sheetId="6"/>
      <sheetData sheetId="7">
        <row r="8">
          <cell r="C8">
            <v>0</v>
          </cell>
          <cell r="E8">
            <v>0</v>
          </cell>
        </row>
        <row r="9">
          <cell r="C9">
            <v>0</v>
          </cell>
          <cell r="E9">
            <v>1.6000000000000001E-3</v>
          </cell>
        </row>
        <row r="10">
          <cell r="C10">
            <v>2.0000000000000001E-4</v>
          </cell>
          <cell r="E10">
            <v>1.6000000000000001E-3</v>
          </cell>
        </row>
        <row r="11">
          <cell r="C11">
            <v>5.0000000000000001E-4</v>
          </cell>
          <cell r="E11">
            <v>6.1000000000000004E-3</v>
          </cell>
        </row>
        <row r="12">
          <cell r="C12">
            <v>8.0000000000000004E-4</v>
          </cell>
          <cell r="E12">
            <v>6.6E-3</v>
          </cell>
        </row>
        <row r="13">
          <cell r="C13">
            <v>8.0000000000000004E-4</v>
          </cell>
          <cell r="E13">
            <v>1.5699999999999999E-2</v>
          </cell>
        </row>
        <row r="14">
          <cell r="C14">
            <v>6.9999999999999999E-4</v>
          </cell>
          <cell r="E14">
            <v>3.8399999999999997E-2</v>
          </cell>
        </row>
        <row r="15">
          <cell r="C15">
            <v>5.9999999999999995E-4</v>
          </cell>
          <cell r="E15">
            <v>6.5199999999999994E-2</v>
          </cell>
        </row>
        <row r="38">
          <cell r="C38">
            <v>0</v>
          </cell>
          <cell r="E38">
            <v>0</v>
          </cell>
        </row>
        <row r="39">
          <cell r="C39">
            <v>0</v>
          </cell>
          <cell r="E39">
            <v>1.65E-3</v>
          </cell>
        </row>
        <row r="40">
          <cell r="C40">
            <v>2.1000000000000001E-4</v>
          </cell>
          <cell r="E40">
            <v>1.6100000000000001E-3</v>
          </cell>
        </row>
        <row r="41">
          <cell r="C41">
            <v>5.6999999999999998E-4</v>
          </cell>
          <cell r="E41">
            <v>4.1799999999999997E-3</v>
          </cell>
        </row>
        <row r="42">
          <cell r="C42">
            <v>8.7000000000000001E-4</v>
          </cell>
          <cell r="E42">
            <v>5.8399999999999997E-3</v>
          </cell>
        </row>
        <row r="43">
          <cell r="C43">
            <v>8.4999999999999995E-4</v>
          </cell>
          <cell r="E43">
            <v>2.6589999999999999E-2</v>
          </cell>
        </row>
        <row r="44">
          <cell r="C44">
            <v>7.5000000000000002E-4</v>
          </cell>
          <cell r="E44">
            <v>5.0889999999999998E-2</v>
          </cell>
        </row>
        <row r="45">
          <cell r="C45">
            <v>6.3000000000000003E-4</v>
          </cell>
          <cell r="E45">
            <v>7.4569999999999997E-2</v>
          </cell>
        </row>
      </sheetData>
      <sheetData sheetId="8">
        <row r="8">
          <cell r="B8">
            <v>0</v>
          </cell>
          <cell r="D8">
            <v>0</v>
          </cell>
        </row>
        <row r="9">
          <cell r="B9">
            <v>0</v>
          </cell>
          <cell r="D9">
            <v>0</v>
          </cell>
        </row>
        <row r="10">
          <cell r="B10">
            <v>5.0000000000000001E-4</v>
          </cell>
          <cell r="D10">
            <v>1.4E-3</v>
          </cell>
        </row>
        <row r="11">
          <cell r="B11">
            <v>3.0000000000000001E-3</v>
          </cell>
          <cell r="D11">
            <v>6.4000000000000003E-3</v>
          </cell>
        </row>
        <row r="12">
          <cell r="B12">
            <v>8.9999999999999993E-3</v>
          </cell>
          <cell r="D12">
            <v>6.3E-3</v>
          </cell>
        </row>
        <row r="13">
          <cell r="B13">
            <v>1.41E-2</v>
          </cell>
          <cell r="D13">
            <v>1.5900000000000001E-2</v>
          </cell>
        </row>
        <row r="14">
          <cell r="B14">
            <v>1.55E-2</v>
          </cell>
          <cell r="D14">
            <v>3.9E-2</v>
          </cell>
        </row>
        <row r="15">
          <cell r="B15">
            <v>1.46E-2</v>
          </cell>
          <cell r="D15">
            <v>5.5E-2</v>
          </cell>
        </row>
        <row r="38">
          <cell r="B38">
            <v>0</v>
          </cell>
          <cell r="D38">
            <v>0</v>
          </cell>
        </row>
        <row r="39">
          <cell r="B39">
            <v>0</v>
          </cell>
          <cell r="D39">
            <v>0</v>
          </cell>
        </row>
        <row r="40">
          <cell r="B40">
            <v>2.9999999999999997E-4</v>
          </cell>
          <cell r="D40">
            <v>1.4E-3</v>
          </cell>
        </row>
        <row r="41">
          <cell r="B41">
            <v>1.9E-3</v>
          </cell>
          <cell r="D41">
            <v>4.3E-3</v>
          </cell>
        </row>
        <row r="42">
          <cell r="B42">
            <v>7.4000000000000003E-3</v>
          </cell>
          <cell r="D42">
            <v>6.0000000000000001E-3</v>
          </cell>
        </row>
        <row r="43">
          <cell r="B43">
            <v>1.5699999999999999E-2</v>
          </cell>
          <cell r="D43">
            <v>2.6800000000000001E-2</v>
          </cell>
        </row>
        <row r="44">
          <cell r="B44">
            <v>2.1600000000000001E-2</v>
          </cell>
          <cell r="D44">
            <v>5.11E-2</v>
          </cell>
        </row>
        <row r="45">
          <cell r="B45">
            <v>2.4199999999999999E-2</v>
          </cell>
          <cell r="D45">
            <v>7.51E-2</v>
          </cell>
        </row>
      </sheetData>
      <sheetData sheetId="9"/>
      <sheetData sheetId="10"/>
      <sheetData sheetId="11">
        <row r="24">
          <cell r="E24">
            <v>1.6E-2</v>
          </cell>
          <cell r="F24">
            <v>0.1</v>
          </cell>
        </row>
        <row r="25">
          <cell r="E25">
            <v>1.6E-2</v>
          </cell>
          <cell r="F25">
            <v>0.1</v>
          </cell>
        </row>
        <row r="46">
          <cell r="A46" t="str">
            <v xml:space="preserve">0-4     </v>
          </cell>
        </row>
        <row r="47">
          <cell r="A47" t="str">
            <v>5-14</v>
          </cell>
        </row>
        <row r="48">
          <cell r="A48" t="str">
            <v>15-24</v>
          </cell>
        </row>
        <row r="49">
          <cell r="A49" t="str">
            <v>25-34</v>
          </cell>
        </row>
        <row r="50">
          <cell r="A50" t="str">
            <v>35-44</v>
          </cell>
        </row>
        <row r="51">
          <cell r="A51" t="str">
            <v>45-54</v>
          </cell>
        </row>
        <row r="52">
          <cell r="A52" t="str">
            <v>55-64</v>
          </cell>
        </row>
        <row r="53">
          <cell r="A53" t="str">
            <v>65-74</v>
          </cell>
        </row>
        <row r="54">
          <cell r="A54" t="str">
            <v>75+</v>
          </cell>
        </row>
        <row r="59">
          <cell r="B59" t="str">
            <v>5-14</v>
          </cell>
          <cell r="C59" t="str">
            <v>15-24</v>
          </cell>
          <cell r="D59" t="str">
            <v>25-34</v>
          </cell>
          <cell r="E59" t="str">
            <v>35-44</v>
          </cell>
          <cell r="F59" t="str">
            <v>45-54</v>
          </cell>
          <cell r="G59" t="str">
            <v>55-64</v>
          </cell>
          <cell r="H59" t="str">
            <v>65-74</v>
          </cell>
          <cell r="I59" t="str">
            <v>75+</v>
          </cell>
        </row>
        <row r="60">
          <cell r="A60" t="str">
            <v xml:space="preserve">0-4     </v>
          </cell>
        </row>
        <row r="61">
          <cell r="A61" t="str">
            <v>5-14</v>
          </cell>
        </row>
        <row r="62">
          <cell r="A62" t="str">
            <v>15-24</v>
          </cell>
        </row>
        <row r="63">
          <cell r="A63" t="str">
            <v>25-34</v>
          </cell>
        </row>
        <row r="64">
          <cell r="A64" t="str">
            <v>35-44</v>
          </cell>
        </row>
        <row r="65">
          <cell r="A65" t="str">
            <v>45-54</v>
          </cell>
        </row>
        <row r="66">
          <cell r="A66" t="str">
            <v>55-64</v>
          </cell>
        </row>
        <row r="67">
          <cell r="A67" t="str">
            <v>65-74</v>
          </cell>
        </row>
        <row r="68">
          <cell r="A68" t="str">
            <v>75+</v>
          </cell>
        </row>
        <row r="71">
          <cell r="B71" t="str">
            <v>5-14</v>
          </cell>
          <cell r="C71" t="str">
            <v>15-24</v>
          </cell>
          <cell r="D71" t="str">
            <v>25-34</v>
          </cell>
          <cell r="E71" t="str">
            <v>35-44</v>
          </cell>
          <cell r="F71" t="str">
            <v>45-54</v>
          </cell>
          <cell r="G71" t="str">
            <v>55-64</v>
          </cell>
          <cell r="H71" t="str">
            <v>65-74</v>
          </cell>
          <cell r="I71" t="str">
            <v>75+</v>
          </cell>
        </row>
        <row r="109">
          <cell r="B109" t="str">
            <v>15-24</v>
          </cell>
          <cell r="C109" t="str">
            <v>25-34</v>
          </cell>
          <cell r="D109" t="str">
            <v>35-44</v>
          </cell>
          <cell r="E109" t="str">
            <v>45-54</v>
          </cell>
          <cell r="F109" t="str">
            <v>55-64</v>
          </cell>
          <cell r="G109" t="str">
            <v>65-74</v>
          </cell>
          <cell r="H109" t="str">
            <v>75+</v>
          </cell>
        </row>
        <row r="110">
          <cell r="A110" t="str">
            <v xml:space="preserve">0-4     </v>
          </cell>
        </row>
        <row r="111">
          <cell r="A111" t="str">
            <v>5-14</v>
          </cell>
        </row>
        <row r="112">
          <cell r="A112" t="str">
            <v>15-24</v>
          </cell>
        </row>
        <row r="113">
          <cell r="A113" t="str">
            <v>25-34</v>
          </cell>
        </row>
        <row r="114">
          <cell r="A114" t="str">
            <v>35-44</v>
          </cell>
        </row>
        <row r="115">
          <cell r="A115" t="str">
            <v>45-54</v>
          </cell>
        </row>
        <row r="116">
          <cell r="A116" t="str">
            <v>55-64</v>
          </cell>
        </row>
        <row r="117">
          <cell r="A117" t="str">
            <v>65-74</v>
          </cell>
        </row>
        <row r="118">
          <cell r="A118" t="str">
            <v>75+</v>
          </cell>
        </row>
        <row r="151">
          <cell r="J151">
            <v>2.5259</v>
          </cell>
        </row>
        <row r="152">
          <cell r="J152">
            <v>2.5259</v>
          </cell>
        </row>
        <row r="153">
          <cell r="J153">
            <v>9.8078000000000003</v>
          </cell>
        </row>
        <row r="154">
          <cell r="J154">
            <v>9.8078000000000003</v>
          </cell>
        </row>
        <row r="155">
          <cell r="J155">
            <v>21.895700000000001</v>
          </cell>
        </row>
        <row r="156">
          <cell r="J156">
            <v>21.895700000000001</v>
          </cell>
        </row>
        <row r="157">
          <cell r="J157">
            <v>31.755299999999998</v>
          </cell>
        </row>
        <row r="158">
          <cell r="J158">
            <v>31.755299999999998</v>
          </cell>
        </row>
        <row r="159">
          <cell r="J159">
            <v>0</v>
          </cell>
        </row>
        <row r="160">
          <cell r="J160">
            <v>0</v>
          </cell>
        </row>
        <row r="161">
          <cell r="J161">
            <v>0</v>
          </cell>
        </row>
        <row r="162">
          <cell r="J162">
            <v>0</v>
          </cell>
        </row>
        <row r="163">
          <cell r="J163">
            <v>0</v>
          </cell>
        </row>
        <row r="164">
          <cell r="J164">
            <v>0</v>
          </cell>
        </row>
        <row r="165">
          <cell r="J165">
            <v>0</v>
          </cell>
        </row>
        <row r="166">
          <cell r="J166">
            <v>0</v>
          </cell>
        </row>
        <row r="170">
          <cell r="J170">
            <v>2.5270999999999999</v>
          </cell>
        </row>
        <row r="171">
          <cell r="J171">
            <v>2.5270999999999999</v>
          </cell>
        </row>
        <row r="172">
          <cell r="J172">
            <v>9.8376999999999999</v>
          </cell>
        </row>
        <row r="173">
          <cell r="J173">
            <v>9.8376999999999999</v>
          </cell>
        </row>
        <row r="174">
          <cell r="J174">
            <v>21.965499999999999</v>
          </cell>
        </row>
        <row r="175">
          <cell r="J175">
            <v>21.965499999999999</v>
          </cell>
        </row>
        <row r="176">
          <cell r="J176">
            <v>31.7758</v>
          </cell>
        </row>
        <row r="177">
          <cell r="J177">
            <v>31.7758</v>
          </cell>
        </row>
        <row r="178">
          <cell r="J178">
            <v>0</v>
          </cell>
        </row>
        <row r="179">
          <cell r="J179">
            <v>0</v>
          </cell>
        </row>
        <row r="180">
          <cell r="J180">
            <v>0</v>
          </cell>
        </row>
        <row r="181">
          <cell r="J181">
            <v>0</v>
          </cell>
        </row>
        <row r="182">
          <cell r="J182">
            <v>0</v>
          </cell>
        </row>
        <row r="183">
          <cell r="J183">
            <v>0</v>
          </cell>
        </row>
        <row r="184">
          <cell r="J184">
            <v>0</v>
          </cell>
        </row>
        <row r="185">
          <cell r="J185">
            <v>0</v>
          </cell>
        </row>
        <row r="192">
          <cell r="J192">
            <v>0</v>
          </cell>
        </row>
        <row r="193">
          <cell r="J193">
            <v>0</v>
          </cell>
        </row>
        <row r="194">
          <cell r="J194">
            <v>12.8368</v>
          </cell>
        </row>
        <row r="195">
          <cell r="J195">
            <v>12.8368</v>
          </cell>
        </row>
        <row r="196">
          <cell r="J196">
            <v>22.412600000000001</v>
          </cell>
        </row>
        <row r="197">
          <cell r="J197">
            <v>22.412600000000001</v>
          </cell>
        </row>
        <row r="198">
          <cell r="J198">
            <v>39.528500000000001</v>
          </cell>
        </row>
        <row r="199">
          <cell r="J199">
            <v>39.528500000000001</v>
          </cell>
        </row>
        <row r="200">
          <cell r="J200">
            <v>50.938200000000002</v>
          </cell>
        </row>
        <row r="201">
          <cell r="J201">
            <v>50.938200000000002</v>
          </cell>
        </row>
        <row r="202">
          <cell r="J202">
            <v>64.1327</v>
          </cell>
        </row>
        <row r="203">
          <cell r="J203">
            <v>64.1327</v>
          </cell>
        </row>
        <row r="204">
          <cell r="J204">
            <v>72.348200000000006</v>
          </cell>
        </row>
        <row r="205">
          <cell r="J205">
            <v>72.348200000000006</v>
          </cell>
        </row>
        <row r="206">
          <cell r="J206">
            <v>87.566500000000005</v>
          </cell>
        </row>
        <row r="207">
          <cell r="J207">
            <v>87.566500000000005</v>
          </cell>
        </row>
        <row r="211">
          <cell r="J211">
            <v>0</v>
          </cell>
        </row>
        <row r="212">
          <cell r="J212">
            <v>0</v>
          </cell>
        </row>
        <row r="213">
          <cell r="J213">
            <v>12.820600000000001</v>
          </cell>
        </row>
        <row r="214">
          <cell r="J214">
            <v>12.820600000000001</v>
          </cell>
        </row>
        <row r="215">
          <cell r="J215">
            <v>23.314699999999998</v>
          </cell>
        </row>
        <row r="216">
          <cell r="J216">
            <v>23.314699999999998</v>
          </cell>
        </row>
        <row r="217">
          <cell r="J217">
            <v>38.326500000000003</v>
          </cell>
        </row>
        <row r="218">
          <cell r="J218">
            <v>38.326500000000003</v>
          </cell>
        </row>
        <row r="219">
          <cell r="J219">
            <v>50.655700000000003</v>
          </cell>
        </row>
        <row r="220">
          <cell r="J220">
            <v>50.655700000000003</v>
          </cell>
        </row>
        <row r="221">
          <cell r="J221">
            <v>64.707800000000006</v>
          </cell>
        </row>
        <row r="222">
          <cell r="J222">
            <v>64.707800000000006</v>
          </cell>
        </row>
        <row r="223">
          <cell r="J223">
            <v>73.556899999999999</v>
          </cell>
        </row>
        <row r="224">
          <cell r="J224">
            <v>73.556899999999999</v>
          </cell>
        </row>
        <row r="225">
          <cell r="J225">
            <v>84.878299999999996</v>
          </cell>
        </row>
        <row r="226">
          <cell r="J226">
            <v>84.878299999999996</v>
          </cell>
        </row>
      </sheetData>
      <sheetData sheetId="12"/>
      <sheetData sheetId="13"/>
      <sheetData sheetId="14">
        <row r="45">
          <cell r="J45">
            <v>10</v>
          </cell>
        </row>
        <row r="46">
          <cell r="J46">
            <v>10</v>
          </cell>
        </row>
        <row r="48">
          <cell r="E48">
            <v>46.292099999999998</v>
          </cell>
          <cell r="J48">
            <v>20</v>
          </cell>
        </row>
        <row r="49">
          <cell r="J49">
            <v>20</v>
          </cell>
        </row>
        <row r="51">
          <cell r="E51">
            <v>36.958599999999997</v>
          </cell>
          <cell r="J51">
            <v>30</v>
          </cell>
        </row>
        <row r="52">
          <cell r="J52">
            <v>30</v>
          </cell>
        </row>
        <row r="54">
          <cell r="E54">
            <v>28.647300000000001</v>
          </cell>
          <cell r="J54">
            <v>40</v>
          </cell>
        </row>
        <row r="55">
          <cell r="J55">
            <v>40</v>
          </cell>
        </row>
        <row r="57">
          <cell r="E57">
            <v>19.3565</v>
          </cell>
          <cell r="J57">
            <v>50</v>
          </cell>
        </row>
        <row r="58">
          <cell r="J58">
            <v>50</v>
          </cell>
        </row>
        <row r="60">
          <cell r="E60">
            <v>11.209</v>
          </cell>
          <cell r="J60">
            <v>59.9</v>
          </cell>
        </row>
        <row r="61">
          <cell r="J61">
            <v>59.9</v>
          </cell>
        </row>
        <row r="63">
          <cell r="E63">
            <v>6.6559999999999997</v>
          </cell>
          <cell r="J63">
            <v>69.8</v>
          </cell>
        </row>
        <row r="64">
          <cell r="J64">
            <v>69.8</v>
          </cell>
        </row>
        <row r="66">
          <cell r="E66">
            <v>3.5499000000000001</v>
          </cell>
          <cell r="J66">
            <v>80.7</v>
          </cell>
        </row>
        <row r="67">
          <cell r="J67">
            <v>80.7</v>
          </cell>
        </row>
        <row r="71">
          <cell r="J71">
            <v>10</v>
          </cell>
        </row>
        <row r="72">
          <cell r="J72">
            <v>10</v>
          </cell>
        </row>
        <row r="74">
          <cell r="E74">
            <v>52.119799999999998</v>
          </cell>
          <cell r="J74">
            <v>20</v>
          </cell>
        </row>
        <row r="75">
          <cell r="J75">
            <v>20</v>
          </cell>
        </row>
        <row r="77">
          <cell r="E77">
            <v>42.664000000000001</v>
          </cell>
          <cell r="J77">
            <v>30</v>
          </cell>
        </row>
        <row r="78">
          <cell r="J78">
            <v>30</v>
          </cell>
        </row>
        <row r="80">
          <cell r="E80">
            <v>31.043700000000001</v>
          </cell>
          <cell r="J80">
            <v>40</v>
          </cell>
        </row>
        <row r="81">
          <cell r="J81">
            <v>40</v>
          </cell>
        </row>
        <row r="83">
          <cell r="E83">
            <v>20.033000000000001</v>
          </cell>
          <cell r="J83">
            <v>50</v>
          </cell>
        </row>
        <row r="84">
          <cell r="J84">
            <v>50</v>
          </cell>
        </row>
        <row r="86">
          <cell r="E86">
            <v>11.3413</v>
          </cell>
          <cell r="J86">
            <v>59.9</v>
          </cell>
        </row>
        <row r="87">
          <cell r="J87">
            <v>59.9</v>
          </cell>
        </row>
        <row r="89">
          <cell r="E89">
            <v>6.9034000000000004</v>
          </cell>
          <cell r="J89">
            <v>69.900000000000006</v>
          </cell>
        </row>
        <row r="90">
          <cell r="J90">
            <v>69.900000000000006</v>
          </cell>
        </row>
        <row r="92">
          <cell r="E92">
            <v>3.5044</v>
          </cell>
          <cell r="J92">
            <v>81.3</v>
          </cell>
        </row>
        <row r="93">
          <cell r="J93">
            <v>81.3</v>
          </cell>
        </row>
        <row r="102">
          <cell r="E102">
            <v>48.913933999999998</v>
          </cell>
          <cell r="J102">
            <v>20</v>
          </cell>
        </row>
        <row r="103">
          <cell r="J103">
            <v>20</v>
          </cell>
        </row>
        <row r="105">
          <cell r="E105">
            <v>37.208547000000003</v>
          </cell>
          <cell r="J105">
            <v>30</v>
          </cell>
        </row>
        <row r="106">
          <cell r="J106">
            <v>30</v>
          </cell>
        </row>
        <row r="108">
          <cell r="E108">
            <v>28.871127999999999</v>
          </cell>
          <cell r="J108">
            <v>40</v>
          </cell>
        </row>
        <row r="109">
          <cell r="J109">
            <v>40</v>
          </cell>
        </row>
        <row r="111">
          <cell r="E111">
            <v>20.647977000000001</v>
          </cell>
          <cell r="J111">
            <v>50</v>
          </cell>
        </row>
        <row r="112">
          <cell r="J112">
            <v>50</v>
          </cell>
        </row>
        <row r="114">
          <cell r="E114">
            <v>12.564418</v>
          </cell>
          <cell r="J114">
            <v>59.9</v>
          </cell>
        </row>
        <row r="115">
          <cell r="J115">
            <v>59.9</v>
          </cell>
        </row>
        <row r="117">
          <cell r="E117">
            <v>7.7921500000000004</v>
          </cell>
          <cell r="J117">
            <v>69.8</v>
          </cell>
        </row>
        <row r="118">
          <cell r="J118">
            <v>69.8</v>
          </cell>
        </row>
        <row r="120">
          <cell r="E120">
            <v>4.7727680000000001</v>
          </cell>
          <cell r="J120">
            <v>80.7</v>
          </cell>
        </row>
        <row r="121">
          <cell r="J121">
            <v>80.7</v>
          </cell>
        </row>
        <row r="125">
          <cell r="E125">
            <v>53.684730000000002</v>
          </cell>
          <cell r="J125">
            <v>20</v>
          </cell>
        </row>
        <row r="126">
          <cell r="J126">
            <v>20</v>
          </cell>
        </row>
        <row r="128">
          <cell r="E128">
            <v>41.179048999999999</v>
          </cell>
          <cell r="J128">
            <v>30</v>
          </cell>
        </row>
        <row r="129">
          <cell r="J129">
            <v>30</v>
          </cell>
        </row>
        <row r="131">
          <cell r="E131">
            <v>30.992930999999999</v>
          </cell>
          <cell r="J131">
            <v>40</v>
          </cell>
        </row>
        <row r="132">
          <cell r="J132">
            <v>40</v>
          </cell>
        </row>
        <row r="134">
          <cell r="E134">
            <v>19.623028999999999</v>
          </cell>
          <cell r="J134">
            <v>50</v>
          </cell>
        </row>
        <row r="135">
          <cell r="J135">
            <v>50</v>
          </cell>
        </row>
        <row r="137">
          <cell r="E137">
            <v>12.178243</v>
          </cell>
          <cell r="J137">
            <v>59.9</v>
          </cell>
        </row>
        <row r="138">
          <cell r="J138">
            <v>59.9</v>
          </cell>
        </row>
        <row r="140">
          <cell r="E140">
            <v>7.7903609999999999</v>
          </cell>
          <cell r="J140">
            <v>69.900000000000006</v>
          </cell>
        </row>
        <row r="141">
          <cell r="J141">
            <v>69.900000000000006</v>
          </cell>
        </row>
        <row r="143">
          <cell r="E143">
            <v>4.5154180000000004</v>
          </cell>
          <cell r="J143">
            <v>81.3</v>
          </cell>
        </row>
        <row r="144">
          <cell r="J144">
            <v>81.3</v>
          </cell>
        </row>
      </sheetData>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แผนการระยะคำนวณ YLD"/>
      <sheetName val="ติดตามการแก้ไข worksheet"/>
      <sheetName val="templet worksheet 2557"/>
      <sheetName val="DATA"/>
      <sheetName val="untreatedESRD"/>
      <sheetName val="Basic"/>
      <sheetName val="Review"/>
      <sheetName val="disease model"/>
      <sheetName val="Sheet2"/>
      <sheetName val="DATA (2)"/>
    </sheetNames>
    <sheetDataSet>
      <sheetData sheetId="0" refreshError="1"/>
      <sheetData sheetId="1" refreshError="1"/>
      <sheetData sheetId="2">
        <row r="90">
          <cell r="A90" t="str">
            <v>Thailand</v>
          </cell>
          <cell r="B90" t="str">
            <v>Population</v>
          </cell>
          <cell r="C90" t="str">
            <v>Incidence</v>
          </cell>
          <cell r="D90" t="str">
            <v>Incidence rate</v>
          </cell>
          <cell r="E90" t="str">
            <v>Duration</v>
          </cell>
          <cell r="F90" t="str">
            <v>Age at onset</v>
          </cell>
          <cell r="G90" t="str">
            <v>Disability weight</v>
          </cell>
          <cell r="H90" t="str">
            <v>YLD</v>
          </cell>
          <cell r="I90" t="str">
            <v>YLD</v>
          </cell>
          <cell r="K90" t="str">
            <v>age at onset</v>
          </cell>
          <cell r="L90" t="str">
            <v>YLDs</v>
          </cell>
        </row>
        <row r="91">
          <cell r="B91">
            <v>2014</v>
          </cell>
          <cell r="D91" t="str">
            <v>(per 100,000)</v>
          </cell>
          <cell r="H91" t="str">
            <v>(0,0)</v>
          </cell>
          <cell r="I91" t="str">
            <v>(3,0)</v>
          </cell>
          <cell r="L91" t="str">
            <v>(3,1)</v>
          </cell>
        </row>
        <row r="94">
          <cell r="A94" t="str">
            <v>Males</v>
          </cell>
        </row>
        <row r="95">
          <cell r="A95" t="str">
            <v>0-4</v>
          </cell>
          <cell r="B95">
            <v>1966319</v>
          </cell>
          <cell r="C95">
            <v>0</v>
          </cell>
          <cell r="D95">
            <v>0</v>
          </cell>
          <cell r="E95">
            <v>1.8</v>
          </cell>
          <cell r="G95">
            <v>0.28999999999999998</v>
          </cell>
          <cell r="H95">
            <v>0</v>
          </cell>
          <cell r="I95">
            <v>0</v>
          </cell>
          <cell r="K95">
            <v>2.5</v>
          </cell>
          <cell r="L95">
            <v>0</v>
          </cell>
        </row>
        <row r="96">
          <cell r="A96" t="str">
            <v>5-14</v>
          </cell>
          <cell r="B96">
            <v>4179206</v>
          </cell>
          <cell r="C96">
            <v>29.211486593685546</v>
          </cell>
          <cell r="D96">
            <v>0.69897216346084756</v>
          </cell>
          <cell r="E96">
            <v>2.5</v>
          </cell>
          <cell r="G96">
            <v>0.28999999999999998</v>
          </cell>
          <cell r="H96">
            <v>21.178327780422016</v>
          </cell>
          <cell r="I96">
            <v>20.403628410726032</v>
          </cell>
          <cell r="K96">
            <v>10</v>
          </cell>
          <cell r="L96">
            <v>24.213367284938233</v>
          </cell>
        </row>
        <row r="97">
          <cell r="A97" t="str">
            <v>15-24</v>
          </cell>
          <cell r="B97">
            <v>4935213</v>
          </cell>
          <cell r="C97">
            <v>124.14881802316359</v>
          </cell>
          <cell r="D97">
            <v>2.5155716282795413</v>
          </cell>
          <cell r="E97">
            <v>5.5</v>
          </cell>
          <cell r="G97">
            <v>0.28999999999999998</v>
          </cell>
          <cell r="H97">
            <v>198.0173647469459</v>
          </cell>
          <cell r="I97">
            <v>182.54356289654575</v>
          </cell>
          <cell r="K97">
            <v>20</v>
          </cell>
          <cell r="L97">
            <v>276.39966038277379</v>
          </cell>
        </row>
        <row r="98">
          <cell r="A98" t="str">
            <v>25-34</v>
          </cell>
          <cell r="B98">
            <v>4969108</v>
          </cell>
          <cell r="C98">
            <v>725.9054418530859</v>
          </cell>
          <cell r="D98">
            <v>14.608365160368541</v>
          </cell>
          <cell r="E98">
            <v>5.9</v>
          </cell>
          <cell r="G98">
            <v>0.28999999999999998</v>
          </cell>
          <cell r="H98">
            <v>1242.0242110106299</v>
          </cell>
          <cell r="I98">
            <v>1138.3131928689434</v>
          </cell>
          <cell r="K98">
            <v>30</v>
          </cell>
          <cell r="L98">
            <v>1663.948741303532</v>
          </cell>
        </row>
        <row r="99">
          <cell r="A99" t="str">
            <v>35-44</v>
          </cell>
          <cell r="B99">
            <v>5294266</v>
          </cell>
          <cell r="C99">
            <v>851.51483420593377</v>
          </cell>
          <cell r="D99">
            <v>16.08371838902567</v>
          </cell>
          <cell r="E99">
            <v>5.4</v>
          </cell>
          <cell r="G99">
            <v>0.28999999999999998</v>
          </cell>
          <cell r="H99">
            <v>1333.4722303664923</v>
          </cell>
          <cell r="I99">
            <v>1231.064818226306</v>
          </cell>
          <cell r="K99">
            <v>40</v>
          </cell>
          <cell r="L99">
            <v>1580.8718219005393</v>
          </cell>
        </row>
        <row r="100">
          <cell r="A100" t="str">
            <v>45-54</v>
          </cell>
          <cell r="B100">
            <v>4801101</v>
          </cell>
          <cell r="C100">
            <v>1713.2536887196572</v>
          </cell>
          <cell r="D100">
            <v>35.684600026528436</v>
          </cell>
          <cell r="E100">
            <v>5.0999999999999996</v>
          </cell>
          <cell r="G100">
            <v>0.28999999999999998</v>
          </cell>
          <cell r="H100">
            <v>2533.9022056163726</v>
          </cell>
          <cell r="I100">
            <v>2349.5778484543639</v>
          </cell>
          <cell r="K100">
            <v>50</v>
          </cell>
          <cell r="L100">
            <v>2505.4591254979237</v>
          </cell>
        </row>
        <row r="101">
          <cell r="A101" t="str">
            <v>55-64</v>
          </cell>
          <cell r="B101">
            <v>3135377</v>
          </cell>
          <cell r="C101">
            <v>2763.406631762653</v>
          </cell>
          <cell r="D101">
            <v>88.136343149887651</v>
          </cell>
          <cell r="E101">
            <v>5.0999999999999996</v>
          </cell>
          <cell r="G101">
            <v>0.28999999999999998</v>
          </cell>
          <cell r="H101">
            <v>4087.0784083769631</v>
          </cell>
          <cell r="I101">
            <v>3789.7709200985992</v>
          </cell>
          <cell r="K101">
            <v>59.9</v>
          </cell>
          <cell r="L101">
            <v>3233.6159289756019</v>
          </cell>
        </row>
        <row r="102">
          <cell r="A102" t="str">
            <v>65-74</v>
          </cell>
          <cell r="B102">
            <v>1636415</v>
          </cell>
          <cell r="C102">
            <v>2074.015548151674</v>
          </cell>
          <cell r="D102">
            <v>126.74141633703395</v>
          </cell>
          <cell r="E102">
            <v>5.5</v>
          </cell>
          <cell r="G102">
            <v>0.28999999999999998</v>
          </cell>
          <cell r="H102">
            <v>3308.05479930192</v>
          </cell>
          <cell r="I102">
            <v>3049.5512860364115</v>
          </cell>
          <cell r="K102">
            <v>69.8</v>
          </cell>
          <cell r="L102">
            <v>2019.6061666179855</v>
          </cell>
        </row>
        <row r="103">
          <cell r="A103" t="str">
            <v>75+</v>
          </cell>
          <cell r="B103">
            <v>1005485</v>
          </cell>
          <cell r="C103">
            <v>1286.7659844518485</v>
          </cell>
          <cell r="D103">
            <v>127.97465744907666</v>
          </cell>
          <cell r="E103">
            <v>4</v>
          </cell>
          <cell r="G103">
            <v>0.28999999999999998</v>
          </cell>
          <cell r="H103">
            <v>1492.6485419641442</v>
          </cell>
          <cell r="I103">
            <v>1406.5670438339757</v>
          </cell>
          <cell r="K103">
            <v>80.7</v>
          </cell>
          <cell r="L103">
            <v>706.75970322776857</v>
          </cell>
        </row>
        <row r="104">
          <cell r="A104" t="str">
            <v>Total</v>
          </cell>
          <cell r="B104">
            <v>31922490</v>
          </cell>
          <cell r="C104">
            <v>9568.2224337617008</v>
          </cell>
          <cell r="D104">
            <v>29.97329604852786</v>
          </cell>
          <cell r="E104">
            <v>5.1729404301103523</v>
          </cell>
          <cell r="G104">
            <v>0.28999999999999998</v>
          </cell>
          <cell r="H104">
            <v>14216.37608916389</v>
          </cell>
          <cell r="I104">
            <v>13167.792300825873</v>
          </cell>
          <cell r="L104">
            <v>12010.874515191061</v>
          </cell>
        </row>
        <row r="106">
          <cell r="A106" t="str">
            <v>Females</v>
          </cell>
        </row>
        <row r="107">
          <cell r="A107" t="str">
            <v>0-4</v>
          </cell>
          <cell r="B107">
            <v>1849075</v>
          </cell>
          <cell r="C107">
            <v>0</v>
          </cell>
          <cell r="D107">
            <v>0</v>
          </cell>
          <cell r="E107">
            <v>1.8</v>
          </cell>
          <cell r="G107">
            <v>0.28999999999999998</v>
          </cell>
          <cell r="H107">
            <v>0</v>
          </cell>
          <cell r="I107">
            <v>0</v>
          </cell>
          <cell r="K107">
            <v>2.5</v>
          </cell>
          <cell r="L107">
            <v>0</v>
          </cell>
        </row>
        <row r="108">
          <cell r="A108" t="str">
            <v>5-14</v>
          </cell>
          <cell r="B108">
            <v>3940160</v>
          </cell>
          <cell r="C108">
            <v>20.448040615579885</v>
          </cell>
          <cell r="D108">
            <v>0.51896472771613045</v>
          </cell>
          <cell r="E108">
            <v>2.5</v>
          </cell>
          <cell r="G108">
            <v>0.28999999999999998</v>
          </cell>
          <cell r="H108">
            <v>14.824829446295416</v>
          </cell>
          <cell r="I108">
            <v>14.282539887508225</v>
          </cell>
          <cell r="K108">
            <v>10</v>
          </cell>
          <cell r="L108">
            <v>16.949357099456765</v>
          </cell>
        </row>
        <row r="109">
          <cell r="A109" t="str">
            <v>15-24</v>
          </cell>
          <cell r="B109">
            <v>4717317.1752900956</v>
          </cell>
          <cell r="C109">
            <v>125.60939235284785</v>
          </cell>
          <cell r="D109">
            <v>2.6627294219435944</v>
          </cell>
          <cell r="E109">
            <v>5.5</v>
          </cell>
          <cell r="G109">
            <v>0.28999999999999998</v>
          </cell>
          <cell r="H109">
            <v>200.3469808027923</v>
          </cell>
          <cell r="I109">
            <v>184.69113422474038</v>
          </cell>
          <cell r="K109">
            <v>20</v>
          </cell>
          <cell r="L109">
            <v>279.65142109315934</v>
          </cell>
        </row>
        <row r="110">
          <cell r="A110" t="str">
            <v>25-34</v>
          </cell>
          <cell r="B110">
            <v>4883263</v>
          </cell>
          <cell r="C110">
            <v>603.2171981596066</v>
          </cell>
          <cell r="D110">
            <v>12.352748524083315</v>
          </cell>
          <cell r="E110">
            <v>5.9</v>
          </cell>
          <cell r="G110">
            <v>0.28999999999999998</v>
          </cell>
          <cell r="H110">
            <v>1032.1046260510868</v>
          </cell>
          <cell r="I110">
            <v>945.92223069391071</v>
          </cell>
          <cell r="K110">
            <v>30</v>
          </cell>
          <cell r="L110">
            <v>1382.7179681254702</v>
          </cell>
        </row>
        <row r="111">
          <cell r="A111" t="str">
            <v>35-44</v>
          </cell>
          <cell r="B111">
            <v>5443392</v>
          </cell>
          <cell r="C111">
            <v>750.73520545771851</v>
          </cell>
          <cell r="D111">
            <v>13.791679993976523</v>
          </cell>
          <cell r="E111">
            <v>5.4</v>
          </cell>
          <cell r="G111">
            <v>0.28999999999999998</v>
          </cell>
          <cell r="H111">
            <v>1175.6513317467873</v>
          </cell>
          <cell r="I111">
            <v>1085.3641793624718</v>
          </cell>
          <cell r="K111">
            <v>40</v>
          </cell>
          <cell r="L111">
            <v>1393.7703541284341</v>
          </cell>
        </row>
        <row r="112">
          <cell r="A112" t="str">
            <v>45-54</v>
          </cell>
          <cell r="B112">
            <v>5200726</v>
          </cell>
          <cell r="C112">
            <v>1537.9847691575442</v>
          </cell>
          <cell r="D112">
            <v>29.572501399949626</v>
          </cell>
          <cell r="E112">
            <v>5.0999999999999996</v>
          </cell>
          <cell r="G112">
            <v>0.28999999999999998</v>
          </cell>
          <cell r="H112">
            <v>2274.6794735840076</v>
          </cell>
          <cell r="I112">
            <v>2109.2118281521275</v>
          </cell>
          <cell r="K112">
            <v>50</v>
          </cell>
          <cell r="L112">
            <v>2249.146171482791</v>
          </cell>
        </row>
        <row r="113">
          <cell r="A113" t="str">
            <v>55-64</v>
          </cell>
          <cell r="B113">
            <v>3562058</v>
          </cell>
          <cell r="C113">
            <v>2160.1894336030464</v>
          </cell>
          <cell r="D113">
            <v>60.644420545736381</v>
          </cell>
          <cell r="E113">
            <v>5.0999999999999996</v>
          </cell>
          <cell r="G113">
            <v>0.28999999999999998</v>
          </cell>
          <cell r="H113">
            <v>3194.9201722989051</v>
          </cell>
          <cell r="I113">
            <v>2962.511200225068</v>
          </cell>
          <cell r="K113">
            <v>59.9</v>
          </cell>
          <cell r="L113">
            <v>2527.7579064243732</v>
          </cell>
        </row>
        <row r="114">
          <cell r="A114" t="str">
            <v>65-74</v>
          </cell>
          <cell r="B114">
            <v>1977869.5356088658</v>
          </cell>
          <cell r="C114">
            <v>2139.7413929874665</v>
          </cell>
          <cell r="D114">
            <v>108.18415241573405</v>
          </cell>
          <cell r="E114">
            <v>5.5</v>
          </cell>
          <cell r="G114">
            <v>0.28999999999999998</v>
          </cell>
          <cell r="H114">
            <v>3412.8875218150088</v>
          </cell>
          <cell r="I114">
            <v>3146.1919958051717</v>
          </cell>
          <cell r="K114">
            <v>69.900000000000006</v>
          </cell>
          <cell r="L114">
            <v>2078.1574393962474</v>
          </cell>
        </row>
        <row r="115">
          <cell r="A115" t="str">
            <v>75+</v>
          </cell>
          <cell r="B115">
            <v>1458962.4462073003</v>
          </cell>
          <cell r="C115">
            <v>1505.8521339044898</v>
          </cell>
          <cell r="D115">
            <v>103.21390641815924</v>
          </cell>
          <cell r="E115">
            <v>4</v>
          </cell>
          <cell r="G115">
            <v>0.28999999999999998</v>
          </cell>
          <cell r="H115">
            <v>1746.788475329208</v>
          </cell>
          <cell r="I115">
            <v>1646.0506494810766</v>
          </cell>
          <cell r="K115">
            <v>81.3</v>
          </cell>
          <cell r="L115">
            <v>813.34441831320112</v>
          </cell>
        </row>
        <row r="116">
          <cell r="A116" t="str">
            <v>Total</v>
          </cell>
          <cell r="B116">
            <v>33032823.157106262</v>
          </cell>
          <cell r="C116">
            <v>8843.7775662382992</v>
          </cell>
          <cell r="D116">
            <v>26.772696733115168</v>
          </cell>
          <cell r="E116">
            <v>5.1729404301103523</v>
          </cell>
          <cell r="G116">
            <v>0.28999999999999998</v>
          </cell>
          <cell r="H116">
            <v>13052.203411074091</v>
          </cell>
          <cell r="I116">
            <v>12094.225757832073</v>
          </cell>
          <cell r="L116">
            <v>10741.495036063134</v>
          </cell>
        </row>
        <row r="122">
          <cell r="A122" t="str">
            <v>Thailand</v>
          </cell>
          <cell r="B122" t="str">
            <v>Population</v>
          </cell>
          <cell r="C122" t="str">
            <v>Incidence</v>
          </cell>
          <cell r="D122" t="str">
            <v>Incidence rate</v>
          </cell>
          <cell r="E122" t="str">
            <v>Duration</v>
          </cell>
          <cell r="G122" t="str">
            <v>Disability weight</v>
          </cell>
          <cell r="J122" t="str">
            <v>YLD</v>
          </cell>
          <cell r="M122" t="str">
            <v>YLDs</v>
          </cell>
        </row>
        <row r="123">
          <cell r="B123">
            <v>2014</v>
          </cell>
          <cell r="D123" t="str">
            <v>(per 100,000)</v>
          </cell>
          <cell r="E123" t="str">
            <v>first 1/2 yr</v>
          </cell>
          <cell r="F123" t="str">
            <v>there after</v>
          </cell>
          <cell r="H123" t="str">
            <v>there after</v>
          </cell>
          <cell r="I123" t="str">
            <v>(0,0)</v>
          </cell>
          <cell r="J123" t="str">
            <v>(3,0)</v>
          </cell>
          <cell r="M123" t="str">
            <v>(3,1)</v>
          </cell>
        </row>
        <row r="126">
          <cell r="A126" t="str">
            <v>Males</v>
          </cell>
        </row>
        <row r="127">
          <cell r="A127" t="str">
            <v>0-4</v>
          </cell>
          <cell r="B127">
            <v>1966319</v>
          </cell>
          <cell r="C127">
            <v>0</v>
          </cell>
          <cell r="D127">
            <v>0</v>
          </cell>
          <cell r="E127">
            <v>0.5</v>
          </cell>
          <cell r="F127">
            <v>13.1</v>
          </cell>
          <cell r="H127">
            <v>0.11</v>
          </cell>
          <cell r="I127">
            <v>0</v>
          </cell>
          <cell r="J127">
            <v>0</v>
          </cell>
          <cell r="M127">
            <v>0</v>
          </cell>
        </row>
        <row r="128">
          <cell r="A128" t="str">
            <v>5-14</v>
          </cell>
          <cell r="B128">
            <v>4179206</v>
          </cell>
          <cell r="C128">
            <v>3.0330275229357797</v>
          </cell>
          <cell r="D128">
            <v>7.2574252691438981E-2</v>
          </cell>
          <cell r="E128">
            <v>0.5</v>
          </cell>
          <cell r="F128">
            <v>16.5</v>
          </cell>
          <cell r="H128">
            <v>0.11</v>
          </cell>
          <cell r="I128">
            <v>5.9447339449541285</v>
          </cell>
          <cell r="J128">
            <v>4.3420013410588432</v>
          </cell>
          <cell r="M128">
            <v>6.3632283941767476</v>
          </cell>
        </row>
        <row r="129">
          <cell r="A129" t="str">
            <v>15-24</v>
          </cell>
          <cell r="B129">
            <v>4935213</v>
          </cell>
          <cell r="C129">
            <v>17.187155963302754</v>
          </cell>
          <cell r="D129">
            <v>0.34825560646121562</v>
          </cell>
          <cell r="E129">
            <v>0.5</v>
          </cell>
          <cell r="F129">
            <v>18.25</v>
          </cell>
          <cell r="H129">
            <v>0.11</v>
          </cell>
          <cell r="I129">
            <v>36.995353211009174</v>
          </cell>
          <cell r="J129">
            <v>26.56943028529551</v>
          </cell>
          <cell r="M129">
            <v>41.815057570154856</v>
          </cell>
        </row>
        <row r="130">
          <cell r="A130" t="str">
            <v>25-34</v>
          </cell>
          <cell r="B130">
            <v>4969108</v>
          </cell>
          <cell r="C130">
            <v>44.48440366972477</v>
          </cell>
          <cell r="D130">
            <v>0.89521909505136066</v>
          </cell>
          <cell r="E130">
            <v>0.5</v>
          </cell>
          <cell r="F130">
            <v>18.45</v>
          </cell>
          <cell r="H130">
            <v>0.11</v>
          </cell>
          <cell r="I130">
            <v>96.731335779816519</v>
          </cell>
          <cell r="J130">
            <v>69.332291709914855</v>
          </cell>
          <cell r="M130">
            <v>100.34412322591605</v>
          </cell>
        </row>
        <row r="131">
          <cell r="A131" t="str">
            <v>35-44</v>
          </cell>
          <cell r="B131">
            <v>5294266</v>
          </cell>
          <cell r="C131">
            <v>89.979816513761463</v>
          </cell>
          <cell r="D131">
            <v>1.6995711306111454</v>
          </cell>
          <cell r="E131">
            <v>0.5</v>
          </cell>
          <cell r="F131">
            <v>16.239999999999998</v>
          </cell>
          <cell r="H131">
            <v>0.11</v>
          </cell>
          <cell r="I131">
            <v>173.78701761467886</v>
          </cell>
          <cell r="J131">
            <v>127.23788900571789</v>
          </cell>
          <cell r="M131">
            <v>160.56476788575264</v>
          </cell>
        </row>
        <row r="132">
          <cell r="A132" t="str">
            <v>45-54</v>
          </cell>
          <cell r="B132">
            <v>4801101</v>
          </cell>
          <cell r="C132">
            <v>107.16697247706422</v>
          </cell>
          <cell r="D132">
            <v>2.2321332643713228</v>
          </cell>
          <cell r="E132">
            <v>0.5</v>
          </cell>
          <cell r="F132">
            <v>12.92</v>
          </cell>
          <cell r="H132">
            <v>0.11</v>
          </cell>
          <cell r="I132">
            <v>167.84491229357798</v>
          </cell>
          <cell r="J132">
            <v>126.25979073606993</v>
          </cell>
          <cell r="M132">
            <v>135.51490390978438</v>
          </cell>
        </row>
        <row r="133">
          <cell r="A133" t="str">
            <v>55-64</v>
          </cell>
          <cell r="B133">
            <v>3135377</v>
          </cell>
          <cell r="C133">
            <v>84.924770642201835</v>
          </cell>
          <cell r="D133">
            <v>2.708598380424486</v>
          </cell>
          <cell r="E133">
            <v>0.5</v>
          </cell>
          <cell r="F133">
            <v>9.5500000000000007</v>
          </cell>
          <cell r="H133">
            <v>0.11</v>
          </cell>
          <cell r="I133">
            <v>101.5275633027523</v>
          </cell>
          <cell r="J133">
            <v>77.571478305772033</v>
          </cell>
          <cell r="M133">
            <v>69.847746961927882</v>
          </cell>
        </row>
        <row r="134">
          <cell r="A134" t="str">
            <v>65-74</v>
          </cell>
          <cell r="B134">
            <v>1636415</v>
          </cell>
          <cell r="C134">
            <v>18.19816513761468</v>
          </cell>
          <cell r="D134">
            <v>1.1120751849387032</v>
          </cell>
          <cell r="E134">
            <v>0.5</v>
          </cell>
          <cell r="F134">
            <v>6.37</v>
          </cell>
          <cell r="H134">
            <v>0.11</v>
          </cell>
          <cell r="I134">
            <v>15.390188256880736</v>
          </cell>
          <cell r="J134">
            <v>11.607094427253346</v>
          </cell>
          <cell r="M134">
            <v>8.7523913462047709</v>
          </cell>
        </row>
        <row r="135">
          <cell r="A135" t="str">
            <v>75+</v>
          </cell>
          <cell r="B135">
            <v>1005485</v>
          </cell>
          <cell r="C135">
            <v>0</v>
          </cell>
          <cell r="D135">
            <v>0</v>
          </cell>
          <cell r="E135">
            <v>0.5</v>
          </cell>
          <cell r="F135">
            <v>0</v>
          </cell>
          <cell r="H135">
            <v>0.11</v>
          </cell>
          <cell r="I135">
            <v>0</v>
          </cell>
          <cell r="J135">
            <v>0</v>
          </cell>
          <cell r="M135">
            <v>0</v>
          </cell>
        </row>
        <row r="136">
          <cell r="A136" t="str">
            <v>Total</v>
          </cell>
          <cell r="B136">
            <v>31922490</v>
          </cell>
          <cell r="C136">
            <v>364.97431192660554</v>
          </cell>
          <cell r="D136">
            <v>1.1433140457608588</v>
          </cell>
          <cell r="E136">
            <v>0.5</v>
          </cell>
          <cell r="H136">
            <v>0.11</v>
          </cell>
          <cell r="I136">
            <v>598.22110440366964</v>
          </cell>
          <cell r="J136">
            <v>442.9199758110824</v>
          </cell>
          <cell r="M136">
            <v>523.20221929391732</v>
          </cell>
        </row>
        <row r="138">
          <cell r="A138" t="str">
            <v>Females</v>
          </cell>
        </row>
        <row r="139">
          <cell r="A139" t="str">
            <v>0-4</v>
          </cell>
          <cell r="B139">
            <v>1849075</v>
          </cell>
          <cell r="C139">
            <v>0</v>
          </cell>
          <cell r="D139">
            <v>0</v>
          </cell>
          <cell r="E139">
            <v>0.5</v>
          </cell>
          <cell r="F139">
            <v>13.1</v>
          </cell>
          <cell r="H139">
            <v>0.11</v>
          </cell>
          <cell r="I139">
            <v>0</v>
          </cell>
          <cell r="J139">
            <v>0</v>
          </cell>
          <cell r="M139">
            <v>0</v>
          </cell>
        </row>
        <row r="140">
          <cell r="A140" t="str">
            <v>5-14</v>
          </cell>
          <cell r="B140">
            <v>3940160</v>
          </cell>
          <cell r="C140">
            <v>8.0880733944954137</v>
          </cell>
          <cell r="D140">
            <v>0.20527271467390701</v>
          </cell>
          <cell r="E140">
            <v>0.5</v>
          </cell>
          <cell r="F140">
            <v>16.5</v>
          </cell>
          <cell r="H140">
            <v>0.11</v>
          </cell>
          <cell r="I140">
            <v>15.852623853211011</v>
          </cell>
          <cell r="J140">
            <v>11.578670242823584</v>
          </cell>
          <cell r="M140">
            <v>16.968609051137992</v>
          </cell>
        </row>
        <row r="141">
          <cell r="A141" t="str">
            <v>15-24</v>
          </cell>
          <cell r="B141">
            <v>4717317.1752900956</v>
          </cell>
          <cell r="C141">
            <v>11.121100917431193</v>
          </cell>
          <cell r="D141">
            <v>0.23575054430694053</v>
          </cell>
          <cell r="E141">
            <v>0.5</v>
          </cell>
          <cell r="F141">
            <v>18.25</v>
          </cell>
          <cell r="H141">
            <v>0.11</v>
          </cell>
          <cell r="I141">
            <v>23.938169724770642</v>
          </cell>
          <cell r="J141">
            <v>17.191984302250034</v>
          </cell>
          <cell r="M141">
            <v>27.056801957159024</v>
          </cell>
        </row>
        <row r="142">
          <cell r="A142" t="str">
            <v>25-34</v>
          </cell>
          <cell r="B142">
            <v>4883263</v>
          </cell>
          <cell r="C142">
            <v>32.352293577981655</v>
          </cell>
          <cell r="D142">
            <v>0.66251384735947372</v>
          </cell>
          <cell r="E142">
            <v>0.5</v>
          </cell>
          <cell r="F142">
            <v>18.45</v>
          </cell>
          <cell r="H142">
            <v>0.11</v>
          </cell>
          <cell r="I142">
            <v>70.35006238532111</v>
          </cell>
          <cell r="J142">
            <v>50.42348487993808</v>
          </cell>
          <cell r="M142">
            <v>72.977544164302586</v>
          </cell>
        </row>
        <row r="143">
          <cell r="A143" t="str">
            <v>35-44</v>
          </cell>
          <cell r="B143">
            <v>5443392</v>
          </cell>
          <cell r="C143">
            <v>62.68256880733945</v>
          </cell>
          <cell r="D143">
            <v>1.1515350870806191</v>
          </cell>
          <cell r="E143">
            <v>0.5</v>
          </cell>
          <cell r="F143">
            <v>16.239999999999998</v>
          </cell>
          <cell r="H143">
            <v>0.11</v>
          </cell>
          <cell r="I143">
            <v>121.0651133944954</v>
          </cell>
          <cell r="J143">
            <v>88.637630543309101</v>
          </cell>
          <cell r="M143">
            <v>111.85410796535578</v>
          </cell>
        </row>
        <row r="144">
          <cell r="A144" t="str">
            <v>45-54</v>
          </cell>
          <cell r="B144">
            <v>5200726</v>
          </cell>
          <cell r="C144">
            <v>42.462385321100918</v>
          </cell>
          <cell r="D144">
            <v>0.81647034127737006</v>
          </cell>
          <cell r="E144">
            <v>0.5</v>
          </cell>
          <cell r="F144">
            <v>12.92</v>
          </cell>
          <cell r="H144">
            <v>0.11</v>
          </cell>
          <cell r="I144">
            <v>66.504587889908265</v>
          </cell>
          <cell r="J144">
            <v>50.027464253914495</v>
          </cell>
          <cell r="M144">
            <v>53.694584568027771</v>
          </cell>
        </row>
        <row r="145">
          <cell r="A145" t="str">
            <v>55-64</v>
          </cell>
          <cell r="B145">
            <v>3562058</v>
          </cell>
          <cell r="C145">
            <v>21.231192660550459</v>
          </cell>
          <cell r="D145">
            <v>0.59603725319886591</v>
          </cell>
          <cell r="E145">
            <v>0.5</v>
          </cell>
          <cell r="F145">
            <v>9.5500000000000007</v>
          </cell>
          <cell r="H145">
            <v>0.11</v>
          </cell>
          <cell r="I145">
            <v>25.381890825688075</v>
          </cell>
          <cell r="J145">
            <v>19.392869576443008</v>
          </cell>
          <cell r="M145">
            <v>17.461936740481971</v>
          </cell>
        </row>
        <row r="146">
          <cell r="A146" t="str">
            <v>65-74</v>
          </cell>
          <cell r="B146">
            <v>1977869.5356088658</v>
          </cell>
          <cell r="C146">
            <v>8.0880733944954137</v>
          </cell>
          <cell r="D146">
            <v>0.40892855918353521</v>
          </cell>
          <cell r="E146">
            <v>0.5</v>
          </cell>
          <cell r="F146">
            <v>6.37</v>
          </cell>
          <cell r="H146">
            <v>0.11</v>
          </cell>
          <cell r="I146">
            <v>6.8400836697247716</v>
          </cell>
          <cell r="J146">
            <v>5.158708634334821</v>
          </cell>
          <cell r="M146">
            <v>3.8797755953136526</v>
          </cell>
        </row>
        <row r="147">
          <cell r="A147" t="str">
            <v>75+</v>
          </cell>
          <cell r="B147">
            <v>1458962.4462073003</v>
          </cell>
          <cell r="C147">
            <v>0</v>
          </cell>
          <cell r="D147">
            <v>0</v>
          </cell>
          <cell r="E147">
            <v>0.5</v>
          </cell>
          <cell r="F147">
            <v>0</v>
          </cell>
          <cell r="H147">
            <v>0.11</v>
          </cell>
          <cell r="I147">
            <v>0</v>
          </cell>
          <cell r="J147">
            <v>0</v>
          </cell>
          <cell r="M147">
            <v>0</v>
          </cell>
        </row>
        <row r="148">
          <cell r="A148" t="str">
            <v>Total</v>
          </cell>
          <cell r="B148">
            <v>33032823.157106262</v>
          </cell>
          <cell r="C148">
            <v>186.02568807339449</v>
          </cell>
          <cell r="D148">
            <v>0.56315407008551521</v>
          </cell>
          <cell r="E148">
            <v>0.5</v>
          </cell>
          <cell r="H148">
            <v>0.11</v>
          </cell>
          <cell r="I148">
            <v>329.93253174311928</v>
          </cell>
          <cell r="J148">
            <v>242.41081243301315</v>
          </cell>
          <cell r="M148">
            <v>303.89336004177881</v>
          </cell>
        </row>
        <row r="155">
          <cell r="A155" t="str">
            <v>Thailand</v>
          </cell>
          <cell r="B155" t="str">
            <v>Population</v>
          </cell>
          <cell r="C155" t="str">
            <v>Incidence</v>
          </cell>
          <cell r="D155" t="str">
            <v>Incidence rate</v>
          </cell>
          <cell r="E155" t="str">
            <v>Duration</v>
          </cell>
          <cell r="F155" t="str">
            <v>Age at onset</v>
          </cell>
          <cell r="G155" t="str">
            <v>Disability weight</v>
          </cell>
          <cell r="H155" t="str">
            <v>YLD</v>
          </cell>
          <cell r="I155" t="str">
            <v>YLD</v>
          </cell>
          <cell r="K155" t="str">
            <v>age at onset</v>
          </cell>
          <cell r="L155" t="str">
            <v>YLDs</v>
          </cell>
        </row>
        <row r="156">
          <cell r="B156">
            <v>2014</v>
          </cell>
          <cell r="D156" t="str">
            <v>(per 100,000)</v>
          </cell>
          <cell r="H156" t="str">
            <v>(0,0)</v>
          </cell>
          <cell r="I156" t="str">
            <v>(3,0)</v>
          </cell>
          <cell r="L156" t="str">
            <v>(3,1)</v>
          </cell>
        </row>
        <row r="159">
          <cell r="A159" t="str">
            <v>Males</v>
          </cell>
        </row>
        <row r="160">
          <cell r="A160" t="str">
            <v>0-4</v>
          </cell>
          <cell r="B160">
            <v>1966319</v>
          </cell>
          <cell r="C160">
            <v>0</v>
          </cell>
          <cell r="D160">
            <v>0</v>
          </cell>
          <cell r="E160">
            <v>1</v>
          </cell>
          <cell r="G160">
            <v>0.104</v>
          </cell>
          <cell r="H160">
            <v>0</v>
          </cell>
          <cell r="I160">
            <v>0</v>
          </cell>
          <cell r="K160">
            <v>2.5</v>
          </cell>
          <cell r="L160">
            <v>0</v>
          </cell>
        </row>
        <row r="161">
          <cell r="A161" t="str">
            <v>5-14</v>
          </cell>
          <cell r="B161">
            <v>4179206</v>
          </cell>
          <cell r="C161">
            <v>14.223945843848099</v>
          </cell>
          <cell r="D161">
            <v>0.34035043603612986</v>
          </cell>
          <cell r="E161">
            <v>1</v>
          </cell>
          <cell r="G161">
            <v>0.104</v>
          </cell>
          <cell r="H161">
            <v>1.4792903677602023</v>
          </cell>
          <cell r="I161">
            <v>1.4573212515327978</v>
          </cell>
          <cell r="K161">
            <v>10</v>
          </cell>
          <cell r="L161">
            <v>1.6663126750127757</v>
          </cell>
        </row>
        <row r="162">
          <cell r="A162" t="str">
            <v>15-24</v>
          </cell>
          <cell r="B162">
            <v>4935213</v>
          </cell>
          <cell r="C162">
            <v>60.451769836354437</v>
          </cell>
          <cell r="D162">
            <v>1.2249070067766972</v>
          </cell>
          <cell r="E162">
            <v>1</v>
          </cell>
          <cell r="G162">
            <v>0.104</v>
          </cell>
          <cell r="H162">
            <v>6.2869840629808609</v>
          </cell>
          <cell r="I162">
            <v>6.1936153190143912</v>
          </cell>
          <cell r="K162">
            <v>20</v>
          </cell>
          <cell r="L162">
            <v>9.2706445933342216</v>
          </cell>
        </row>
        <row r="163">
          <cell r="A163" t="str">
            <v>25-34</v>
          </cell>
          <cell r="B163">
            <v>4969108</v>
          </cell>
          <cell r="C163">
            <v>353.46505421962536</v>
          </cell>
          <cell r="D163">
            <v>7.1132495856323787</v>
          </cell>
          <cell r="E163">
            <v>1</v>
          </cell>
          <cell r="G163">
            <v>0.104</v>
          </cell>
          <cell r="H163">
            <v>36.760365638841037</v>
          </cell>
          <cell r="I163">
            <v>36.214433100590036</v>
          </cell>
          <cell r="K163">
            <v>30</v>
          </cell>
          <cell r="L163">
            <v>54.064987232608814</v>
          </cell>
        </row>
        <row r="164">
          <cell r="A164" t="str">
            <v>35-44</v>
          </cell>
          <cell r="B164">
            <v>5294266</v>
          </cell>
          <cell r="C164">
            <v>414.62802134817213</v>
          </cell>
          <cell r="D164">
            <v>7.8316431654203269</v>
          </cell>
          <cell r="E164">
            <v>1</v>
          </cell>
          <cell r="G164">
            <v>0.104</v>
          </cell>
          <cell r="H164">
            <v>43.121314220209896</v>
          </cell>
          <cell r="I164">
            <v>42.480914482181056</v>
          </cell>
          <cell r="K164">
            <v>40</v>
          </cell>
          <cell r="L164">
            <v>56.452889093219277</v>
          </cell>
        </row>
        <row r="165">
          <cell r="A165" t="str">
            <v>45-54</v>
          </cell>
          <cell r="B165">
            <v>4801101</v>
          </cell>
          <cell r="C165">
            <v>834.23442374169099</v>
          </cell>
          <cell r="D165">
            <v>17.375898231295093</v>
          </cell>
          <cell r="E165">
            <v>1</v>
          </cell>
          <cell r="G165">
            <v>0.104</v>
          </cell>
          <cell r="H165">
            <v>86.760380069135863</v>
          </cell>
          <cell r="I165">
            <v>85.471891402398597</v>
          </cell>
          <cell r="K165">
            <v>50</v>
          </cell>
          <cell r="L165">
            <v>94.939421158520219</v>
          </cell>
        </row>
        <row r="166">
          <cell r="A166" t="str">
            <v>55-64</v>
          </cell>
          <cell r="B166">
            <v>3135377</v>
          </cell>
          <cell r="C166">
            <v>1345.5852768280304</v>
          </cell>
          <cell r="D166">
            <v>42.916219543232927</v>
          </cell>
          <cell r="E166">
            <v>1</v>
          </cell>
          <cell r="G166">
            <v>0.104</v>
          </cell>
          <cell r="H166">
            <v>139.94086879011516</v>
          </cell>
          <cell r="I166">
            <v>137.86259039500271</v>
          </cell>
          <cell r="K166">
            <v>59.9</v>
          </cell>
          <cell r="L166">
            <v>123.26587642692782</v>
          </cell>
        </row>
        <row r="167">
          <cell r="A167" t="str">
            <v>65-74</v>
          </cell>
          <cell r="B167">
            <v>1636415</v>
          </cell>
          <cell r="C167">
            <v>1009.9001549132153</v>
          </cell>
          <cell r="D167">
            <v>61.714183438383003</v>
          </cell>
          <cell r="E167">
            <v>1</v>
          </cell>
          <cell r="G167">
            <v>0.104</v>
          </cell>
          <cell r="H167">
            <v>105.02961611097439</v>
          </cell>
          <cell r="I167">
            <v>103.46980885882867</v>
          </cell>
          <cell r="K167">
            <v>69.8</v>
          </cell>
          <cell r="L167">
            <v>72.469248631328284</v>
          </cell>
        </row>
        <row r="168">
          <cell r="A168" t="str">
            <v>75+</v>
          </cell>
          <cell r="B168">
            <v>1005485</v>
          </cell>
          <cell r="C168">
            <v>626.56481442150891</v>
          </cell>
          <cell r="D168">
            <v>62.314685392771544</v>
          </cell>
          <cell r="E168">
            <v>1</v>
          </cell>
          <cell r="G168">
            <v>0.104</v>
          </cell>
          <cell r="H168">
            <v>65.162740699836931</v>
          </cell>
          <cell r="I168">
            <v>64.195001130019762</v>
          </cell>
          <cell r="K168">
            <v>80.7</v>
          </cell>
          <cell r="L168">
            <v>33.581065365925703</v>
          </cell>
        </row>
        <row r="169">
          <cell r="A169" t="str">
            <v>Total</v>
          </cell>
          <cell r="B169">
            <v>31922490</v>
          </cell>
          <cell r="C169">
            <v>4659.0534611524463</v>
          </cell>
          <cell r="E169">
            <v>1</v>
          </cell>
          <cell r="G169">
            <v>0.104</v>
          </cell>
          <cell r="H169">
            <v>484.54155995985434</v>
          </cell>
          <cell r="I169">
            <v>477.34557593956805</v>
          </cell>
          <cell r="L169">
            <v>445.71044517687716</v>
          </cell>
        </row>
        <row r="171">
          <cell r="A171" t="str">
            <v>Females</v>
          </cell>
        </row>
        <row r="172">
          <cell r="A172" t="str">
            <v>0-4</v>
          </cell>
          <cell r="B172">
            <v>1849075</v>
          </cell>
          <cell r="C172">
            <v>0</v>
          </cell>
          <cell r="D172">
            <v>0</v>
          </cell>
          <cell r="E172">
            <v>1</v>
          </cell>
          <cell r="G172">
            <v>0.104</v>
          </cell>
          <cell r="H172">
            <v>0</v>
          </cell>
          <cell r="I172">
            <v>0</v>
          </cell>
          <cell r="K172">
            <v>2.5</v>
          </cell>
          <cell r="L172">
            <v>0</v>
          </cell>
        </row>
        <row r="173">
          <cell r="A173" t="str">
            <v>5-14</v>
          </cell>
          <cell r="B173">
            <v>3940160</v>
          </cell>
          <cell r="C173">
            <v>14.736803784693542</v>
          </cell>
          <cell r="D173">
            <v>0.37401536446980688</v>
          </cell>
          <cell r="E173">
            <v>1</v>
          </cell>
          <cell r="G173">
            <v>0.104</v>
          </cell>
          <cell r="H173">
            <v>1.5326275936081284</v>
          </cell>
          <cell r="I173">
            <v>1.5098663599307371</v>
          </cell>
          <cell r="K173">
            <v>10</v>
          </cell>
          <cell r="L173">
            <v>1.7263931686179539</v>
          </cell>
        </row>
        <row r="174">
          <cell r="A174" t="str">
            <v>15-24</v>
          </cell>
          <cell r="B174">
            <v>4717317.1752900956</v>
          </cell>
          <cell r="C174">
            <v>90.526080391688893</v>
          </cell>
          <cell r="D174">
            <v>1.9190161913613943</v>
          </cell>
          <cell r="E174">
            <v>1</v>
          </cell>
          <cell r="G174">
            <v>0.104</v>
          </cell>
          <cell r="H174">
            <v>9.4147123607356438</v>
          </cell>
          <cell r="I174">
            <v>9.2748933538602412</v>
          </cell>
          <cell r="K174">
            <v>20</v>
          </cell>
          <cell r="L174">
            <v>13.88272204454552</v>
          </cell>
        </row>
        <row r="175">
          <cell r="A175" t="str">
            <v>25-34</v>
          </cell>
          <cell r="B175">
            <v>4883263</v>
          </cell>
          <cell r="C175">
            <v>434.73571164845947</v>
          </cell>
          <cell r="D175">
            <v>8.902566002454904</v>
          </cell>
          <cell r="E175">
            <v>1</v>
          </cell>
          <cell r="G175">
            <v>0.104</v>
          </cell>
          <cell r="H175">
            <v>45.212514011439779</v>
          </cell>
          <cell r="I175">
            <v>44.541057617956731</v>
          </cell>
          <cell r="K175">
            <v>30</v>
          </cell>
          <cell r="L175">
            <v>66.495910753397638</v>
          </cell>
        </row>
        <row r="176">
          <cell r="A176" t="str">
            <v>35-44</v>
          </cell>
          <cell r="B176">
            <v>5443392</v>
          </cell>
          <cell r="C176">
            <v>541.05122466660566</v>
          </cell>
          <cell r="D176">
            <v>9.9395969400441064</v>
          </cell>
          <cell r="E176">
            <v>1</v>
          </cell>
          <cell r="G176">
            <v>0.104</v>
          </cell>
          <cell r="H176">
            <v>56.269327365326987</v>
          </cell>
          <cell r="I176">
            <v>55.433664928885619</v>
          </cell>
          <cell r="K176">
            <v>40</v>
          </cell>
          <cell r="L176">
            <v>73.665799722218907</v>
          </cell>
        </row>
        <row r="177">
          <cell r="A177" t="str">
            <v>45-54</v>
          </cell>
          <cell r="B177">
            <v>5200726</v>
          </cell>
          <cell r="C177">
            <v>1108.4181703773072</v>
          </cell>
          <cell r="D177">
            <v>21.312758456748291</v>
          </cell>
          <cell r="E177">
            <v>1</v>
          </cell>
          <cell r="G177">
            <v>0.104</v>
          </cell>
          <cell r="H177">
            <v>115.27548971923994</v>
          </cell>
          <cell r="I177">
            <v>113.563519786219</v>
          </cell>
          <cell r="K177">
            <v>50</v>
          </cell>
          <cell r="L177">
            <v>126.14269622826231</v>
          </cell>
        </row>
        <row r="178">
          <cell r="A178" t="str">
            <v>55-64</v>
          </cell>
          <cell r="B178">
            <v>3562058</v>
          </cell>
          <cell r="C178">
            <v>1556.8380569686963</v>
          </cell>
          <cell r="D178">
            <v>43.706140017054643</v>
          </cell>
          <cell r="E178">
            <v>1</v>
          </cell>
          <cell r="G178">
            <v>0.104</v>
          </cell>
          <cell r="H178">
            <v>161.9111579247444</v>
          </cell>
          <cell r="I178">
            <v>159.50659616696856</v>
          </cell>
          <cell r="K178">
            <v>59.9</v>
          </cell>
          <cell r="L178">
            <v>142.61824267238003</v>
          </cell>
        </row>
        <row r="179">
          <cell r="A179" t="str">
            <v>65-74</v>
          </cell>
          <cell r="B179">
            <v>1977869.5356088658</v>
          </cell>
          <cell r="C179">
            <v>1542.1012531840029</v>
          </cell>
          <cell r="D179">
            <v>77.967794408102023</v>
          </cell>
          <cell r="E179">
            <v>1</v>
          </cell>
          <cell r="G179">
            <v>0.104</v>
          </cell>
          <cell r="H179">
            <v>160.37853033113629</v>
          </cell>
          <cell r="I179">
            <v>157.99672980703784</v>
          </cell>
          <cell r="K179">
            <v>69.900000000000006</v>
          </cell>
          <cell r="L179">
            <v>110.3744156150122</v>
          </cell>
        </row>
        <row r="180">
          <cell r="A180" t="str">
            <v>75+</v>
          </cell>
          <cell r="B180">
            <v>1458962.4462073003</v>
          </cell>
          <cell r="C180">
            <v>1085.2603358585029</v>
          </cell>
          <cell r="D180">
            <v>74.385762202428964</v>
          </cell>
          <cell r="E180">
            <v>1</v>
          </cell>
          <cell r="G180">
            <v>0.104</v>
          </cell>
          <cell r="H180">
            <v>112.8670749292843</v>
          </cell>
          <cell r="I180">
            <v>111.19087264918498</v>
          </cell>
          <cell r="K180">
            <v>81.3</v>
          </cell>
          <cell r="L180">
            <v>57.205374572623981</v>
          </cell>
        </row>
        <row r="181">
          <cell r="A181" t="str">
            <v>Total</v>
          </cell>
          <cell r="B181">
            <v>33032823.157106262</v>
          </cell>
          <cell r="C181">
            <v>6373.6676368799572</v>
          </cell>
          <cell r="E181">
            <v>1</v>
          </cell>
          <cell r="G181">
            <v>0.104</v>
          </cell>
          <cell r="H181">
            <v>662.8614342355155</v>
          </cell>
          <cell r="I181">
            <v>653.01720067004362</v>
          </cell>
          <cell r="L181">
            <v>592.11155477705859</v>
          </cell>
        </row>
        <row r="193">
          <cell r="C193">
            <v>7.1428571428571425E-2</v>
          </cell>
          <cell r="D193">
            <v>0.9285714285714286</v>
          </cell>
        </row>
        <row r="194">
          <cell r="C194">
            <v>1.9607843137254902E-2</v>
          </cell>
          <cell r="D194">
            <v>0.98039215686274506</v>
          </cell>
        </row>
        <row r="195">
          <cell r="C195">
            <v>4.1860465116279069E-2</v>
          </cell>
          <cell r="D195">
            <v>0.95813953488372094</v>
          </cell>
        </row>
        <row r="196">
          <cell r="C196">
            <v>9.6456692913385822E-2</v>
          </cell>
          <cell r="D196">
            <v>0.90354330708661412</v>
          </cell>
        </row>
        <row r="197">
          <cell r="C197">
            <v>0.22694394213381555</v>
          </cell>
          <cell r="D197">
            <v>0.77305605786618448</v>
          </cell>
        </row>
        <row r="198">
          <cell r="C198">
            <v>0.37408568443051204</v>
          </cell>
          <cell r="D198">
            <v>0.62591431556948796</v>
          </cell>
        </row>
        <row r="199">
          <cell r="C199">
            <v>0.45993413830954993</v>
          </cell>
          <cell r="D199">
            <v>0.54006586169045012</v>
          </cell>
        </row>
        <row r="200">
          <cell r="C200">
            <v>0.45807962529274004</v>
          </cell>
          <cell r="D200">
            <v>0.54192037470725996</v>
          </cell>
        </row>
        <row r="201">
          <cell r="C201">
            <v>0.3425655976676385</v>
          </cell>
          <cell r="D201">
            <v>0.6574344023323615</v>
          </cell>
        </row>
        <row r="205">
          <cell r="C205">
            <v>0.26666666666666666</v>
          </cell>
          <cell r="D205">
            <v>0.73333333333333339</v>
          </cell>
        </row>
        <row r="206">
          <cell r="C206">
            <v>5.128205128205128E-2</v>
          </cell>
          <cell r="D206">
            <v>0.94871794871794868</v>
          </cell>
        </row>
        <row r="207">
          <cell r="C207">
            <v>4.716981132075472E-2</v>
          </cell>
          <cell r="D207">
            <v>0.95283018867924529</v>
          </cell>
        </row>
        <row r="208">
          <cell r="C208">
            <v>0.1425233644859813</v>
          </cell>
          <cell r="D208">
            <v>0.85747663551401865</v>
          </cell>
        </row>
        <row r="209">
          <cell r="C209">
            <v>0.27446300715990452</v>
          </cell>
          <cell r="D209">
            <v>0.72553699284009543</v>
          </cell>
        </row>
        <row r="210">
          <cell r="C210">
            <v>0.45136681500317866</v>
          </cell>
          <cell r="D210">
            <v>0.54863318499682134</v>
          </cell>
        </row>
        <row r="211">
          <cell r="C211">
            <v>0.53933072577140373</v>
          </cell>
          <cell r="D211">
            <v>0.46066927422859627</v>
          </cell>
        </row>
        <row r="212">
          <cell r="C212">
            <v>0.53465346534653468</v>
          </cell>
          <cell r="D212">
            <v>0.46534653465346532</v>
          </cell>
        </row>
        <row r="213">
          <cell r="C213">
            <v>0.45379222434671768</v>
          </cell>
          <cell r="D213">
            <v>0.54620777565328238</v>
          </cell>
        </row>
      </sheetData>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YLD"/>
      <sheetName val="untreatedESRD"/>
      <sheetName val="incidence"/>
      <sheetName val="Basic"/>
      <sheetName val="Model summary"/>
      <sheetName val="Model summary (2)"/>
    </sheetNames>
    <sheetDataSet>
      <sheetData sheetId="0">
        <row r="117">
          <cell r="E117" t="str">
            <v>0-4</v>
          </cell>
          <cell r="F117">
            <v>0</v>
          </cell>
          <cell r="G117">
            <v>1</v>
          </cell>
        </row>
        <row r="118">
          <cell r="E118" t="str">
            <v>5-14</v>
          </cell>
          <cell r="F118">
            <v>8</v>
          </cell>
          <cell r="G118">
            <v>20</v>
          </cell>
        </row>
        <row r="119">
          <cell r="E119" t="str">
            <v>15-24</v>
          </cell>
          <cell r="F119">
            <v>13</v>
          </cell>
          <cell r="G119">
            <v>210</v>
          </cell>
        </row>
        <row r="120">
          <cell r="E120" t="str">
            <v>25-34</v>
          </cell>
          <cell r="F120">
            <v>64</v>
          </cell>
          <cell r="G120">
            <v>729</v>
          </cell>
        </row>
        <row r="121">
          <cell r="E121" t="str">
            <v>35-44</v>
          </cell>
          <cell r="F121">
            <v>165</v>
          </cell>
          <cell r="G121">
            <v>1018</v>
          </cell>
        </row>
        <row r="122">
          <cell r="E122" t="str">
            <v>45-54</v>
          </cell>
          <cell r="F122">
            <v>677</v>
          </cell>
          <cell r="G122">
            <v>1401</v>
          </cell>
        </row>
        <row r="123">
          <cell r="E123" t="str">
            <v>55-64</v>
          </cell>
          <cell r="F123">
            <v>955</v>
          </cell>
          <cell r="G123">
            <v>1328</v>
          </cell>
        </row>
        <row r="124">
          <cell r="E124" t="str">
            <v>65-74</v>
          </cell>
          <cell r="F124">
            <v>861</v>
          </cell>
          <cell r="G124">
            <v>1044</v>
          </cell>
        </row>
        <row r="125">
          <cell r="E125" t="str">
            <v>75-79</v>
          </cell>
          <cell r="F125">
            <v>283</v>
          </cell>
          <cell r="G125">
            <v>401</v>
          </cell>
        </row>
        <row r="126">
          <cell r="E126" t="str">
            <v>80+</v>
          </cell>
          <cell r="F126">
            <v>152</v>
          </cell>
          <cell r="G126">
            <v>306</v>
          </cell>
        </row>
        <row r="127">
          <cell r="F127">
            <v>39</v>
          </cell>
          <cell r="G127">
            <v>63</v>
          </cell>
        </row>
        <row r="129">
          <cell r="F129">
            <v>1</v>
          </cell>
          <cell r="G129">
            <v>1</v>
          </cell>
        </row>
        <row r="130">
          <cell r="F130">
            <v>4</v>
          </cell>
          <cell r="G130">
            <v>17</v>
          </cell>
        </row>
        <row r="131">
          <cell r="F131">
            <v>12</v>
          </cell>
          <cell r="G131">
            <v>146</v>
          </cell>
        </row>
        <row r="132">
          <cell r="F132">
            <v>61</v>
          </cell>
          <cell r="G132">
            <v>507</v>
          </cell>
        </row>
        <row r="133">
          <cell r="F133">
            <v>208</v>
          </cell>
          <cell r="G133">
            <v>812</v>
          </cell>
        </row>
        <row r="134">
          <cell r="F134">
            <v>557</v>
          </cell>
          <cell r="G134">
            <v>1054</v>
          </cell>
        </row>
        <row r="135">
          <cell r="F135">
            <v>1105</v>
          </cell>
          <cell r="G135">
            <v>1040</v>
          </cell>
        </row>
        <row r="136">
          <cell r="F136">
            <v>1138</v>
          </cell>
          <cell r="G136">
            <v>1104</v>
          </cell>
        </row>
        <row r="137">
          <cell r="F137">
            <v>404</v>
          </cell>
          <cell r="G137">
            <v>393</v>
          </cell>
        </row>
        <row r="138">
          <cell r="F138">
            <v>244</v>
          </cell>
          <cell r="G138">
            <v>316</v>
          </cell>
        </row>
        <row r="139">
          <cell r="F139">
            <v>45</v>
          </cell>
          <cell r="G139">
            <v>69</v>
          </cell>
        </row>
      </sheetData>
      <sheetData sheetId="1" refreshError="1"/>
      <sheetData sheetId="2" refreshError="1"/>
      <sheetData sheetId="3" refreshError="1"/>
      <sheetData sheetId="4" refreshError="1"/>
      <sheetData sheetId="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 tambon"/>
      <sheetName val="75Hosp"/>
      <sheetName val="NSB(2006) mai "/>
      <sheetName val="NSB(2006)"/>
      <sheetName val="NSB(2006) 2014 revision"/>
      <sheetName val="National Survey on Blindness(1)"/>
      <sheetName val="Comorb YLD"/>
      <sheetName val="Prev.Compare96vs06"/>
      <sheetName val="DRG2009_CATlens"/>
      <sheetName val="DISMOD_sevCAT(C)"/>
      <sheetName val="DISMOD_modCAT(C)"/>
      <sheetName val="Cataract (2009 Old)"/>
      <sheetName val="Cataract 2014"/>
      <sheetName val="Cataract lens 2014"/>
      <sheetName val="DISMOD_severeCat 2014"/>
      <sheetName val="DISMOD_ModeCat 2014"/>
      <sheetName val="Other vision loss (Old)"/>
      <sheetName val="Other vision loss 2014"/>
      <sheetName val="Compare Vision loss"/>
      <sheetName val="Other vision loss data"/>
      <sheetName val="Dismod_Other_Mod_2014"/>
      <sheetName val="Dismod_Other_Sev_2014"/>
      <sheetName val="DISMOD_modOther(2)"/>
      <sheetName val="Glaucoma"/>
      <sheetName val="DISMOD_sevOther(2)"/>
      <sheetName val="Glaucoma 2014"/>
      <sheetName val="DismodGlau mod 2014"/>
      <sheetName val="DismodGlau sev 2014"/>
      <sheetName val="DISMOD_modGlau(2)"/>
      <sheetName val="DISMOD_sevGlau(2)"/>
      <sheetName val="Model summary"/>
      <sheetName val="Method_CP"/>
      <sheetName val="Population 2014"/>
    </sheetNames>
    <sheetDataSet>
      <sheetData sheetId="0"/>
      <sheetData sheetId="1"/>
      <sheetData sheetId="2"/>
      <sheetData sheetId="3"/>
      <sheetData sheetId="4" refreshError="1"/>
      <sheetData sheetId="5"/>
      <sheetData sheetId="6"/>
      <sheetData sheetId="7"/>
      <sheetData sheetId="8"/>
      <sheetData sheetId="9"/>
      <sheetData sheetId="10"/>
      <sheetData sheetId="11"/>
      <sheetData sheetId="12">
        <row r="97">
          <cell r="H97">
            <v>0</v>
          </cell>
          <cell r="I97">
            <v>0</v>
          </cell>
          <cell r="K97">
            <v>0</v>
          </cell>
          <cell r="L97">
            <v>0</v>
          </cell>
        </row>
        <row r="98">
          <cell r="H98">
            <v>0</v>
          </cell>
          <cell r="I98">
            <v>0</v>
          </cell>
          <cell r="K98">
            <v>0</v>
          </cell>
          <cell r="L98">
            <v>0</v>
          </cell>
        </row>
        <row r="99">
          <cell r="H99">
            <v>0</v>
          </cell>
          <cell r="I99">
            <v>0</v>
          </cell>
          <cell r="K99">
            <v>0</v>
          </cell>
          <cell r="L99">
            <v>0</v>
          </cell>
        </row>
        <row r="100">
          <cell r="H100">
            <v>349.79300116690052</v>
          </cell>
          <cell r="I100">
            <v>255.14101020073153</v>
          </cell>
          <cell r="K100">
            <v>439.79</v>
          </cell>
          <cell r="L100">
            <v>2587</v>
          </cell>
        </row>
        <row r="101">
          <cell r="H101">
            <v>17097.480334251151</v>
          </cell>
          <cell r="I101">
            <v>13361.290895075314</v>
          </cell>
          <cell r="K101">
            <v>5713.5300000000007</v>
          </cell>
          <cell r="L101">
            <v>33609</v>
          </cell>
        </row>
        <row r="102">
          <cell r="H102">
            <v>33822.728127475435</v>
          </cell>
          <cell r="I102">
            <v>27939.709402981822</v>
          </cell>
          <cell r="K102">
            <v>14439.800000000001</v>
          </cell>
          <cell r="L102">
            <v>84940</v>
          </cell>
        </row>
        <row r="103">
          <cell r="H103">
            <v>18825.693364340175</v>
          </cell>
          <cell r="I103">
            <v>16270.682856884014</v>
          </cell>
          <cell r="K103">
            <v>25054.940000000002</v>
          </cell>
          <cell r="L103">
            <v>147382</v>
          </cell>
        </row>
        <row r="104">
          <cell r="H104">
            <v>1166.6919506307636</v>
          </cell>
          <cell r="I104">
            <v>1069.9374486776353</v>
          </cell>
          <cell r="K104">
            <v>10827.980000000001</v>
          </cell>
          <cell r="L104">
            <v>63694</v>
          </cell>
        </row>
        <row r="105">
          <cell r="H105">
            <v>71262.38677786442</v>
          </cell>
          <cell r="I105">
            <v>58896.761613819515</v>
          </cell>
          <cell r="K105">
            <v>56476.040000000008</v>
          </cell>
          <cell r="L105">
            <v>332212</v>
          </cell>
        </row>
        <row r="108">
          <cell r="H108">
            <v>0</v>
          </cell>
          <cell r="I108">
            <v>0</v>
          </cell>
          <cell r="K108">
            <v>0</v>
          </cell>
          <cell r="L108">
            <v>0</v>
          </cell>
        </row>
        <row r="109">
          <cell r="H109">
            <v>0</v>
          </cell>
          <cell r="I109">
            <v>0</v>
          </cell>
          <cell r="K109">
            <v>0</v>
          </cell>
          <cell r="L109">
            <v>0</v>
          </cell>
        </row>
        <row r="110">
          <cell r="H110">
            <v>0</v>
          </cell>
          <cell r="I110">
            <v>0</v>
          </cell>
          <cell r="K110">
            <v>0</v>
          </cell>
          <cell r="L110">
            <v>0</v>
          </cell>
        </row>
        <row r="111">
          <cell r="H111">
            <v>1758.0022907518587</v>
          </cell>
          <cell r="I111">
            <v>1270.0565629270561</v>
          </cell>
          <cell r="K111">
            <v>1022.8900000000001</v>
          </cell>
          <cell r="L111">
            <v>6017</v>
          </cell>
        </row>
        <row r="112">
          <cell r="H112">
            <v>23231.95616320935</v>
          </cell>
          <cell r="I112">
            <v>17865.073067934823</v>
          </cell>
          <cell r="K112">
            <v>6758.18</v>
          </cell>
          <cell r="L112">
            <v>39754</v>
          </cell>
        </row>
        <row r="113">
          <cell r="H113">
            <v>63857.33703241629</v>
          </cell>
          <cell r="I113">
            <v>52111.989095979028</v>
          </cell>
          <cell r="K113">
            <v>22599.97</v>
          </cell>
          <cell r="L113">
            <v>132941</v>
          </cell>
        </row>
        <row r="114">
          <cell r="H114">
            <v>33691.366134146112</v>
          </cell>
          <cell r="I114">
            <v>28690.193941172176</v>
          </cell>
          <cell r="K114">
            <v>40543.130000000005</v>
          </cell>
          <cell r="L114">
            <v>238489</v>
          </cell>
        </row>
        <row r="115">
          <cell r="H115">
            <v>4758.5672180944157</v>
          </cell>
          <cell r="I115">
            <v>4273.0139135520767</v>
          </cell>
          <cell r="K115">
            <v>21010.300000000003</v>
          </cell>
          <cell r="L115">
            <v>123590</v>
          </cell>
        </row>
        <row r="116">
          <cell r="H116">
            <v>127297.22883861802</v>
          </cell>
          <cell r="I116">
            <v>104210.32658156517</v>
          </cell>
          <cell r="K116">
            <v>91934.470000000016</v>
          </cell>
          <cell r="L116">
            <v>540791</v>
          </cell>
        </row>
        <row r="127">
          <cell r="H127">
            <v>0</v>
          </cell>
          <cell r="I127">
            <v>0</v>
          </cell>
          <cell r="K127">
            <v>0</v>
          </cell>
          <cell r="L127">
            <v>0</v>
          </cell>
        </row>
        <row r="128">
          <cell r="H128">
            <v>0</v>
          </cell>
          <cell r="I128">
            <v>0</v>
          </cell>
          <cell r="K128">
            <v>0</v>
          </cell>
          <cell r="L128">
            <v>0</v>
          </cell>
        </row>
        <row r="129">
          <cell r="H129">
            <v>0</v>
          </cell>
          <cell r="I129">
            <v>0</v>
          </cell>
          <cell r="K129">
            <v>0</v>
          </cell>
          <cell r="L129">
            <v>0</v>
          </cell>
        </row>
        <row r="130">
          <cell r="H130">
            <v>2488.1935790735997</v>
          </cell>
          <cell r="I130">
            <v>2377.6403080308542</v>
          </cell>
          <cell r="K130">
            <v>2587.31</v>
          </cell>
          <cell r="L130">
            <v>6017</v>
          </cell>
        </row>
        <row r="131">
          <cell r="H131">
            <v>4098.7090531593358</v>
          </cell>
          <cell r="I131">
            <v>3957.8216144499411</v>
          </cell>
          <cell r="K131">
            <v>17094.22</v>
          </cell>
          <cell r="L131">
            <v>39754</v>
          </cell>
        </row>
        <row r="132">
          <cell r="H132">
            <v>3565.4610799768348</v>
          </cell>
          <cell r="I132">
            <v>3470.1795255358506</v>
          </cell>
          <cell r="K132">
            <v>57164.63</v>
          </cell>
          <cell r="L132">
            <v>132941</v>
          </cell>
        </row>
        <row r="133">
          <cell r="H133">
            <v>7219.4755546290289</v>
          </cell>
          <cell r="I133">
            <v>7043.2215819535813</v>
          </cell>
          <cell r="K133">
            <v>102550.27</v>
          </cell>
          <cell r="L133">
            <v>238489</v>
          </cell>
        </row>
        <row r="134">
          <cell r="H134">
            <v>3173.741804331205</v>
          </cell>
          <cell r="I134">
            <v>3110.0159593052545</v>
          </cell>
          <cell r="K134">
            <v>53143.7</v>
          </cell>
          <cell r="L134">
            <v>123590</v>
          </cell>
        </row>
        <row r="135">
          <cell r="H135">
            <v>20545.581071170003</v>
          </cell>
          <cell r="I135">
            <v>19958.878989275483</v>
          </cell>
          <cell r="K135">
            <v>232540.13</v>
          </cell>
          <cell r="L135">
            <v>540791</v>
          </cell>
        </row>
        <row r="138">
          <cell r="H138">
            <v>0</v>
          </cell>
          <cell r="I138">
            <v>0</v>
          </cell>
          <cell r="K138">
            <v>0</v>
          </cell>
          <cell r="L138">
            <v>0</v>
          </cell>
        </row>
        <row r="139">
          <cell r="H139">
            <v>0</v>
          </cell>
          <cell r="I139">
            <v>0</v>
          </cell>
          <cell r="K139">
            <v>0</v>
          </cell>
          <cell r="L139">
            <v>0</v>
          </cell>
        </row>
        <row r="140">
          <cell r="H140">
            <v>0</v>
          </cell>
          <cell r="I140">
            <v>0</v>
          </cell>
          <cell r="K140">
            <v>0</v>
          </cell>
          <cell r="L140">
            <v>0</v>
          </cell>
        </row>
        <row r="141">
          <cell r="H141">
            <v>784.35575565807619</v>
          </cell>
          <cell r="I141">
            <v>755.35285386946975</v>
          </cell>
          <cell r="K141">
            <v>2223.96</v>
          </cell>
          <cell r="L141">
            <v>5172</v>
          </cell>
        </row>
        <row r="142">
          <cell r="H142">
            <v>4334.2213587875995</v>
          </cell>
          <cell r="I142">
            <v>4185.2440950498831</v>
          </cell>
          <cell r="K142">
            <v>4219.59</v>
          </cell>
          <cell r="L142">
            <v>9813</v>
          </cell>
        </row>
        <row r="143">
          <cell r="H143">
            <v>9631.540042819428</v>
          </cell>
          <cell r="I143">
            <v>9355.7319485863154</v>
          </cell>
          <cell r="K143">
            <v>2923.57</v>
          </cell>
          <cell r="L143">
            <v>6799</v>
          </cell>
        </row>
        <row r="144">
          <cell r="H144">
            <v>14008.594221095529</v>
          </cell>
          <cell r="I144">
            <v>13581.273337307512</v>
          </cell>
          <cell r="K144">
            <v>8759.1</v>
          </cell>
          <cell r="L144">
            <v>20370</v>
          </cell>
        </row>
        <row r="145">
          <cell r="H145">
            <v>6747.9197705178449</v>
          </cell>
          <cell r="I145">
            <v>6571.1875215802957</v>
          </cell>
          <cell r="K145">
            <v>3785.29</v>
          </cell>
          <cell r="L145">
            <v>8803</v>
          </cell>
        </row>
        <row r="146">
          <cell r="H146">
            <v>35506.631148878478</v>
          </cell>
          <cell r="I146">
            <v>34448.789756393475</v>
          </cell>
          <cell r="K146">
            <v>21911.510000000002</v>
          </cell>
          <cell r="L146">
            <v>50957</v>
          </cell>
        </row>
      </sheetData>
      <sheetData sheetId="13"/>
      <sheetData sheetId="14"/>
      <sheetData sheetId="15"/>
      <sheetData sheetId="16"/>
      <sheetData sheetId="17">
        <row r="135">
          <cell r="C135">
            <v>7686.750945562022</v>
          </cell>
        </row>
      </sheetData>
      <sheetData sheetId="18" refreshError="1"/>
      <sheetData sheetId="19" refreshError="1"/>
      <sheetData sheetId="20"/>
      <sheetData sheetId="21"/>
      <sheetData sheetId="22"/>
      <sheetData sheetId="23"/>
      <sheetData sheetId="24"/>
      <sheetData sheetId="25">
        <row r="71">
          <cell r="H71">
            <v>0</v>
          </cell>
          <cell r="I71">
            <v>0</v>
          </cell>
          <cell r="K71">
            <v>0</v>
          </cell>
          <cell r="L71">
            <v>0</v>
          </cell>
        </row>
        <row r="72">
          <cell r="H72">
            <v>0</v>
          </cell>
          <cell r="I72">
            <v>0</v>
          </cell>
          <cell r="K72">
            <v>0</v>
          </cell>
          <cell r="L72">
            <v>0</v>
          </cell>
        </row>
        <row r="73">
          <cell r="H73">
            <v>0</v>
          </cell>
          <cell r="I73">
            <v>0</v>
          </cell>
          <cell r="K73">
            <v>0</v>
          </cell>
          <cell r="L73">
            <v>0</v>
          </cell>
        </row>
        <row r="74">
          <cell r="H74">
            <v>2110.6223761031665</v>
          </cell>
          <cell r="I74">
            <v>1694.5262082643546</v>
          </cell>
          <cell r="K74">
            <v>1958.3895021419237</v>
          </cell>
          <cell r="L74">
            <v>11640</v>
          </cell>
        </row>
        <row r="75">
          <cell r="H75">
            <v>3254.6725675335306</v>
          </cell>
          <cell r="I75">
            <v>2701.8326656780296</v>
          </cell>
          <cell r="K75">
            <v>2572.2714337759703</v>
          </cell>
          <cell r="L75">
            <v>15375</v>
          </cell>
        </row>
        <row r="76">
          <cell r="H76">
            <v>1460.6379590706556</v>
          </cell>
          <cell r="I76">
            <v>1255.4555899806585</v>
          </cell>
          <cell r="K76">
            <v>1892.5609785556242</v>
          </cell>
          <cell r="L76">
            <v>11299</v>
          </cell>
        </row>
        <row r="77">
          <cell r="H77">
            <v>4992.0425772253593</v>
          </cell>
          <cell r="I77">
            <v>4456.456981728059</v>
          </cell>
          <cell r="K77">
            <v>4807.3050748060923</v>
          </cell>
          <cell r="L77">
            <v>28758</v>
          </cell>
        </row>
        <row r="78">
          <cell r="H78">
            <v>427.32645505450199</v>
          </cell>
          <cell r="I78">
            <v>396.11869951336632</v>
          </cell>
          <cell r="K78">
            <v>2019.3142443945319</v>
          </cell>
          <cell r="L78">
            <v>12428</v>
          </cell>
        </row>
        <row r="79">
          <cell r="H79">
            <v>12245.301934987216</v>
          </cell>
          <cell r="I79">
            <v>10504.390145164469</v>
          </cell>
          <cell r="K79">
            <v>13249.841233674142</v>
          </cell>
          <cell r="L79">
            <v>79500</v>
          </cell>
        </row>
        <row r="82">
          <cell r="H82">
            <v>0</v>
          </cell>
          <cell r="I82">
            <v>0</v>
          </cell>
          <cell r="K82">
            <v>0</v>
          </cell>
          <cell r="L82">
            <v>0</v>
          </cell>
        </row>
        <row r="83">
          <cell r="H83">
            <v>0</v>
          </cell>
          <cell r="I83">
            <v>0</v>
          </cell>
          <cell r="K83">
            <v>0</v>
          </cell>
          <cell r="L83">
            <v>0</v>
          </cell>
        </row>
        <row r="84">
          <cell r="H84">
            <v>0</v>
          </cell>
          <cell r="I84">
            <v>0</v>
          </cell>
          <cell r="K84">
            <v>0</v>
          </cell>
          <cell r="L84">
            <v>0</v>
          </cell>
        </row>
        <row r="85">
          <cell r="H85">
            <v>1125.2241866069287</v>
          </cell>
          <cell r="I85">
            <v>887.13118480459536</v>
          </cell>
          <cell r="K85">
            <v>760.33059018202107</v>
          </cell>
          <cell r="L85">
            <v>4514</v>
          </cell>
        </row>
        <row r="86">
          <cell r="H86">
            <v>2604.5962892821012</v>
          </cell>
          <cell r="I86">
            <v>2110.9166313911578</v>
          </cell>
          <cell r="K86">
            <v>1898.070631365267</v>
          </cell>
          <cell r="L86">
            <v>11268</v>
          </cell>
        </row>
        <row r="87">
          <cell r="H87">
            <v>5947.2974722699437</v>
          </cell>
          <cell r="I87">
            <v>5043.6967666543424</v>
          </cell>
          <cell r="K87">
            <v>2714.3722398576419</v>
          </cell>
          <cell r="L87">
            <v>16242</v>
          </cell>
        </row>
        <row r="88">
          <cell r="H88">
            <v>2646.9901022872245</v>
          </cell>
          <cell r="I88">
            <v>2309.5971950055564</v>
          </cell>
          <cell r="K88">
            <v>3846.9916177981022</v>
          </cell>
          <cell r="L88">
            <v>23216</v>
          </cell>
        </row>
        <row r="89">
          <cell r="H89">
            <v>670.31919067975844</v>
          </cell>
          <cell r="I89">
            <v>609.17313662646677</v>
          </cell>
          <cell r="K89">
            <v>1918.4931198883312</v>
          </cell>
          <cell r="L89">
            <v>12031</v>
          </cell>
        </row>
        <row r="90">
          <cell r="H90">
            <v>12994.427241125955</v>
          </cell>
          <cell r="I90">
            <v>10960.514914482117</v>
          </cell>
          <cell r="K90">
            <v>11138.258199091364</v>
          </cell>
          <cell r="L90">
            <v>67271</v>
          </cell>
        </row>
        <row r="101">
          <cell r="H101">
            <v>0</v>
          </cell>
          <cell r="I101">
            <v>0</v>
          </cell>
          <cell r="K101">
            <v>0</v>
          </cell>
          <cell r="L101">
            <v>0</v>
          </cell>
        </row>
        <row r="102">
          <cell r="H102">
            <v>0</v>
          </cell>
          <cell r="I102">
            <v>0</v>
          </cell>
          <cell r="K102">
            <v>0</v>
          </cell>
          <cell r="L102">
            <v>0</v>
          </cell>
        </row>
        <row r="103">
          <cell r="H103">
            <v>0</v>
          </cell>
          <cell r="I103">
            <v>0</v>
          </cell>
          <cell r="K103">
            <v>0</v>
          </cell>
          <cell r="L103">
            <v>0</v>
          </cell>
        </row>
        <row r="104">
          <cell r="H104">
            <v>523.31709847589639</v>
          </cell>
          <cell r="I104">
            <v>364.86158591063298</v>
          </cell>
          <cell r="K104">
            <v>0</v>
          </cell>
          <cell r="L104">
            <v>0</v>
          </cell>
        </row>
        <row r="105">
          <cell r="H105">
            <v>1561.0645922847191</v>
          </cell>
          <cell r="I105">
            <v>1176.1543755141395</v>
          </cell>
          <cell r="K105">
            <v>895.28374141344523</v>
          </cell>
          <cell r="L105">
            <v>2090</v>
          </cell>
        </row>
        <row r="106">
          <cell r="H106">
            <v>220.40995667818072</v>
          </cell>
          <cell r="I106">
            <v>186.24069971130473</v>
          </cell>
          <cell r="K106">
            <v>477.60416507310651</v>
          </cell>
          <cell r="L106">
            <v>1116</v>
          </cell>
        </row>
        <row r="107">
          <cell r="H107">
            <v>140.32590455219727</v>
          </cell>
          <cell r="I107">
            <v>126.25020834653309</v>
          </cell>
          <cell r="K107">
            <v>324.87344194449309</v>
          </cell>
          <cell r="L107">
            <v>760</v>
          </cell>
        </row>
        <row r="108">
          <cell r="H108">
            <v>53.16558411001526</v>
          </cell>
          <cell r="I108">
            <v>50.454574049401963</v>
          </cell>
          <cell r="K108">
            <v>140.01907455310027</v>
          </cell>
          <cell r="L108">
            <v>329</v>
          </cell>
        </row>
        <row r="109">
          <cell r="H109">
            <v>2498.2831361010085</v>
          </cell>
          <cell r="I109">
            <v>1903.9614435320123</v>
          </cell>
          <cell r="K109">
            <v>1837.7804229841454</v>
          </cell>
          <cell r="L109">
            <v>4295</v>
          </cell>
        </row>
        <row r="112">
          <cell r="H112">
            <v>0</v>
          </cell>
          <cell r="I112">
            <v>0</v>
          </cell>
          <cell r="K112">
            <v>0</v>
          </cell>
          <cell r="L112">
            <v>0</v>
          </cell>
        </row>
        <row r="113">
          <cell r="H113">
            <v>0</v>
          </cell>
          <cell r="I113">
            <v>0</v>
          </cell>
          <cell r="K113">
            <v>0</v>
          </cell>
          <cell r="L113">
            <v>0</v>
          </cell>
        </row>
        <row r="114">
          <cell r="H114">
            <v>0</v>
          </cell>
          <cell r="I114">
            <v>0</v>
          </cell>
          <cell r="K114">
            <v>0</v>
          </cell>
          <cell r="L114">
            <v>0</v>
          </cell>
        </row>
        <row r="115">
          <cell r="H115">
            <v>625.74636224756546</v>
          </cell>
          <cell r="I115">
            <v>380.67759652316425</v>
          </cell>
          <cell r="K115">
            <v>1288.8930416578537</v>
          </cell>
          <cell r="L115">
            <v>3007</v>
          </cell>
        </row>
        <row r="116">
          <cell r="H116">
            <v>937.31350398679001</v>
          </cell>
          <cell r="I116">
            <v>687.85379732941317</v>
          </cell>
          <cell r="K116">
            <v>1687.4532157339399</v>
          </cell>
          <cell r="L116">
            <v>3938</v>
          </cell>
        </row>
        <row r="117">
          <cell r="H117">
            <v>432.53219233224058</v>
          </cell>
          <cell r="I117">
            <v>352.12117057136243</v>
          </cell>
          <cell r="K117">
            <v>954.93749373203843</v>
          </cell>
          <cell r="L117">
            <v>2236</v>
          </cell>
        </row>
        <row r="118">
          <cell r="H118">
            <v>301.19557279968467</v>
          </cell>
          <cell r="I118">
            <v>264.63938426801957</v>
          </cell>
          <cell r="K118">
            <v>716.5621998692186</v>
          </cell>
          <cell r="L118">
            <v>1683</v>
          </cell>
        </row>
        <row r="119">
          <cell r="H119">
            <v>139.16431020861057</v>
          </cell>
          <cell r="I119">
            <v>129.65424217885283</v>
          </cell>
          <cell r="K119">
            <v>368.19444574262189</v>
          </cell>
          <cell r="L119">
            <v>872</v>
          </cell>
        </row>
        <row r="120">
          <cell r="H120">
            <v>2435.9519415748914</v>
          </cell>
          <cell r="I120">
            <v>1814.9461908708122</v>
          </cell>
          <cell r="K120">
            <v>5016.0403967356724</v>
          </cell>
          <cell r="L120">
            <v>11736</v>
          </cell>
        </row>
      </sheetData>
      <sheetData sheetId="26"/>
      <sheetData sheetId="27"/>
      <sheetData sheetId="28"/>
      <sheetData sheetId="29"/>
      <sheetData sheetId="30"/>
      <sheetData sheetId="31"/>
      <sheetData sheetId="32"/>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4">
          <cell r="T4" t="str">
            <v>Sex</v>
          </cell>
          <cell r="U4" t="str">
            <v>Age</v>
          </cell>
          <cell r="V4" t="str">
            <v>Number</v>
          </cell>
          <cell r="Y4" t="str">
            <v>Sex</v>
          </cell>
          <cell r="Z4" t="str">
            <v>Age</v>
          </cell>
          <cell r="AA4" t="str">
            <v>Number</v>
          </cell>
          <cell r="AD4" t="str">
            <v>Sex</v>
          </cell>
          <cell r="AE4" t="str">
            <v>Age</v>
          </cell>
          <cell r="AF4" t="str">
            <v>Number</v>
          </cell>
          <cell r="AI4" t="str">
            <v>Sex</v>
          </cell>
          <cell r="AJ4" t="str">
            <v>Age</v>
          </cell>
          <cell r="AK4" t="str">
            <v>Number</v>
          </cell>
          <cell r="AN4" t="str">
            <v>Sex</v>
          </cell>
          <cell r="AO4" t="str">
            <v>Age</v>
          </cell>
          <cell r="AP4" t="str">
            <v>Number</v>
          </cell>
          <cell r="AS4" t="str">
            <v>Sex</v>
          </cell>
          <cell r="AT4" t="str">
            <v>Age</v>
          </cell>
          <cell r="AU4" t="str">
            <v>Number</v>
          </cell>
          <cell r="AX4" t="str">
            <v>Sex</v>
          </cell>
          <cell r="AY4" t="str">
            <v>Age</v>
          </cell>
          <cell r="AZ4" t="str">
            <v>Number</v>
          </cell>
          <cell r="BC4" t="str">
            <v>Sex</v>
          </cell>
          <cell r="BD4" t="str">
            <v>Age</v>
          </cell>
          <cell r="BE4" t="str">
            <v>Number</v>
          </cell>
          <cell r="BM4" t="str">
            <v>Sex</v>
          </cell>
          <cell r="BN4" t="str">
            <v>Age</v>
          </cell>
          <cell r="BO4" t="str">
            <v>Number</v>
          </cell>
          <cell r="BR4" t="str">
            <v>Sex</v>
          </cell>
          <cell r="BS4" t="str">
            <v>Age</v>
          </cell>
          <cell r="BT4" t="str">
            <v>Number</v>
          </cell>
        </row>
        <row r="5">
          <cell r="T5" t="str">
            <v>Males</v>
          </cell>
          <cell r="U5" t="str">
            <v xml:space="preserve">  0 - 4</v>
          </cell>
          <cell r="V5">
            <v>0</v>
          </cell>
          <cell r="Y5" t="str">
            <v>Males</v>
          </cell>
          <cell r="Z5" t="str">
            <v xml:space="preserve">  0 - 4</v>
          </cell>
          <cell r="AA5">
            <v>0</v>
          </cell>
          <cell r="AD5" t="str">
            <v>Males</v>
          </cell>
          <cell r="AE5" t="str">
            <v xml:space="preserve">  0 - 4</v>
          </cell>
          <cell r="AF5">
            <v>0</v>
          </cell>
          <cell r="AI5" t="str">
            <v>Males</v>
          </cell>
          <cell r="AJ5" t="str">
            <v xml:space="preserve">  0 - 4</v>
          </cell>
          <cell r="AK5">
            <v>1</v>
          </cell>
          <cell r="AN5" t="str">
            <v>Males</v>
          </cell>
          <cell r="AO5" t="str">
            <v xml:space="preserve">  0 - 4</v>
          </cell>
          <cell r="AP5">
            <v>0</v>
          </cell>
          <cell r="AS5" t="str">
            <v>Males</v>
          </cell>
          <cell r="AT5" t="str">
            <v xml:space="preserve">  0 - 4</v>
          </cell>
          <cell r="AU5">
            <v>0</v>
          </cell>
          <cell r="AX5" t="str">
            <v>Males</v>
          </cell>
          <cell r="AY5" t="str">
            <v xml:space="preserve">  0 - 4</v>
          </cell>
          <cell r="AZ5">
            <v>0</v>
          </cell>
          <cell r="BC5" t="str">
            <v>Males</v>
          </cell>
          <cell r="BD5" t="str">
            <v xml:space="preserve">  0 - 4</v>
          </cell>
          <cell r="BE5">
            <v>0</v>
          </cell>
          <cell r="BM5" t="str">
            <v>Males</v>
          </cell>
          <cell r="BN5" t="str">
            <v xml:space="preserve">  0 - 4</v>
          </cell>
          <cell r="BO5">
            <v>0</v>
          </cell>
          <cell r="BR5" t="str">
            <v>Males</v>
          </cell>
          <cell r="BS5" t="str">
            <v xml:space="preserve">  0 - 4</v>
          </cell>
          <cell r="BT5">
            <v>0</v>
          </cell>
        </row>
        <row r="6">
          <cell r="U6" t="str">
            <v xml:space="preserve"> 5-14</v>
          </cell>
          <cell r="V6">
            <v>0</v>
          </cell>
          <cell r="Z6" t="str">
            <v xml:space="preserve"> 5-14</v>
          </cell>
          <cell r="AA6">
            <v>0</v>
          </cell>
          <cell r="AE6" t="str">
            <v xml:space="preserve"> 5-14</v>
          </cell>
          <cell r="AF6">
            <v>0</v>
          </cell>
          <cell r="AJ6" t="str">
            <v xml:space="preserve"> 5-14</v>
          </cell>
          <cell r="AK6">
            <v>0</v>
          </cell>
          <cell r="AO6" t="str">
            <v xml:space="preserve"> 5-14</v>
          </cell>
          <cell r="AP6">
            <v>0</v>
          </cell>
          <cell r="AT6" t="str">
            <v xml:space="preserve"> 5-14</v>
          </cell>
          <cell r="AU6">
            <v>0</v>
          </cell>
          <cell r="AY6" t="str">
            <v xml:space="preserve"> 5-14</v>
          </cell>
          <cell r="AZ6">
            <v>0</v>
          </cell>
          <cell r="BD6" t="str">
            <v xml:space="preserve"> 5-14</v>
          </cell>
          <cell r="BE6">
            <v>0</v>
          </cell>
          <cell r="BN6" t="str">
            <v xml:space="preserve"> 5-14</v>
          </cell>
          <cell r="BO6">
            <v>0</v>
          </cell>
          <cell r="BS6" t="str">
            <v xml:space="preserve"> 5-14</v>
          </cell>
          <cell r="BT6">
            <v>0</v>
          </cell>
        </row>
        <row r="7">
          <cell r="U7" t="str">
            <v xml:space="preserve"> 15-29</v>
          </cell>
          <cell r="V7">
            <v>0</v>
          </cell>
          <cell r="Z7" t="str">
            <v xml:space="preserve"> 15-29</v>
          </cell>
          <cell r="AA7">
            <v>3</v>
          </cell>
          <cell r="AE7" t="str">
            <v xml:space="preserve"> 15-29</v>
          </cell>
          <cell r="AF7">
            <v>0</v>
          </cell>
          <cell r="AJ7" t="str">
            <v xml:space="preserve"> 15-29</v>
          </cell>
          <cell r="AK7">
            <v>2</v>
          </cell>
          <cell r="AO7" t="str">
            <v xml:space="preserve"> 15-29</v>
          </cell>
          <cell r="AP7">
            <v>0</v>
          </cell>
          <cell r="AT7" t="str">
            <v xml:space="preserve"> 15-29</v>
          </cell>
          <cell r="AU7">
            <v>3</v>
          </cell>
          <cell r="AY7" t="str">
            <v xml:space="preserve"> 15-29</v>
          </cell>
          <cell r="AZ7">
            <v>0</v>
          </cell>
          <cell r="BD7" t="str">
            <v xml:space="preserve"> 15-29</v>
          </cell>
          <cell r="BE7">
            <v>0</v>
          </cell>
          <cell r="BN7" t="str">
            <v xml:space="preserve"> 15-29</v>
          </cell>
          <cell r="BO7">
            <v>9</v>
          </cell>
          <cell r="BS7" t="str">
            <v xml:space="preserve"> 15-29</v>
          </cell>
          <cell r="BT7">
            <v>4</v>
          </cell>
        </row>
        <row r="8">
          <cell r="U8" t="str">
            <v xml:space="preserve"> 30-44</v>
          </cell>
          <cell r="V8">
            <v>0</v>
          </cell>
          <cell r="Z8" t="str">
            <v xml:space="preserve"> 30-44</v>
          </cell>
          <cell r="AA8">
            <v>76.519237452569499</v>
          </cell>
          <cell r="AE8" t="str">
            <v xml:space="preserve"> 30-44</v>
          </cell>
          <cell r="AF8">
            <v>0</v>
          </cell>
          <cell r="AJ8" t="str">
            <v xml:space="preserve"> 30-44</v>
          </cell>
          <cell r="AK8">
            <v>14.529957839840494</v>
          </cell>
          <cell r="AO8" t="str">
            <v xml:space="preserve"> 30-44</v>
          </cell>
          <cell r="AP8">
            <v>0</v>
          </cell>
          <cell r="AT8" t="str">
            <v xml:space="preserve"> 30-44</v>
          </cell>
          <cell r="AU8">
            <v>7.3241220495106507</v>
          </cell>
          <cell r="AY8" t="str">
            <v xml:space="preserve"> 30-44</v>
          </cell>
          <cell r="AZ8">
            <v>1</v>
          </cell>
          <cell r="BD8" t="str">
            <v xml:space="preserve"> 30-44</v>
          </cell>
          <cell r="BE8">
            <v>0</v>
          </cell>
          <cell r="BN8" t="str">
            <v xml:space="preserve"> 30-44</v>
          </cell>
          <cell r="BO8">
            <v>220.74353180727755</v>
          </cell>
          <cell r="BS8" t="str">
            <v xml:space="preserve"> 30-44</v>
          </cell>
          <cell r="BT8">
            <v>7.1029178951649214</v>
          </cell>
        </row>
        <row r="9">
          <cell r="U9" t="str">
            <v xml:space="preserve"> 45-59</v>
          </cell>
          <cell r="V9">
            <v>1</v>
          </cell>
          <cell r="Z9" t="str">
            <v xml:space="preserve"> 45-59</v>
          </cell>
          <cell r="AA9">
            <v>336</v>
          </cell>
          <cell r="AE9" t="str">
            <v xml:space="preserve"> 45-59</v>
          </cell>
          <cell r="AF9">
            <v>3</v>
          </cell>
          <cell r="AJ9" t="str">
            <v xml:space="preserve"> 45-59</v>
          </cell>
          <cell r="AK9">
            <v>64</v>
          </cell>
          <cell r="AO9" t="str">
            <v xml:space="preserve"> 45-59</v>
          </cell>
          <cell r="AP9">
            <v>0</v>
          </cell>
          <cell r="AT9" t="str">
            <v xml:space="preserve"> 45-59</v>
          </cell>
          <cell r="AU9">
            <v>2</v>
          </cell>
          <cell r="AY9" t="str">
            <v xml:space="preserve"> 45-59</v>
          </cell>
          <cell r="AZ9">
            <v>0</v>
          </cell>
          <cell r="BD9" t="str">
            <v xml:space="preserve"> 45-59</v>
          </cell>
          <cell r="BE9">
            <v>0</v>
          </cell>
          <cell r="BN9" t="str">
            <v xml:space="preserve"> 45-59</v>
          </cell>
          <cell r="BO9">
            <v>989</v>
          </cell>
          <cell r="BS9" t="str">
            <v xml:space="preserve"> 45-59</v>
          </cell>
          <cell r="BT9">
            <v>5</v>
          </cell>
        </row>
        <row r="10">
          <cell r="U10" t="str">
            <v xml:space="preserve"> 60-69</v>
          </cell>
          <cell r="V10">
            <v>0</v>
          </cell>
          <cell r="Z10" t="str">
            <v xml:space="preserve"> 60-69</v>
          </cell>
          <cell r="AA10">
            <v>299</v>
          </cell>
          <cell r="AE10" t="str">
            <v xml:space="preserve"> 60-69</v>
          </cell>
          <cell r="AF10">
            <v>0</v>
          </cell>
          <cell r="AJ10" t="str">
            <v xml:space="preserve"> 60-69</v>
          </cell>
          <cell r="AK10">
            <v>37</v>
          </cell>
          <cell r="AO10" t="str">
            <v xml:space="preserve"> 60-69</v>
          </cell>
          <cell r="AP10">
            <v>0</v>
          </cell>
          <cell r="AT10" t="str">
            <v xml:space="preserve"> 60-69</v>
          </cell>
          <cell r="AU10">
            <v>2</v>
          </cell>
          <cell r="AY10" t="str">
            <v xml:space="preserve"> 60-69</v>
          </cell>
          <cell r="AZ10">
            <v>0</v>
          </cell>
          <cell r="BD10" t="str">
            <v xml:space="preserve"> 60-69</v>
          </cell>
          <cell r="BE10">
            <v>0</v>
          </cell>
          <cell r="BN10" t="str">
            <v xml:space="preserve"> 60-69</v>
          </cell>
          <cell r="BO10">
            <v>808</v>
          </cell>
          <cell r="BS10" t="str">
            <v xml:space="preserve"> 60-69</v>
          </cell>
          <cell r="BT10">
            <v>5</v>
          </cell>
        </row>
        <row r="11">
          <cell r="U11" t="str">
            <v xml:space="preserve"> 70-79</v>
          </cell>
          <cell r="V11">
            <v>0</v>
          </cell>
          <cell r="Z11" t="str">
            <v xml:space="preserve"> 70-79</v>
          </cell>
          <cell r="AA11">
            <v>162.63253458498025</v>
          </cell>
          <cell r="AE11" t="str">
            <v xml:space="preserve"> 70-79</v>
          </cell>
          <cell r="AF11">
            <v>1</v>
          </cell>
          <cell r="AJ11" t="str">
            <v xml:space="preserve"> 70-79</v>
          </cell>
          <cell r="AK11">
            <v>17</v>
          </cell>
          <cell r="AO11" t="str">
            <v xml:space="preserve"> 70-79</v>
          </cell>
          <cell r="AP11">
            <v>0</v>
          </cell>
          <cell r="AT11" t="str">
            <v xml:space="preserve"> 70-79</v>
          </cell>
          <cell r="AU11">
            <v>2</v>
          </cell>
          <cell r="AY11" t="str">
            <v xml:space="preserve"> 70-79</v>
          </cell>
          <cell r="AZ11">
            <v>0</v>
          </cell>
          <cell r="BD11" t="str">
            <v xml:space="preserve"> 70-79</v>
          </cell>
          <cell r="BE11">
            <v>0</v>
          </cell>
          <cell r="BN11" t="str">
            <v xml:space="preserve"> 70-79</v>
          </cell>
          <cell r="BO11">
            <v>403.77309782608694</v>
          </cell>
          <cell r="BS11" t="str">
            <v xml:space="preserve"> 70-79</v>
          </cell>
          <cell r="BT11">
            <v>2</v>
          </cell>
        </row>
        <row r="12">
          <cell r="U12" t="str">
            <v xml:space="preserve"> 80+</v>
          </cell>
          <cell r="V12">
            <v>0</v>
          </cell>
          <cell r="Z12" t="str">
            <v xml:space="preserve"> 80+</v>
          </cell>
          <cell r="AA12">
            <v>64.290432157010756</v>
          </cell>
          <cell r="AE12" t="str">
            <v xml:space="preserve"> 80+</v>
          </cell>
          <cell r="AF12">
            <v>1</v>
          </cell>
          <cell r="AJ12" t="str">
            <v xml:space="preserve"> 80+</v>
          </cell>
          <cell r="AK12">
            <v>2</v>
          </cell>
          <cell r="AO12" t="str">
            <v xml:space="preserve"> 80+</v>
          </cell>
          <cell r="AP12">
            <v>0</v>
          </cell>
          <cell r="AT12" t="str">
            <v xml:space="preserve"> 80+</v>
          </cell>
          <cell r="AU12">
            <v>14.096810719003585</v>
          </cell>
          <cell r="AY12" t="str">
            <v xml:space="preserve"> 80+</v>
          </cell>
          <cell r="AZ12">
            <v>0</v>
          </cell>
          <cell r="BD12" t="str">
            <v xml:space="preserve"> 80+</v>
          </cell>
          <cell r="BE12">
            <v>0</v>
          </cell>
          <cell r="BN12" t="str">
            <v xml:space="preserve"> 80+</v>
          </cell>
          <cell r="BO12">
            <v>126</v>
          </cell>
          <cell r="BS12" t="str">
            <v xml:space="preserve"> 80+</v>
          </cell>
          <cell r="BT12">
            <v>0</v>
          </cell>
        </row>
        <row r="13">
          <cell r="U13" t="str">
            <v>all ages</v>
          </cell>
          <cell r="V13">
            <v>1</v>
          </cell>
          <cell r="Z13" t="str">
            <v>all ages</v>
          </cell>
          <cell r="AA13">
            <v>941.44220419456053</v>
          </cell>
          <cell r="AE13" t="str">
            <v>all ages</v>
          </cell>
          <cell r="AF13">
            <v>5</v>
          </cell>
          <cell r="AJ13" t="str">
            <v>all ages</v>
          </cell>
          <cell r="AK13">
            <v>137.52995783984051</v>
          </cell>
          <cell r="AO13" t="str">
            <v>all ages</v>
          </cell>
          <cell r="AP13">
            <v>0</v>
          </cell>
          <cell r="AT13" t="str">
            <v>all ages</v>
          </cell>
          <cell r="AU13">
            <v>30.420932768514234</v>
          </cell>
          <cell r="AY13" t="str">
            <v>all ages</v>
          </cell>
          <cell r="AZ13">
            <v>1</v>
          </cell>
          <cell r="BD13" t="str">
            <v>all ages</v>
          </cell>
          <cell r="BE13">
            <v>0</v>
          </cell>
          <cell r="BN13" t="str">
            <v>all ages</v>
          </cell>
          <cell r="BO13">
            <v>2556.5166296333646</v>
          </cell>
          <cell r="BS13" t="str">
            <v>all ages</v>
          </cell>
          <cell r="BT13">
            <v>23.102917895164921</v>
          </cell>
        </row>
        <row r="14">
          <cell r="T14" t="str">
            <v>Females</v>
          </cell>
          <cell r="U14" t="str">
            <v xml:space="preserve">  0 - 4</v>
          </cell>
          <cell r="V14">
            <v>0</v>
          </cell>
          <cell r="Y14" t="str">
            <v>Females</v>
          </cell>
          <cell r="Z14" t="str">
            <v xml:space="preserve">  0 - 4</v>
          </cell>
          <cell r="AA14">
            <v>0</v>
          </cell>
          <cell r="AD14" t="str">
            <v>Females</v>
          </cell>
          <cell r="AE14" t="str">
            <v xml:space="preserve">  0 - 4</v>
          </cell>
          <cell r="AF14">
            <v>0</v>
          </cell>
          <cell r="AI14" t="str">
            <v>Females</v>
          </cell>
          <cell r="AJ14" t="str">
            <v xml:space="preserve">  0 - 4</v>
          </cell>
          <cell r="AK14">
            <v>0</v>
          </cell>
          <cell r="AN14" t="str">
            <v>Females</v>
          </cell>
          <cell r="AO14" t="str">
            <v xml:space="preserve">  0 - 4</v>
          </cell>
          <cell r="AP14">
            <v>0</v>
          </cell>
          <cell r="AS14" t="str">
            <v>Females</v>
          </cell>
          <cell r="AT14" t="str">
            <v xml:space="preserve">  0 - 4</v>
          </cell>
          <cell r="AU14">
            <v>0</v>
          </cell>
          <cell r="AX14" t="str">
            <v>Females</v>
          </cell>
          <cell r="AY14" t="str">
            <v xml:space="preserve">  0 - 4</v>
          </cell>
          <cell r="AZ14">
            <v>0</v>
          </cell>
          <cell r="BC14" t="str">
            <v>Females</v>
          </cell>
          <cell r="BD14" t="str">
            <v xml:space="preserve">  0 - 4</v>
          </cell>
          <cell r="BE14">
            <v>0</v>
          </cell>
          <cell r="BM14" t="str">
            <v>Females</v>
          </cell>
          <cell r="BN14" t="str">
            <v xml:space="preserve">  0 - 4</v>
          </cell>
          <cell r="BO14">
            <v>0</v>
          </cell>
          <cell r="BR14" t="str">
            <v>Females</v>
          </cell>
          <cell r="BS14" t="str">
            <v xml:space="preserve">  0 - 4</v>
          </cell>
          <cell r="BT14">
            <v>0</v>
          </cell>
        </row>
        <row r="15">
          <cell r="U15" t="str">
            <v xml:space="preserve"> 5-14</v>
          </cell>
          <cell r="V15">
            <v>0</v>
          </cell>
          <cell r="Z15" t="str">
            <v xml:space="preserve"> 5-14</v>
          </cell>
          <cell r="AA15">
            <v>0</v>
          </cell>
          <cell r="AE15" t="str">
            <v xml:space="preserve"> 5-14</v>
          </cell>
          <cell r="AF15">
            <v>0</v>
          </cell>
          <cell r="AJ15" t="str">
            <v xml:space="preserve"> 5-14</v>
          </cell>
          <cell r="AK15">
            <v>0</v>
          </cell>
          <cell r="AO15" t="str">
            <v xml:space="preserve"> 5-14</v>
          </cell>
          <cell r="AP15">
            <v>0</v>
          </cell>
          <cell r="AT15" t="str">
            <v xml:space="preserve"> 5-14</v>
          </cell>
          <cell r="AU15">
            <v>0</v>
          </cell>
          <cell r="AY15" t="str">
            <v xml:space="preserve"> 5-14</v>
          </cell>
          <cell r="AZ15">
            <v>0</v>
          </cell>
          <cell r="BD15" t="str">
            <v xml:space="preserve"> 5-14</v>
          </cell>
          <cell r="BE15">
            <v>0</v>
          </cell>
          <cell r="BN15" t="str">
            <v xml:space="preserve"> 5-14</v>
          </cell>
          <cell r="BO15">
            <v>0</v>
          </cell>
          <cell r="BS15" t="str">
            <v xml:space="preserve"> 5-14</v>
          </cell>
          <cell r="BT15">
            <v>0</v>
          </cell>
        </row>
        <row r="16">
          <cell r="U16" t="str">
            <v xml:space="preserve"> 15-29</v>
          </cell>
          <cell r="V16">
            <v>0</v>
          </cell>
          <cell r="Z16" t="str">
            <v xml:space="preserve"> 15-29</v>
          </cell>
          <cell r="AA16">
            <v>0</v>
          </cell>
          <cell r="AE16" t="str">
            <v xml:space="preserve"> 15-29</v>
          </cell>
          <cell r="AF16">
            <v>0</v>
          </cell>
          <cell r="AJ16" t="str">
            <v xml:space="preserve"> 15-29</v>
          </cell>
          <cell r="AK16">
            <v>2</v>
          </cell>
          <cell r="AO16" t="str">
            <v xml:space="preserve"> 15-29</v>
          </cell>
          <cell r="AP16">
            <v>0</v>
          </cell>
          <cell r="AT16" t="str">
            <v xml:space="preserve"> 15-29</v>
          </cell>
          <cell r="AU16">
            <v>0</v>
          </cell>
          <cell r="AY16" t="str">
            <v xml:space="preserve"> 15-29</v>
          </cell>
          <cell r="AZ16">
            <v>0</v>
          </cell>
          <cell r="BD16" t="str">
            <v xml:space="preserve"> 15-29</v>
          </cell>
          <cell r="BE16">
            <v>0</v>
          </cell>
          <cell r="BN16" t="str">
            <v xml:space="preserve"> 15-29</v>
          </cell>
          <cell r="BO16">
            <v>9</v>
          </cell>
          <cell r="BS16" t="str">
            <v xml:space="preserve"> 15-29</v>
          </cell>
          <cell r="BT16">
            <v>5</v>
          </cell>
        </row>
        <row r="17">
          <cell r="U17" t="str">
            <v xml:space="preserve"> 30-44</v>
          </cell>
          <cell r="V17">
            <v>0</v>
          </cell>
          <cell r="Z17" t="str">
            <v xml:space="preserve"> 30-44</v>
          </cell>
          <cell r="AA17">
            <v>66.72571220260113</v>
          </cell>
          <cell r="AE17" t="str">
            <v xml:space="preserve"> 30-44</v>
          </cell>
          <cell r="AF17">
            <v>0</v>
          </cell>
          <cell r="AJ17" t="str">
            <v xml:space="preserve"> 30-44</v>
          </cell>
          <cell r="AK17">
            <v>9.1451424405202264</v>
          </cell>
          <cell r="AO17" t="str">
            <v xml:space="preserve"> 30-44</v>
          </cell>
          <cell r="AP17">
            <v>0</v>
          </cell>
          <cell r="AT17" t="str">
            <v xml:space="preserve"> 30-44</v>
          </cell>
          <cell r="AU17">
            <v>1</v>
          </cell>
          <cell r="AY17" t="str">
            <v xml:space="preserve"> 30-44</v>
          </cell>
          <cell r="AZ17">
            <v>0</v>
          </cell>
          <cell r="BD17" t="str">
            <v xml:space="preserve"> 30-44</v>
          </cell>
          <cell r="BE17">
            <v>1</v>
          </cell>
          <cell r="BN17" t="str">
            <v xml:space="preserve"> 30-44</v>
          </cell>
          <cell r="BO17">
            <v>225.19313369144498</v>
          </cell>
          <cell r="BS17" t="str">
            <v xml:space="preserve"> 30-44</v>
          </cell>
          <cell r="BT17">
            <v>15.290284881040453</v>
          </cell>
        </row>
        <row r="18">
          <cell r="U18" t="str">
            <v xml:space="preserve"> 45-59</v>
          </cell>
          <cell r="V18">
            <v>0</v>
          </cell>
          <cell r="Z18" t="str">
            <v xml:space="preserve"> 45-59</v>
          </cell>
          <cell r="AA18">
            <v>317.30869428961745</v>
          </cell>
          <cell r="AE18" t="str">
            <v xml:space="preserve"> 45-59</v>
          </cell>
          <cell r="AF18">
            <v>3.0106485963213938</v>
          </cell>
          <cell r="AJ18" t="str">
            <v xml:space="preserve"> 45-59</v>
          </cell>
          <cell r="AK18">
            <v>51.082914884707243</v>
          </cell>
          <cell r="AO18" t="str">
            <v xml:space="preserve"> 45-59</v>
          </cell>
          <cell r="AP18">
            <v>0</v>
          </cell>
          <cell r="AT18" t="str">
            <v xml:space="preserve"> 45-59</v>
          </cell>
          <cell r="AU18">
            <v>2</v>
          </cell>
          <cell r="AY18" t="str">
            <v xml:space="preserve"> 45-59</v>
          </cell>
          <cell r="AZ18">
            <v>0</v>
          </cell>
          <cell r="BD18" t="str">
            <v xml:space="preserve"> 45-59</v>
          </cell>
          <cell r="BE18">
            <v>0</v>
          </cell>
          <cell r="BN18" t="str">
            <v xml:space="preserve"> 45-59</v>
          </cell>
          <cell r="BO18">
            <v>910.21573663788399</v>
          </cell>
          <cell r="BS18" t="str">
            <v xml:space="preserve"> 45-59</v>
          </cell>
          <cell r="BT18">
            <v>5.0212971926427876</v>
          </cell>
        </row>
        <row r="19">
          <cell r="U19" t="str">
            <v xml:space="preserve"> 60-69</v>
          </cell>
          <cell r="V19">
            <v>1</v>
          </cell>
          <cell r="Z19" t="str">
            <v xml:space="preserve"> 60-69</v>
          </cell>
          <cell r="AA19">
            <v>245</v>
          </cell>
          <cell r="AE19" t="str">
            <v xml:space="preserve"> 60-69</v>
          </cell>
          <cell r="AF19">
            <v>1</v>
          </cell>
          <cell r="AJ19" t="str">
            <v xml:space="preserve"> 60-69</v>
          </cell>
          <cell r="AK19">
            <v>54</v>
          </cell>
          <cell r="AO19" t="str">
            <v xml:space="preserve"> 60-69</v>
          </cell>
          <cell r="AP19">
            <v>0</v>
          </cell>
          <cell r="AT19" t="str">
            <v xml:space="preserve"> 60-69</v>
          </cell>
          <cell r="AU19">
            <v>0</v>
          </cell>
          <cell r="AY19" t="str">
            <v xml:space="preserve"> 60-69</v>
          </cell>
          <cell r="AZ19">
            <v>0</v>
          </cell>
          <cell r="BD19" t="str">
            <v xml:space="preserve"> 60-69</v>
          </cell>
          <cell r="BE19">
            <v>0</v>
          </cell>
          <cell r="BN19" t="str">
            <v xml:space="preserve"> 60-69</v>
          </cell>
          <cell r="BO19">
            <v>811</v>
          </cell>
          <cell r="BS19" t="str">
            <v xml:space="preserve"> 60-69</v>
          </cell>
          <cell r="BT19">
            <v>3</v>
          </cell>
        </row>
        <row r="20">
          <cell r="U20" t="str">
            <v xml:space="preserve"> 70-79</v>
          </cell>
          <cell r="V20">
            <v>0</v>
          </cell>
          <cell r="Z20" t="str">
            <v xml:space="preserve"> 70-79</v>
          </cell>
          <cell r="AA20">
            <v>203</v>
          </cell>
          <cell r="AE20" t="str">
            <v xml:space="preserve"> 70-79</v>
          </cell>
          <cell r="AF20">
            <v>3</v>
          </cell>
          <cell r="AJ20" t="str">
            <v xml:space="preserve"> 70-79</v>
          </cell>
          <cell r="AK20">
            <v>27</v>
          </cell>
          <cell r="AO20" t="str">
            <v xml:space="preserve"> 70-79</v>
          </cell>
          <cell r="AP20">
            <v>0</v>
          </cell>
          <cell r="AT20" t="str">
            <v xml:space="preserve"> 70-79</v>
          </cell>
          <cell r="AU20">
            <v>2</v>
          </cell>
          <cell r="AY20" t="str">
            <v xml:space="preserve"> 70-79</v>
          </cell>
          <cell r="AZ20">
            <v>0</v>
          </cell>
          <cell r="BD20" t="str">
            <v xml:space="preserve"> 70-79</v>
          </cell>
          <cell r="BE20">
            <v>0</v>
          </cell>
          <cell r="BN20" t="str">
            <v xml:space="preserve"> 70-79</v>
          </cell>
          <cell r="BO20">
            <v>492</v>
          </cell>
          <cell r="BS20" t="str">
            <v xml:space="preserve"> 70-79</v>
          </cell>
          <cell r="BT20">
            <v>1</v>
          </cell>
        </row>
        <row r="21">
          <cell r="U21" t="str">
            <v xml:space="preserve"> 80+</v>
          </cell>
          <cell r="V21">
            <v>0</v>
          </cell>
          <cell r="Z21" t="str">
            <v xml:space="preserve"> 80+</v>
          </cell>
          <cell r="AA21">
            <v>86.033210332103323</v>
          </cell>
          <cell r="AE21" t="str">
            <v xml:space="preserve"> 80+</v>
          </cell>
          <cell r="AF21">
            <v>0</v>
          </cell>
          <cell r="AJ21" t="str">
            <v xml:space="preserve"> 80+</v>
          </cell>
          <cell r="AK21">
            <v>9</v>
          </cell>
          <cell r="AO21" t="str">
            <v xml:space="preserve"> 80+</v>
          </cell>
          <cell r="AP21">
            <v>0</v>
          </cell>
          <cell r="AT21" t="str">
            <v xml:space="preserve"> 80+</v>
          </cell>
          <cell r="AU21">
            <v>0</v>
          </cell>
          <cell r="AY21" t="str">
            <v xml:space="preserve"> 80+</v>
          </cell>
          <cell r="AZ21">
            <v>0</v>
          </cell>
          <cell r="BD21" t="str">
            <v xml:space="preserve"> 80+</v>
          </cell>
          <cell r="BE21">
            <v>0</v>
          </cell>
          <cell r="BN21" t="str">
            <v xml:space="preserve"> 80+</v>
          </cell>
          <cell r="BO21">
            <v>163.34440344403444</v>
          </cell>
          <cell r="BS21" t="str">
            <v xml:space="preserve"> 80+</v>
          </cell>
          <cell r="BT21">
            <v>1</v>
          </cell>
        </row>
        <row r="22">
          <cell r="U22" t="str">
            <v>all ages</v>
          </cell>
          <cell r="V22">
            <v>1</v>
          </cell>
          <cell r="Z22" t="str">
            <v>all ages</v>
          </cell>
          <cell r="AA22">
            <v>918.06761682432182</v>
          </cell>
          <cell r="AE22" t="str">
            <v>all ages</v>
          </cell>
          <cell r="AF22">
            <v>7.0106485963213938</v>
          </cell>
          <cell r="AJ22" t="str">
            <v>all ages</v>
          </cell>
          <cell r="AK22">
            <v>152.22805732522747</v>
          </cell>
          <cell r="AO22" t="str">
            <v>all ages</v>
          </cell>
          <cell r="AP22">
            <v>0</v>
          </cell>
          <cell r="AT22" t="str">
            <v>all ages</v>
          </cell>
          <cell r="AU22">
            <v>5</v>
          </cell>
          <cell r="AY22" t="str">
            <v>all ages</v>
          </cell>
          <cell r="AZ22">
            <v>0</v>
          </cell>
          <cell r="BD22" t="str">
            <v>all ages</v>
          </cell>
          <cell r="BE22">
            <v>1</v>
          </cell>
          <cell r="BN22" t="str">
            <v>all ages</v>
          </cell>
          <cell r="BO22">
            <v>2610.7532737733636</v>
          </cell>
          <cell r="BS22" t="str">
            <v>all ages</v>
          </cell>
          <cell r="BT22">
            <v>30.31158207368324</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2.bin"/><Relationship Id="rId4" Type="http://schemas.openxmlformats.org/officeDocument/2006/relationships/comments" Target="../comments5.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3.bin"/><Relationship Id="rId4" Type="http://schemas.openxmlformats.org/officeDocument/2006/relationships/comments" Target="../comments6.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4.bin"/><Relationship Id="rId4" Type="http://schemas.openxmlformats.org/officeDocument/2006/relationships/comments" Target="../comments7.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39"/>
  <sheetViews>
    <sheetView topLeftCell="A83" zoomScale="85" zoomScaleNormal="85" workbookViewId="0">
      <selection activeCell="T64" sqref="T64"/>
    </sheetView>
  </sheetViews>
  <sheetFormatPr baseColWidth="10" defaultColWidth="8.83203125" defaultRowHeight="15" x14ac:dyDescent="0.2"/>
  <sheetData>
    <row r="1" spans="1:20" x14ac:dyDescent="0.2">
      <c r="A1" s="23" t="s">
        <v>236</v>
      </c>
    </row>
    <row r="2" spans="1:20" s="22" customFormat="1" x14ac:dyDescent="0.2">
      <c r="A2" s="23"/>
    </row>
    <row r="3" spans="1:20" x14ac:dyDescent="0.2">
      <c r="A3" s="24" t="s">
        <v>25</v>
      </c>
      <c r="B3" s="408" t="s">
        <v>237</v>
      </c>
      <c r="C3" s="409"/>
      <c r="D3" s="410" t="s">
        <v>238</v>
      </c>
      <c r="E3" s="410"/>
      <c r="F3" s="408" t="s">
        <v>239</v>
      </c>
      <c r="G3" s="409"/>
      <c r="H3" s="410" t="s">
        <v>240</v>
      </c>
      <c r="I3" s="410"/>
      <c r="J3" s="408" t="s">
        <v>241</v>
      </c>
      <c r="K3" s="409"/>
      <c r="L3" s="410" t="s">
        <v>242</v>
      </c>
      <c r="M3" s="410"/>
      <c r="N3" s="408" t="s">
        <v>243</v>
      </c>
      <c r="O3" s="409"/>
      <c r="P3" s="408" t="s">
        <v>295</v>
      </c>
      <c r="Q3" s="409"/>
      <c r="R3" s="308" t="s">
        <v>18</v>
      </c>
      <c r="S3" s="309"/>
      <c r="T3" s="310"/>
    </row>
    <row r="4" spans="1:20" x14ac:dyDescent="0.2">
      <c r="A4" s="30"/>
      <c r="B4" s="72" t="s">
        <v>123</v>
      </c>
      <c r="C4" s="73" t="s">
        <v>124</v>
      </c>
      <c r="D4" s="230" t="s">
        <v>123</v>
      </c>
      <c r="E4" s="230" t="s">
        <v>124</v>
      </c>
      <c r="F4" s="72" t="s">
        <v>123</v>
      </c>
      <c r="G4" s="73" t="s">
        <v>124</v>
      </c>
      <c r="H4" s="230" t="s">
        <v>123</v>
      </c>
      <c r="I4" s="230" t="s">
        <v>124</v>
      </c>
      <c r="J4" s="72" t="s">
        <v>123</v>
      </c>
      <c r="K4" s="73" t="s">
        <v>124</v>
      </c>
      <c r="L4" s="230" t="s">
        <v>123</v>
      </c>
      <c r="M4" s="230" t="s">
        <v>124</v>
      </c>
      <c r="N4" s="72" t="s">
        <v>123</v>
      </c>
      <c r="O4" s="73" t="s">
        <v>124</v>
      </c>
      <c r="P4" s="72" t="s">
        <v>123</v>
      </c>
      <c r="Q4" s="73" t="s">
        <v>124</v>
      </c>
      <c r="R4" s="72" t="s">
        <v>123</v>
      </c>
      <c r="S4" s="230" t="s">
        <v>124</v>
      </c>
      <c r="T4" s="233" t="s">
        <v>244</v>
      </c>
    </row>
    <row r="5" spans="1:20" x14ac:dyDescent="0.2">
      <c r="A5" s="27"/>
      <c r="B5" s="27"/>
      <c r="C5" s="29"/>
      <c r="D5" s="28"/>
      <c r="E5" s="28"/>
      <c r="F5" s="27"/>
      <c r="G5" s="29"/>
      <c r="H5" s="28"/>
      <c r="I5" s="28"/>
      <c r="J5" s="27"/>
      <c r="K5" s="29"/>
      <c r="L5" s="28"/>
      <c r="M5" s="28"/>
      <c r="N5" s="27"/>
      <c r="O5" s="29"/>
      <c r="R5" s="27"/>
      <c r="S5" s="28"/>
      <c r="T5" s="29"/>
    </row>
    <row r="6" spans="1:20" x14ac:dyDescent="0.2">
      <c r="A6" s="48" t="s">
        <v>34</v>
      </c>
      <c r="B6" s="27"/>
      <c r="C6" s="29"/>
      <c r="D6" s="28"/>
      <c r="E6" s="28"/>
      <c r="F6" s="27"/>
      <c r="G6" s="29"/>
      <c r="H6" s="28"/>
      <c r="I6" s="28"/>
      <c r="J6" s="27"/>
      <c r="K6" s="29"/>
      <c r="L6" s="28"/>
      <c r="M6" s="28"/>
      <c r="N6" s="27"/>
      <c r="O6" s="29"/>
      <c r="R6" s="27"/>
      <c r="S6" s="28"/>
      <c r="T6" s="29"/>
    </row>
    <row r="7" spans="1:20" x14ac:dyDescent="0.2">
      <c r="A7" s="33" t="s">
        <v>7</v>
      </c>
      <c r="B7" s="99">
        <f>'1.Diabetes case'!H64</f>
        <v>60.948336448041552</v>
      </c>
      <c r="C7" s="98">
        <f>'1.Diabetes case'!H93</f>
        <v>0</v>
      </c>
      <c r="D7" s="46">
        <f>'2.Retinopathy'!H72</f>
        <v>0</v>
      </c>
      <c r="E7" s="46">
        <f>'2.Retinopathy'!H101</f>
        <v>0</v>
      </c>
      <c r="F7" s="99">
        <f>'3.Nephropathy'!C51</f>
        <v>0</v>
      </c>
      <c r="G7" s="98">
        <f>'3.Nephropathy'!C79</f>
        <v>0</v>
      </c>
      <c r="H7" s="46">
        <f>'4.Neuropathy'!B164</f>
        <v>0</v>
      </c>
      <c r="I7" s="46">
        <f>'4.Neuropathy'!F164</f>
        <v>0</v>
      </c>
      <c r="J7" s="99">
        <f>'5.Cataract'!C51</f>
        <v>0</v>
      </c>
      <c r="K7" s="98">
        <f>'5.Cataract'!C80</f>
        <v>0</v>
      </c>
      <c r="L7" s="46">
        <f>'6.Glaucoma'!C51</f>
        <v>0</v>
      </c>
      <c r="M7" s="46">
        <f>'6.Glaucoma'!C80</f>
        <v>0</v>
      </c>
      <c r="N7" s="99">
        <f>'7. amputations'!B155</f>
        <v>0</v>
      </c>
      <c r="O7" s="98">
        <f>'7. amputations'!F155</f>
        <v>0</v>
      </c>
      <c r="P7" s="196">
        <f>'8. Foot'!H74</f>
        <v>0</v>
      </c>
      <c r="Q7" s="196">
        <f>'8. Foot'!H103</f>
        <v>0</v>
      </c>
      <c r="R7" s="99">
        <f>B7+D7+F7+H7+J7+L7+N7+P7</f>
        <v>60.948336448041552</v>
      </c>
      <c r="S7" s="46">
        <f>C7+E7+G7+I7+K7+M7+O7+Q7</f>
        <v>0</v>
      </c>
      <c r="T7" s="98">
        <f>R7+S7</f>
        <v>60.948336448041552</v>
      </c>
    </row>
    <row r="8" spans="1:20" x14ac:dyDescent="0.2">
      <c r="A8" s="33" t="s">
        <v>11</v>
      </c>
      <c r="B8" s="99">
        <f>'1.Diabetes case'!H65</f>
        <v>112.60816583810625</v>
      </c>
      <c r="C8" s="98">
        <f>'1.Diabetes case'!H94</f>
        <v>0</v>
      </c>
      <c r="D8" s="46">
        <f>'2.Retinopathy'!H73</f>
        <v>539.01957914187085</v>
      </c>
      <c r="E8" s="46">
        <f>'2.Retinopathy'!H102</f>
        <v>1628.4518012934398</v>
      </c>
      <c r="F8" s="99">
        <f>'3.Nephropathy'!C52</f>
        <v>0.52940430371060909</v>
      </c>
      <c r="G8" s="98">
        <f>'3.Nephropathy'!C80</f>
        <v>0</v>
      </c>
      <c r="H8" s="46">
        <f>'4.Neuropathy'!B165</f>
        <v>3.5821531035534093</v>
      </c>
      <c r="I8" s="46">
        <f>'4.Neuropathy'!F165</f>
        <v>0</v>
      </c>
      <c r="J8" s="99">
        <f>'5.Cataract'!C52</f>
        <v>0</v>
      </c>
      <c r="K8" s="98">
        <f>'5.Cataract'!C81</f>
        <v>0</v>
      </c>
      <c r="L8" s="46">
        <f>'6.Glaucoma'!C52</f>
        <v>0</v>
      </c>
      <c r="M8" s="46">
        <f>'6.Glaucoma'!C81</f>
        <v>0</v>
      </c>
      <c r="N8" s="99">
        <f>'7. amputations'!B156</f>
        <v>0</v>
      </c>
      <c r="O8" s="98">
        <f>'7. amputations'!F156</f>
        <v>0</v>
      </c>
      <c r="P8" s="196">
        <f>'8. Foot'!H75</f>
        <v>0</v>
      </c>
      <c r="Q8" s="196">
        <f>'8. Foot'!H104</f>
        <v>0</v>
      </c>
      <c r="R8" s="99">
        <f t="shared" ref="R8:R15" si="0">B8+D8+F8+H8+J8+L8+N8+P8</f>
        <v>655.7393023872412</v>
      </c>
      <c r="S8" s="46">
        <f t="shared" ref="S8:S15" si="1">C8+E8+G8+I8+K8+M8+O8+Q8</f>
        <v>1628.4518012934398</v>
      </c>
      <c r="T8" s="98">
        <f t="shared" ref="T8:T15" si="2">R8+S8</f>
        <v>2284.191103680681</v>
      </c>
    </row>
    <row r="9" spans="1:20" x14ac:dyDescent="0.2">
      <c r="A9" s="33" t="s">
        <v>12</v>
      </c>
      <c r="B9" s="99">
        <f>'1.Diabetes case'!H66</f>
        <v>142.00020008822153</v>
      </c>
      <c r="C9" s="98">
        <f>'1.Diabetes case'!H95</f>
        <v>4666.1179075577556</v>
      </c>
      <c r="D9" s="46">
        <f>'2.Retinopathy'!H74</f>
        <v>1618.3112390833169</v>
      </c>
      <c r="E9" s="46">
        <f>'2.Retinopathy'!H103</f>
        <v>4573.5928712196364</v>
      </c>
      <c r="F9" s="99">
        <f>'3.Nephropathy'!C53</f>
        <v>1.3241282413496449</v>
      </c>
      <c r="G9" s="98">
        <f>'3.Nephropathy'!C81</f>
        <v>8.3403555347294258</v>
      </c>
      <c r="H9" s="46">
        <f>'4.Neuropathy'!B166</f>
        <v>40.911590819298731</v>
      </c>
      <c r="I9" s="46">
        <f>'4.Neuropathy'!F166</f>
        <v>1846.9795952021291</v>
      </c>
      <c r="J9" s="99">
        <f>'5.Cataract'!C53</f>
        <v>0</v>
      </c>
      <c r="K9" s="98">
        <f>'5.Cataract'!C82</f>
        <v>0</v>
      </c>
      <c r="L9" s="46">
        <f>'6.Glaucoma'!C53</f>
        <v>0</v>
      </c>
      <c r="M9" s="46">
        <f>'6.Glaucoma'!C82</f>
        <v>0</v>
      </c>
      <c r="N9" s="99">
        <f>'7. amputations'!B157</f>
        <v>42.724141600000003</v>
      </c>
      <c r="O9" s="98">
        <f>'7. amputations'!F157</f>
        <v>54.919815372000002</v>
      </c>
      <c r="P9" s="196">
        <f>'8. Foot'!H76</f>
        <v>1.7511160847202196</v>
      </c>
      <c r="Q9" s="196">
        <f>'8. Foot'!H105</f>
        <v>67.566239553239981</v>
      </c>
      <c r="R9" s="99">
        <f t="shared" si="0"/>
        <v>1847.022415916907</v>
      </c>
      <c r="S9" s="46">
        <f t="shared" si="1"/>
        <v>11217.516784439491</v>
      </c>
      <c r="T9" s="98">
        <f t="shared" si="2"/>
        <v>13064.539200356397</v>
      </c>
    </row>
    <row r="10" spans="1:20" x14ac:dyDescent="0.2">
      <c r="A10" s="33" t="s">
        <v>13</v>
      </c>
      <c r="B10" s="99">
        <f>'1.Diabetes case'!H67</f>
        <v>10.831926060244033</v>
      </c>
      <c r="C10" s="98">
        <f>'1.Diabetes case'!H96</f>
        <v>19355.905900030084</v>
      </c>
      <c r="D10" s="46">
        <f>'2.Retinopathy'!H75</f>
        <v>1269.7258666925402</v>
      </c>
      <c r="E10" s="46">
        <f>'2.Retinopathy'!H104</f>
        <v>15975.718357957727</v>
      </c>
      <c r="F10" s="99">
        <f>'3.Nephropathy'!C54</f>
        <v>6.8862736560283642</v>
      </c>
      <c r="G10" s="98">
        <f>'3.Nephropathy'!C82</f>
        <v>123.14862112666829</v>
      </c>
      <c r="H10" s="46">
        <f>'4.Neuropathy'!B167</f>
        <v>18.600676803548787</v>
      </c>
      <c r="I10" s="46">
        <f>'4.Neuropathy'!F167</f>
        <v>4501.569348870893</v>
      </c>
      <c r="J10" s="99">
        <f>'5.Cataract'!C54</f>
        <v>24.370905321917402</v>
      </c>
      <c r="K10" s="98">
        <f>'5.Cataract'!C83</f>
        <v>380.64315112260846</v>
      </c>
      <c r="L10" s="46">
        <f>'6.Glaucoma'!C54</f>
        <v>7.5829695217354285</v>
      </c>
      <c r="M10" s="46">
        <f>'6.Glaucoma'!C83</f>
        <v>129.32197253326487</v>
      </c>
      <c r="N10" s="99">
        <f>'7. amputations'!B158</f>
        <v>75.967579345046047</v>
      </c>
      <c r="O10" s="98">
        <f>'7. amputations'!F158</f>
        <v>1070.6383544533771</v>
      </c>
      <c r="P10" s="196">
        <f>'8. Foot'!H77</f>
        <v>6.385789181270507</v>
      </c>
      <c r="Q10" s="196">
        <f>'8. Foot'!H106</f>
        <v>737.62896612636007</v>
      </c>
      <c r="R10" s="99">
        <f t="shared" si="0"/>
        <v>1420.3519865823307</v>
      </c>
      <c r="S10" s="46">
        <f t="shared" si="1"/>
        <v>42274.574672220981</v>
      </c>
      <c r="T10" s="98">
        <f t="shared" si="2"/>
        <v>43694.926658803313</v>
      </c>
    </row>
    <row r="11" spans="1:20" x14ac:dyDescent="0.2">
      <c r="A11" s="33" t="s">
        <v>14</v>
      </c>
      <c r="B11" s="99">
        <f>'1.Diabetes case'!H68</f>
        <v>0</v>
      </c>
      <c r="C11" s="98">
        <f>'1.Diabetes case'!H97</f>
        <v>16515.794773150908</v>
      </c>
      <c r="D11" s="46">
        <f>'2.Retinopathy'!H76</f>
        <v>715.28242857188036</v>
      </c>
      <c r="E11" s="46">
        <f>'2.Retinopathy'!H105</f>
        <v>18609.310647992861</v>
      </c>
      <c r="F11" s="99">
        <f>'3.Nephropathy'!C55</f>
        <v>8.2924002498874607</v>
      </c>
      <c r="G11" s="98">
        <f>'3.Nephropathy'!C83</f>
        <v>332.99303359432361</v>
      </c>
      <c r="H11" s="46">
        <f>'4.Neuropathy'!B168</f>
        <v>0.83247631306199643</v>
      </c>
      <c r="I11" s="46">
        <f>'4.Neuropathy'!F168</f>
        <v>7993.1250997370753</v>
      </c>
      <c r="J11" s="99">
        <f>'5.Cataract'!C55</f>
        <v>171.71688069135931</v>
      </c>
      <c r="K11" s="98">
        <f>'5.Cataract'!C84</f>
        <v>5234.921384496256</v>
      </c>
      <c r="L11" s="46">
        <f>'6.Glaucoma'!C55</f>
        <v>13.075209202217433</v>
      </c>
      <c r="M11" s="46">
        <f>'6.Glaucoma'!C84</f>
        <v>474.59733367876709</v>
      </c>
      <c r="N11" s="99">
        <f>'7. amputations'!B159</f>
        <v>17.807980000000001</v>
      </c>
      <c r="O11" s="98">
        <f>'7. amputations'!F159</f>
        <v>3394.444826892</v>
      </c>
      <c r="P11" s="196">
        <f>'8. Foot'!H78</f>
        <v>5.8927975536108583</v>
      </c>
      <c r="Q11" s="196">
        <f>'8. Foot'!H107</f>
        <v>1717.0392031253998</v>
      </c>
      <c r="R11" s="99">
        <f t="shared" si="0"/>
        <v>932.90017258201749</v>
      </c>
      <c r="S11" s="46">
        <f t="shared" si="1"/>
        <v>54272.226302667594</v>
      </c>
      <c r="T11" s="98">
        <f t="shared" si="2"/>
        <v>55205.126475249614</v>
      </c>
    </row>
    <row r="12" spans="1:20" x14ac:dyDescent="0.2">
      <c r="A12" s="33" t="s">
        <v>15</v>
      </c>
      <c r="B12" s="99">
        <f>'1.Diabetes case'!H69</f>
        <v>0</v>
      </c>
      <c r="C12" s="98">
        <f>'1.Diabetes case'!H98</f>
        <v>5192.8224366939676</v>
      </c>
      <c r="D12" s="46">
        <f>'2.Retinopathy'!H77</f>
        <v>76.777150153342816</v>
      </c>
      <c r="E12" s="46">
        <f>'2.Retinopathy'!H106</f>
        <v>4761.4757831568959</v>
      </c>
      <c r="F12" s="99">
        <f>'3.Nephropathy'!C56</f>
        <v>17.23857173047497</v>
      </c>
      <c r="G12" s="98">
        <f>'3.Nephropathy'!C84</f>
        <v>1010.3457655306798</v>
      </c>
      <c r="H12" s="46">
        <f>'4.Neuropathy'!B169</f>
        <v>6.2351916199999986E-3</v>
      </c>
      <c r="I12" s="46">
        <f>'4.Neuropathy'!F169</f>
        <v>1443.321408844952</v>
      </c>
      <c r="J12" s="99">
        <f>'5.Cataract'!C56</f>
        <v>186.51172466272908</v>
      </c>
      <c r="K12" s="98">
        <f>'5.Cataract'!C85</f>
        <v>8491.1378232028219</v>
      </c>
      <c r="L12" s="46">
        <f>'6.Glaucoma'!C56</f>
        <v>4.2034549720950185</v>
      </c>
      <c r="M12" s="46">
        <f>'6.Glaucoma'!C85</f>
        <v>215.34220005257373</v>
      </c>
      <c r="N12" s="99">
        <f>'7. amputations'!B160</f>
        <v>10.312279999999999</v>
      </c>
      <c r="O12" s="98">
        <f>'7. amputations'!F160</f>
        <v>1776.7594782159999</v>
      </c>
      <c r="P12" s="196">
        <f>'8. Foot'!H79</f>
        <v>2.2526203852287385</v>
      </c>
      <c r="Q12" s="196">
        <f>'8. Foot'!H108</f>
        <v>1063.4835728534001</v>
      </c>
      <c r="R12" s="99">
        <f t="shared" si="0"/>
        <v>297.30203709549062</v>
      </c>
      <c r="S12" s="46">
        <f t="shared" si="1"/>
        <v>23954.688468551292</v>
      </c>
      <c r="T12" s="98">
        <f t="shared" si="2"/>
        <v>24251.990505646783</v>
      </c>
    </row>
    <row r="13" spans="1:20" x14ac:dyDescent="0.2">
      <c r="A13" s="33" t="s">
        <v>16</v>
      </c>
      <c r="B13" s="99">
        <f>'1.Diabetes case'!H70</f>
        <v>0</v>
      </c>
      <c r="C13" s="98">
        <f>'1.Diabetes case'!H99</f>
        <v>1061.0242217292739</v>
      </c>
      <c r="D13" s="46">
        <f>'2.Retinopathy'!H78</f>
        <v>23.530300385888808</v>
      </c>
      <c r="E13" s="46">
        <f>'2.Retinopathy'!H107</f>
        <v>1300.3781920557374</v>
      </c>
      <c r="F13" s="99">
        <f>'3.Nephropathy'!C57</f>
        <v>27.389294684904606</v>
      </c>
      <c r="G13" s="98">
        <f>'3.Nephropathy'!C85</f>
        <v>1952.4389452087553</v>
      </c>
      <c r="H13" s="46">
        <f>'4.Neuropathy'!B170</f>
        <v>0</v>
      </c>
      <c r="I13" s="46">
        <f>'4.Neuropathy'!F170</f>
        <v>390.32293850991732</v>
      </c>
      <c r="J13" s="99">
        <f>'5.Cataract'!C57</f>
        <v>55.631714063662017</v>
      </c>
      <c r="K13" s="98">
        <f>'5.Cataract'!C86</f>
        <v>3448.0501691265958</v>
      </c>
      <c r="L13" s="46">
        <f>'6.Glaucoma'!C57</f>
        <v>10.962587984585831</v>
      </c>
      <c r="M13" s="46">
        <f>'6.Glaucoma'!C86</f>
        <v>679.4605197866191</v>
      </c>
      <c r="N13" s="99">
        <f>'7. amputations'!B161</f>
        <v>4.8455680000000001</v>
      </c>
      <c r="O13" s="98">
        <f>'7. amputations'!F161</f>
        <v>581.53780614034099</v>
      </c>
      <c r="P13" s="196">
        <f>'8. Foot'!H80</f>
        <v>1.2882502216312672</v>
      </c>
      <c r="Q13" s="196">
        <f>'8. Foot'!H109</f>
        <v>728.85273484408003</v>
      </c>
      <c r="R13" s="99">
        <f t="shared" si="0"/>
        <v>123.64771534067255</v>
      </c>
      <c r="S13" s="46">
        <f t="shared" si="1"/>
        <v>10142.065527401319</v>
      </c>
      <c r="T13" s="98">
        <f t="shared" si="2"/>
        <v>10265.713242741991</v>
      </c>
    </row>
    <row r="14" spans="1:20" x14ac:dyDescent="0.2">
      <c r="A14" s="33" t="s">
        <v>17</v>
      </c>
      <c r="B14" s="99">
        <f>'1.Diabetes case'!H71</f>
        <v>0</v>
      </c>
      <c r="C14" s="98">
        <f>'1.Diabetes case'!H100</f>
        <v>401.1713916246602</v>
      </c>
      <c r="D14" s="46">
        <f>'2.Retinopathy'!H79</f>
        <v>18.192680137554003</v>
      </c>
      <c r="E14" s="46">
        <f>'2.Retinopathy'!H108</f>
        <v>425.35875168237004</v>
      </c>
      <c r="F14" s="99">
        <f>'3.Nephropathy'!C58</f>
        <v>16.487179130240712</v>
      </c>
      <c r="G14" s="98">
        <f>'3.Nephropathy'!C86</f>
        <v>1552.2942244405624</v>
      </c>
      <c r="H14" s="46">
        <f>'4.Neuropathy'!B171</f>
        <v>0</v>
      </c>
      <c r="I14" s="46">
        <f>'4.Neuropathy'!F171</f>
        <v>112.33722637214501</v>
      </c>
      <c r="J14" s="99">
        <f>'5.Cataract'!C58</f>
        <v>6.4287904161794867</v>
      </c>
      <c r="K14" s="98">
        <f>'5.Cataract'!C87</f>
        <v>531.89502120892553</v>
      </c>
      <c r="L14" s="46">
        <f>'6.Glaucoma'!C58</f>
        <v>0.71167601922275003</v>
      </c>
      <c r="M14" s="46">
        <f>'6.Glaucoma'!C87</f>
        <v>58.881516869129157</v>
      </c>
      <c r="N14" s="99">
        <f>'7. amputations'!B162</f>
        <v>15.012680511417248</v>
      </c>
      <c r="O14" s="98">
        <f>'7. amputations'!F162</f>
        <v>130.54059634354559</v>
      </c>
      <c r="P14" s="196">
        <f>'8. Foot'!H81</f>
        <v>0.58349978805511948</v>
      </c>
      <c r="Q14" s="196">
        <f>'8. Foot'!H110</f>
        <v>340.82282729951999</v>
      </c>
      <c r="R14" s="99">
        <f t="shared" si="0"/>
        <v>57.416506002669323</v>
      </c>
      <c r="S14" s="46">
        <f t="shared" si="1"/>
        <v>3553.301555840857</v>
      </c>
      <c r="T14" s="98">
        <f t="shared" si="2"/>
        <v>3610.7180618435264</v>
      </c>
    </row>
    <row r="15" spans="1:20" x14ac:dyDescent="0.2">
      <c r="A15" s="34" t="s">
        <v>18</v>
      </c>
      <c r="B15" s="99">
        <f>'1.Diabetes case'!H72</f>
        <v>326.38862843461339</v>
      </c>
      <c r="C15" s="98">
        <f>'1.Diabetes case'!H101</f>
        <v>47192.836630786653</v>
      </c>
      <c r="D15" s="46">
        <f>'2.Retinopathy'!H80</f>
        <v>4260.8392441663937</v>
      </c>
      <c r="E15" s="46">
        <f>'2.Retinopathy'!H109</f>
        <v>47274.286405358667</v>
      </c>
      <c r="F15" s="99">
        <f>'3.Nephropathy'!C59</f>
        <v>78.147251996596367</v>
      </c>
      <c r="G15" s="98">
        <f>'3.Nephropathy'!C87</f>
        <v>4979.5609454357191</v>
      </c>
      <c r="H15" s="46">
        <f>'4.Neuropathy'!B172</f>
        <v>63.933132231082922</v>
      </c>
      <c r="I15" s="46">
        <f>'4.Neuropathy'!F172</f>
        <v>16287.65561753711</v>
      </c>
      <c r="J15" s="99">
        <f>'5.Cataract'!C59</f>
        <v>444.6600151558473</v>
      </c>
      <c r="K15" s="98">
        <f>'5.Cataract'!C88</f>
        <v>18086.647549157209</v>
      </c>
      <c r="L15" s="46">
        <f>'6.Glaucoma'!C59</f>
        <v>36.535897699856463</v>
      </c>
      <c r="M15" s="46">
        <f>'6.Glaucoma'!C88</f>
        <v>1557.6035429203541</v>
      </c>
      <c r="N15" s="99">
        <f>'7. amputations'!B163</f>
        <v>166.67022945646332</v>
      </c>
      <c r="O15" s="98">
        <f>'7. amputations'!F163</f>
        <v>7008.840877417264</v>
      </c>
      <c r="P15" s="196">
        <f>'8. Foot'!H82</f>
        <v>18.154073214516707</v>
      </c>
      <c r="Q15" s="196">
        <f>'8. Foot'!H111</f>
        <v>4655.3935438020007</v>
      </c>
      <c r="R15" s="99">
        <f t="shared" si="0"/>
        <v>5395.3284723553697</v>
      </c>
      <c r="S15" s="46">
        <f t="shared" si="1"/>
        <v>147042.82511241498</v>
      </c>
      <c r="T15" s="98">
        <f t="shared" si="2"/>
        <v>152438.15358477036</v>
      </c>
    </row>
    <row r="16" spans="1:20" x14ac:dyDescent="0.2">
      <c r="A16" s="27"/>
      <c r="B16" s="99"/>
      <c r="C16" s="98"/>
      <c r="D16" s="46"/>
      <c r="E16" s="46"/>
      <c r="F16" s="99"/>
      <c r="G16" s="98"/>
      <c r="H16" s="46"/>
      <c r="I16" s="46"/>
      <c r="J16" s="99"/>
      <c r="K16" s="98"/>
      <c r="L16" s="46"/>
      <c r="M16" s="46"/>
      <c r="N16" s="99"/>
      <c r="O16" s="98"/>
      <c r="R16" s="27"/>
      <c r="S16" s="28"/>
      <c r="T16" s="29"/>
    </row>
    <row r="17" spans="1:20" x14ac:dyDescent="0.2">
      <c r="A17" s="48" t="s">
        <v>35</v>
      </c>
      <c r="B17" s="99"/>
      <c r="C17" s="98"/>
      <c r="D17" s="46"/>
      <c r="E17" s="46"/>
      <c r="F17" s="99"/>
      <c r="G17" s="98"/>
      <c r="H17" s="46"/>
      <c r="I17" s="46"/>
      <c r="J17" s="99"/>
      <c r="K17" s="98"/>
      <c r="L17" s="46"/>
      <c r="M17" s="46"/>
      <c r="N17" s="99"/>
      <c r="O17" s="98"/>
      <c r="R17" s="27"/>
      <c r="S17" s="28"/>
      <c r="T17" s="29"/>
    </row>
    <row r="18" spans="1:20" x14ac:dyDescent="0.2">
      <c r="A18" s="33" t="s">
        <v>7</v>
      </c>
      <c r="B18" s="99">
        <f>'1.Diabetes case'!H75</f>
        <v>69.488856712507371</v>
      </c>
      <c r="C18" s="98">
        <f>'1.Diabetes case'!H104</f>
        <v>0</v>
      </c>
      <c r="D18" s="46">
        <f>'2.Retinopathy'!H83</f>
        <v>0</v>
      </c>
      <c r="E18" s="46">
        <f>'2.Retinopathy'!H112</f>
        <v>0</v>
      </c>
      <c r="F18" s="99">
        <f>'3.Nephropathy'!C62</f>
        <v>0</v>
      </c>
      <c r="G18" s="98">
        <f>'3.Nephropathy'!C90</f>
        <v>0</v>
      </c>
      <c r="H18" s="46">
        <f>'4.Neuropathy'!B175</f>
        <v>0</v>
      </c>
      <c r="I18" s="46">
        <f>'4.Neuropathy'!F175</f>
        <v>0</v>
      </c>
      <c r="J18" s="99">
        <f>'5.Cataract'!C62</f>
        <v>0</v>
      </c>
      <c r="K18" s="98">
        <f>'5.Cataract'!C91</f>
        <v>0</v>
      </c>
      <c r="L18" s="46">
        <f>'6.Glaucoma'!C62</f>
        <v>0</v>
      </c>
      <c r="M18" s="46">
        <f>'6.Glaucoma'!C91</f>
        <v>0</v>
      </c>
      <c r="N18" s="99">
        <f>'7. amputations'!B166</f>
        <v>0</v>
      </c>
      <c r="O18" s="98">
        <f>'7. amputations'!F166</f>
        <v>0</v>
      </c>
      <c r="P18" s="196">
        <f>'8. Foot'!H85</f>
        <v>0</v>
      </c>
      <c r="Q18" s="196">
        <f>'8. Foot'!H114</f>
        <v>0</v>
      </c>
      <c r="R18" s="99">
        <f>B18+D18+F18+H18+J18+L18+N18+P18</f>
        <v>69.488856712507371</v>
      </c>
      <c r="S18" s="46">
        <f>C18+E18+G18+I18+K18+M18+O18+Q18</f>
        <v>0</v>
      </c>
      <c r="T18" s="98">
        <f>R18+S18</f>
        <v>69.488856712507371</v>
      </c>
    </row>
    <row r="19" spans="1:20" x14ac:dyDescent="0.2">
      <c r="A19" s="33" t="s">
        <v>11</v>
      </c>
      <c r="B19" s="99">
        <f>'1.Diabetes case'!H76</f>
        <v>129.59029893718915</v>
      </c>
      <c r="C19" s="98">
        <f>'1.Diabetes case'!H105</f>
        <v>0</v>
      </c>
      <c r="D19" s="46">
        <f>'2.Retinopathy'!H84</f>
        <v>549.15592445862399</v>
      </c>
      <c r="E19" s="46">
        <f>'2.Retinopathy'!H113</f>
        <v>1105.186548673536</v>
      </c>
      <c r="F19" s="99">
        <f>'3.Nephropathy'!C63</f>
        <v>1.4326219119347245</v>
      </c>
      <c r="G19" s="98">
        <f>'3.Nephropathy'!C91</f>
        <v>0</v>
      </c>
      <c r="H19" s="46">
        <f>'4.Neuropathy'!B176</f>
        <v>4.1738205755535027</v>
      </c>
      <c r="I19" s="46">
        <f>'4.Neuropathy'!F176</f>
        <v>0</v>
      </c>
      <c r="J19" s="99">
        <f>'5.Cataract'!C63</f>
        <v>0</v>
      </c>
      <c r="K19" s="98">
        <f>'5.Cataract'!C92</f>
        <v>0</v>
      </c>
      <c r="L19" s="46">
        <f>'6.Glaucoma'!C63</f>
        <v>0</v>
      </c>
      <c r="M19" s="46">
        <f>'6.Glaucoma'!C92</f>
        <v>0</v>
      </c>
      <c r="N19" s="99">
        <f>'7. amputations'!B167</f>
        <v>0</v>
      </c>
      <c r="O19" s="98">
        <f>'7. amputations'!F167</f>
        <v>0</v>
      </c>
      <c r="P19" s="196">
        <f>'8. Foot'!H86</f>
        <v>0</v>
      </c>
      <c r="Q19" s="196">
        <f>'8. Foot'!H115</f>
        <v>0</v>
      </c>
      <c r="R19" s="99">
        <f t="shared" ref="R19:R26" si="3">B19+D19+F19+H19+J19+L19+N19+P19</f>
        <v>684.35266588330126</v>
      </c>
      <c r="S19" s="46">
        <f t="shared" ref="S19:S26" si="4">C19+E19+G19+I19+K19+M19+O19+Q19</f>
        <v>1105.186548673536</v>
      </c>
      <c r="T19" s="98">
        <f t="shared" ref="T19:T26" si="5">R19+S19</f>
        <v>1789.5392145568371</v>
      </c>
    </row>
    <row r="20" spans="1:20" x14ac:dyDescent="0.2">
      <c r="A20" s="33" t="s">
        <v>12</v>
      </c>
      <c r="B20" s="99">
        <f>'1.Diabetes case'!H77</f>
        <v>178.94120297557001</v>
      </c>
      <c r="C20" s="98">
        <f>'1.Diabetes case'!H106</f>
        <v>14450.168946417798</v>
      </c>
      <c r="D20" s="46">
        <f>'2.Retinopathy'!H85</f>
        <v>1684.1244502098232</v>
      </c>
      <c r="E20" s="46">
        <f>'2.Retinopathy'!H114</f>
        <v>3186.7784281163417</v>
      </c>
      <c r="F20" s="99">
        <f>'3.Nephropathy'!C64</f>
        <v>0.98026235952772001</v>
      </c>
      <c r="G20" s="98">
        <f>'3.Nephropathy'!C92</f>
        <v>9.7250997850844509</v>
      </c>
      <c r="H20" s="46">
        <f>'4.Neuropathy'!B177</f>
        <v>50.233428838600268</v>
      </c>
      <c r="I20" s="46">
        <f>'4.Neuropathy'!F177</f>
        <v>4015.587044584096</v>
      </c>
      <c r="J20" s="99">
        <f>'5.Cataract'!C64</f>
        <v>0</v>
      </c>
      <c r="K20" s="98">
        <f>'5.Cataract'!C93</f>
        <v>0</v>
      </c>
      <c r="L20" s="46">
        <f>'6.Glaucoma'!C64</f>
        <v>0</v>
      </c>
      <c r="M20" s="46">
        <f>'6.Glaucoma'!C93</f>
        <v>0</v>
      </c>
      <c r="N20" s="99">
        <f>'7. amputations'!B168</f>
        <v>13.652480000000001</v>
      </c>
      <c r="O20" s="98">
        <f>'7. amputations'!F168</f>
        <v>23.719132224000003</v>
      </c>
      <c r="P20" s="196">
        <f>'8. Foot'!H87</f>
        <v>0.64805425031140917</v>
      </c>
      <c r="Q20" s="196">
        <f>'8. Foot'!H116</f>
        <v>38.77905585245999</v>
      </c>
      <c r="R20" s="99">
        <f t="shared" si="3"/>
        <v>1928.5798786338323</v>
      </c>
      <c r="S20" s="46">
        <f t="shared" si="4"/>
        <v>21724.757706979781</v>
      </c>
      <c r="T20" s="98">
        <f t="shared" si="5"/>
        <v>23653.337585613612</v>
      </c>
    </row>
    <row r="21" spans="1:20" x14ac:dyDescent="0.2">
      <c r="A21" s="33" t="s">
        <v>13</v>
      </c>
      <c r="B21" s="99">
        <f>'1.Diabetes case'!H78</f>
        <v>17.298001102115009</v>
      </c>
      <c r="C21" s="98">
        <f>'1.Diabetes case'!H107</f>
        <v>18517.432437661406</v>
      </c>
      <c r="D21" s="46">
        <f>'2.Retinopathy'!H86</f>
        <v>2129.8971758853681</v>
      </c>
      <c r="E21" s="46">
        <f>'2.Retinopathy'!H115</f>
        <v>10538.071683075594</v>
      </c>
      <c r="F21" s="99">
        <f>'3.Nephropathy'!C65</f>
        <v>7.6801260399514133</v>
      </c>
      <c r="G21" s="98">
        <f>'3.Nephropathy'!C93</f>
        <v>153.04926209437181</v>
      </c>
      <c r="H21" s="46">
        <f>'4.Neuropathy'!B178</f>
        <v>30.488641908197955</v>
      </c>
      <c r="I21" s="46">
        <f>'4.Neuropathy'!F178</f>
        <v>4515.6088477319217</v>
      </c>
      <c r="J21" s="99">
        <f>'5.Cataract'!C65</f>
        <v>22.005657525091436</v>
      </c>
      <c r="K21" s="98">
        <f>'5.Cataract'!C94</f>
        <v>376.79623880434622</v>
      </c>
      <c r="L21" s="46">
        <f>'6.Glaucoma'!C65</f>
        <v>5.0812262970776469</v>
      </c>
      <c r="M21" s="46">
        <f>'6.Glaucoma'!C94</f>
        <v>95.986160950919114</v>
      </c>
      <c r="N21" s="99">
        <f>'7. amputations'!B169</f>
        <v>39.691799072739556</v>
      </c>
      <c r="O21" s="98">
        <f>'7. amputations'!F169</f>
        <v>1067.0889145333772</v>
      </c>
      <c r="P21" s="196">
        <f>'8. Foot'!H88</f>
        <v>2.6534172330220214</v>
      </c>
      <c r="Q21" s="196">
        <f>'8. Foot'!H117</f>
        <v>319.81192059993003</v>
      </c>
      <c r="R21" s="99">
        <f t="shared" si="3"/>
        <v>2254.7960450635637</v>
      </c>
      <c r="S21" s="46">
        <f t="shared" si="4"/>
        <v>35583.845465451872</v>
      </c>
      <c r="T21" s="98">
        <f t="shared" si="5"/>
        <v>37838.641510515437</v>
      </c>
    </row>
    <row r="22" spans="1:20" x14ac:dyDescent="0.2">
      <c r="A22" s="33" t="s">
        <v>14</v>
      </c>
      <c r="B22" s="99">
        <f>'1.Diabetes case'!H79</f>
        <v>0</v>
      </c>
      <c r="C22" s="98">
        <f>'1.Diabetes case'!H108</f>
        <v>28621.839261486792</v>
      </c>
      <c r="D22" s="46">
        <f>'2.Retinopathy'!H87</f>
        <v>803.9142223694065</v>
      </c>
      <c r="E22" s="46">
        <f>'2.Retinopathy'!H116</f>
        <v>22526.222801941913</v>
      </c>
      <c r="F22" s="99">
        <f>'3.Nephropathy'!C66</f>
        <v>8.7746358755773919</v>
      </c>
      <c r="G22" s="98">
        <f>'3.Nephropathy'!C94</f>
        <v>353.66976343319027</v>
      </c>
      <c r="H22" s="46">
        <f>'4.Neuropathy'!B179</f>
        <v>1.3290937492791874</v>
      </c>
      <c r="I22" s="46">
        <f>'4.Neuropathy'!F179</f>
        <v>8114.891320706427</v>
      </c>
      <c r="J22" s="99">
        <f>'5.Cataract'!C66</f>
        <v>227.51289497326792</v>
      </c>
      <c r="K22" s="98">
        <f>'5.Cataract'!C95</f>
        <v>6923.9522122916551</v>
      </c>
      <c r="L22" s="46">
        <f>'6.Glaucoma'!C66</f>
        <v>9.7981005721839498</v>
      </c>
      <c r="M22" s="46">
        <f>'6.Glaucoma'!C95</f>
        <v>356.19158184691418</v>
      </c>
      <c r="N22" s="99">
        <f>'7. amputations'!B170</f>
        <v>18.45766538625363</v>
      </c>
      <c r="O22" s="98">
        <f>'7. amputations'!F170</f>
        <v>3011.0834599624886</v>
      </c>
      <c r="P22" s="196">
        <f>'8. Foot'!H89</f>
        <v>3.8204603556786276</v>
      </c>
      <c r="Q22" s="196">
        <f>'8. Foot'!H118</f>
        <v>949.88078588844007</v>
      </c>
      <c r="R22" s="99">
        <f t="shared" si="3"/>
        <v>1073.6070732816474</v>
      </c>
      <c r="S22" s="46">
        <f t="shared" si="4"/>
        <v>70857.731187557816</v>
      </c>
      <c r="T22" s="98">
        <f t="shared" si="5"/>
        <v>71931.33826083946</v>
      </c>
    </row>
    <row r="23" spans="1:20" x14ac:dyDescent="0.2">
      <c r="A23" s="33" t="s">
        <v>15</v>
      </c>
      <c r="B23" s="99">
        <f>'1.Diabetes case'!H80</f>
        <v>0</v>
      </c>
      <c r="C23" s="98">
        <f>'1.Diabetes case'!H109</f>
        <v>18545.932048837072</v>
      </c>
      <c r="D23" s="46">
        <f>'2.Retinopathy'!H88</f>
        <v>87.160118775909766</v>
      </c>
      <c r="E23" s="46">
        <f>'2.Retinopathy'!H117</f>
        <v>10940.461311834204</v>
      </c>
      <c r="F23" s="99">
        <f>'3.Nephropathy'!C67</f>
        <v>13.350473546377915</v>
      </c>
      <c r="G23" s="98">
        <f>'3.Nephropathy'!C95</f>
        <v>1087.9766234438223</v>
      </c>
      <c r="H23" s="46">
        <f>'4.Neuropathy'!B180</f>
        <v>0.15489577405504273</v>
      </c>
      <c r="I23" s="46">
        <f>'4.Neuropathy'!F180</f>
        <v>3185.3769618336764</v>
      </c>
      <c r="J23" s="99">
        <f>'5.Cataract'!C67</f>
        <v>364.61111844753509</v>
      </c>
      <c r="K23" s="98">
        <f>'5.Cataract'!C96</f>
        <v>21233.523687053654</v>
      </c>
      <c r="L23" s="46">
        <f>'6.Glaucoma'!C67</f>
        <v>15.865950223898242</v>
      </c>
      <c r="M23" s="46">
        <f>'6.Glaucoma'!C96</f>
        <v>1077.315943669548</v>
      </c>
      <c r="N23" s="99">
        <f>'7. amputations'!B171</f>
        <v>2.1775295999999997</v>
      </c>
      <c r="O23" s="98">
        <f>'7. amputations'!F171</f>
        <v>1530.8538580720001</v>
      </c>
      <c r="P23" s="196">
        <f>'8. Foot'!H90</f>
        <v>2.7697911035721043</v>
      </c>
      <c r="Q23" s="196">
        <f>'8. Foot'!H119</f>
        <v>1372.5382160672</v>
      </c>
      <c r="R23" s="99">
        <f t="shared" si="3"/>
        <v>486.08987747134825</v>
      </c>
      <c r="S23" s="46">
        <f t="shared" si="4"/>
        <v>58973.978650811172</v>
      </c>
      <c r="T23" s="98">
        <f t="shared" si="5"/>
        <v>59460.068528282522</v>
      </c>
    </row>
    <row r="24" spans="1:20" x14ac:dyDescent="0.2">
      <c r="A24" s="33" t="s">
        <v>16</v>
      </c>
      <c r="B24" s="99">
        <f>'1.Diabetes case'!H81</f>
        <v>0</v>
      </c>
      <c r="C24" s="98">
        <f>'1.Diabetes case'!H110</f>
        <v>957.46868469961771</v>
      </c>
      <c r="D24" s="46">
        <f>'2.Retinopathy'!H89</f>
        <v>64.155275372098416</v>
      </c>
      <c r="E24" s="46">
        <f>'2.Retinopathy'!H118</f>
        <v>4698.5684660117613</v>
      </c>
      <c r="F24" s="99">
        <f>'3.Nephropathy'!C68</f>
        <v>16.488883952707781</v>
      </c>
      <c r="G24" s="98">
        <f>'3.Nephropathy'!C96</f>
        <v>1804.4125640924528</v>
      </c>
      <c r="H24" s="46">
        <f>'4.Neuropathy'!B181</f>
        <v>0</v>
      </c>
      <c r="I24" s="46">
        <f>'4.Neuropathy'!F181</f>
        <v>820.13430743211507</v>
      </c>
      <c r="J24" s="99">
        <f>'5.Cataract'!C68</f>
        <v>94.000979757387057</v>
      </c>
      <c r="K24" s="98">
        <f>'5.Cataract'!C97</f>
        <v>8475.6169676915088</v>
      </c>
      <c r="L24" s="46">
        <f>'6.Glaucoma'!C68</f>
        <v>5.8099071760425396</v>
      </c>
      <c r="M24" s="46">
        <f>'6.Glaucoma'!C97</f>
        <v>523.85143185817788</v>
      </c>
      <c r="N24" s="99">
        <f>'7. amputations'!B172</f>
        <v>4.5838576</v>
      </c>
      <c r="O24" s="98">
        <f>'7. amputations'!F172</f>
        <v>820.23152896799991</v>
      </c>
      <c r="P24" s="196">
        <f>'8. Foot'!H91</f>
        <v>1.4392845883889935</v>
      </c>
      <c r="Q24" s="196">
        <f>'8. Foot'!H120</f>
        <v>831.99940841934006</v>
      </c>
      <c r="R24" s="99">
        <f t="shared" si="3"/>
        <v>186.47818844662478</v>
      </c>
      <c r="S24" s="46">
        <f t="shared" si="4"/>
        <v>18932.283359172972</v>
      </c>
      <c r="T24" s="98">
        <f t="shared" si="5"/>
        <v>19118.761547619597</v>
      </c>
    </row>
    <row r="25" spans="1:20" x14ac:dyDescent="0.2">
      <c r="A25" s="33" t="s">
        <v>17</v>
      </c>
      <c r="B25" s="99">
        <f>'1.Diabetes case'!H82</f>
        <v>0</v>
      </c>
      <c r="C25" s="98">
        <f>'1.Diabetes case'!H111</f>
        <v>685.31762042099183</v>
      </c>
      <c r="D25" s="46">
        <f>'2.Retinopathy'!H90</f>
        <v>44.044726197174342</v>
      </c>
      <c r="E25" s="46">
        <f>'2.Retinopathy'!H119</f>
        <v>1995.3680762585682</v>
      </c>
      <c r="F25" s="99">
        <f>'3.Nephropathy'!C69</f>
        <v>19.314906149451087</v>
      </c>
      <c r="G25" s="98">
        <f>'3.Nephropathy'!C97</f>
        <v>1893.9022926836772</v>
      </c>
      <c r="H25" s="46">
        <f>'4.Neuropathy'!B182</f>
        <v>0</v>
      </c>
      <c r="I25" s="46">
        <f>'4.Neuropathy'!F182</f>
        <v>129.52651276357119</v>
      </c>
      <c r="J25" s="99">
        <f>'5.Cataract'!C69</f>
        <v>14.947001851624288</v>
      </c>
      <c r="K25" s="98">
        <f>'5.Cataract'!C98</f>
        <v>1301.5242028663492</v>
      </c>
      <c r="L25" s="46">
        <f>'6.Glaucoma'!C69</f>
        <v>1.0515243617458783</v>
      </c>
      <c r="M25" s="46">
        <f>'6.Glaucoma'!C98</f>
        <v>91.562469871984874</v>
      </c>
      <c r="N25" s="99">
        <f>'7. amputations'!B173</f>
        <v>0.2242816</v>
      </c>
      <c r="O25" s="98">
        <f>'7. amputations'!F173</f>
        <v>163.74714056807875</v>
      </c>
      <c r="P25" s="196">
        <f>'8. Foot'!H92</f>
        <v>0.60749285595056834</v>
      </c>
      <c r="Q25" s="196">
        <f>'8. Foot'!H121</f>
        <v>225.75361796399997</v>
      </c>
      <c r="R25" s="99">
        <f t="shared" si="3"/>
        <v>80.189933015946167</v>
      </c>
      <c r="S25" s="46">
        <f t="shared" si="4"/>
        <v>6486.7019333972221</v>
      </c>
      <c r="T25" s="98">
        <f t="shared" si="5"/>
        <v>6566.8918664131679</v>
      </c>
    </row>
    <row r="26" spans="1:20" x14ac:dyDescent="0.2">
      <c r="A26" s="34" t="s">
        <v>18</v>
      </c>
      <c r="B26" s="99">
        <f>'1.Diabetes case'!H83</f>
        <v>395.31835972738156</v>
      </c>
      <c r="C26" s="98">
        <f>'1.Diabetes case'!H112</f>
        <v>81778.158999523672</v>
      </c>
      <c r="D26" s="46">
        <f>'2.Retinopathy'!H91</f>
        <v>5362.4518932684032</v>
      </c>
      <c r="E26" s="46">
        <f>'2.Retinopathy'!H120</f>
        <v>54990.657315911914</v>
      </c>
      <c r="F26" s="99">
        <f>'3.Nephropathy'!C70</f>
        <v>68.021909835528035</v>
      </c>
      <c r="G26" s="98">
        <f>'3.Nephropathy'!C98</f>
        <v>5302.735605532599</v>
      </c>
      <c r="H26" s="46">
        <f>'4.Neuropathy'!B183</f>
        <v>86.37988084568596</v>
      </c>
      <c r="I26" s="46">
        <f>'4.Neuropathy'!F183</f>
        <v>20781.12499505181</v>
      </c>
      <c r="J26" s="99">
        <f>'5.Cataract'!C70</f>
        <v>723.07765255490574</v>
      </c>
      <c r="K26" s="98">
        <f>'5.Cataract'!C99</f>
        <v>38311.413308707517</v>
      </c>
      <c r="L26" s="46">
        <f>'6.Glaucoma'!C70</f>
        <v>37.606708630948255</v>
      </c>
      <c r="M26" s="46">
        <f>'6.Glaucoma'!C99</f>
        <v>2144.9075881975441</v>
      </c>
      <c r="N26" s="99">
        <f>'7. amputations'!B174</f>
        <v>78.787613258993176</v>
      </c>
      <c r="O26" s="98">
        <f>'7. amputations'!F174</f>
        <v>6616.7240343279454</v>
      </c>
      <c r="P26" s="196">
        <f>'8. Foot'!H93</f>
        <v>11.938500386923725</v>
      </c>
      <c r="Q26" s="196">
        <f>'8. Foot'!H122</f>
        <v>3738.7630047913703</v>
      </c>
      <c r="R26" s="99">
        <f t="shared" si="3"/>
        <v>6763.5825185087706</v>
      </c>
      <c r="S26" s="46">
        <f t="shared" si="4"/>
        <v>213664.48485204441</v>
      </c>
      <c r="T26" s="98">
        <f t="shared" si="5"/>
        <v>220428.06737055318</v>
      </c>
    </row>
    <row r="27" spans="1:20" x14ac:dyDescent="0.2">
      <c r="A27" s="30"/>
      <c r="B27" s="30"/>
      <c r="C27" s="32"/>
      <c r="D27" s="31"/>
      <c r="E27" s="31"/>
      <c r="F27" s="30"/>
      <c r="G27" s="32"/>
      <c r="H27" s="31"/>
      <c r="I27" s="31"/>
      <c r="J27" s="30"/>
      <c r="K27" s="32"/>
      <c r="L27" s="31"/>
      <c r="M27" s="31"/>
      <c r="N27" s="30"/>
      <c r="O27" s="32"/>
      <c r="P27" s="30"/>
      <c r="Q27" s="32"/>
      <c r="R27" s="399">
        <f>SUM(R15,R26)</f>
        <v>12158.91099086414</v>
      </c>
      <c r="S27" s="399">
        <f t="shared" ref="S27:T27" si="6">SUM(S15,S26)</f>
        <v>360707.30996445939</v>
      </c>
      <c r="T27" s="399">
        <f t="shared" si="6"/>
        <v>372866.22095532354</v>
      </c>
    </row>
    <row r="29" spans="1:20" s="22" customFormat="1" x14ac:dyDescent="0.2">
      <c r="A29" s="23" t="s">
        <v>245</v>
      </c>
    </row>
    <row r="30" spans="1:20" s="22" customFormat="1" x14ac:dyDescent="0.2">
      <c r="A30" s="23"/>
    </row>
    <row r="31" spans="1:20" s="22" customFormat="1" x14ac:dyDescent="0.2">
      <c r="A31" s="24" t="s">
        <v>25</v>
      </c>
      <c r="B31" s="408" t="s">
        <v>237</v>
      </c>
      <c r="C31" s="409"/>
      <c r="D31" s="408" t="s">
        <v>238</v>
      </c>
      <c r="E31" s="409"/>
      <c r="F31" s="410" t="s">
        <v>239</v>
      </c>
      <c r="G31" s="410"/>
      <c r="H31" s="408" t="s">
        <v>240</v>
      </c>
      <c r="I31" s="409"/>
      <c r="J31" s="410" t="s">
        <v>241</v>
      </c>
      <c r="K31" s="410"/>
      <c r="L31" s="408" t="s">
        <v>242</v>
      </c>
      <c r="M31" s="409"/>
      <c r="N31" s="408" t="s">
        <v>243</v>
      </c>
      <c r="O31" s="409"/>
      <c r="P31" s="410" t="s">
        <v>295</v>
      </c>
      <c r="Q31" s="410"/>
      <c r="R31" s="305" t="s">
        <v>18</v>
      </c>
      <c r="S31" s="307"/>
      <c r="T31" s="306"/>
    </row>
    <row r="32" spans="1:20" s="22" customFormat="1" x14ac:dyDescent="0.2">
      <c r="A32" s="30"/>
      <c r="B32" s="72" t="s">
        <v>123</v>
      </c>
      <c r="C32" s="73" t="s">
        <v>124</v>
      </c>
      <c r="D32" s="72" t="s">
        <v>123</v>
      </c>
      <c r="E32" s="73" t="s">
        <v>124</v>
      </c>
      <c r="F32" s="230" t="s">
        <v>123</v>
      </c>
      <c r="G32" s="230" t="s">
        <v>124</v>
      </c>
      <c r="H32" s="72" t="s">
        <v>123</v>
      </c>
      <c r="I32" s="73" t="s">
        <v>124</v>
      </c>
      <c r="J32" s="230" t="s">
        <v>123</v>
      </c>
      <c r="K32" s="230" t="s">
        <v>124</v>
      </c>
      <c r="L32" s="72" t="s">
        <v>123</v>
      </c>
      <c r="M32" s="73" t="s">
        <v>124</v>
      </c>
      <c r="N32" s="72" t="s">
        <v>123</v>
      </c>
      <c r="O32" s="73" t="s">
        <v>124</v>
      </c>
      <c r="P32" s="230" t="s">
        <v>123</v>
      </c>
      <c r="Q32" s="230" t="s">
        <v>124</v>
      </c>
      <c r="R32" s="72" t="s">
        <v>123</v>
      </c>
      <c r="S32" s="230" t="s">
        <v>124</v>
      </c>
      <c r="T32" s="233" t="s">
        <v>244</v>
      </c>
    </row>
    <row r="33" spans="1:20" s="22" customFormat="1" x14ac:dyDescent="0.2">
      <c r="A33" s="27"/>
      <c r="B33" s="27"/>
      <c r="C33" s="29"/>
      <c r="D33" s="27"/>
      <c r="E33" s="29"/>
      <c r="F33" s="28"/>
      <c r="G33" s="28"/>
      <c r="H33" s="27"/>
      <c r="I33" s="29"/>
      <c r="J33" s="28"/>
      <c r="K33" s="28"/>
      <c r="L33" s="27"/>
      <c r="M33" s="29"/>
      <c r="N33" s="27"/>
      <c r="O33" s="29"/>
      <c r="R33" s="27"/>
      <c r="S33" s="28"/>
      <c r="T33" s="29"/>
    </row>
    <row r="34" spans="1:20" s="22" customFormat="1" x14ac:dyDescent="0.2">
      <c r="A34" s="48" t="s">
        <v>34</v>
      </c>
      <c r="B34" s="27"/>
      <c r="C34" s="29"/>
      <c r="D34" s="27"/>
      <c r="E34" s="29"/>
      <c r="F34" s="28"/>
      <c r="G34" s="28"/>
      <c r="H34" s="27"/>
      <c r="I34" s="29"/>
      <c r="J34" s="28"/>
      <c r="K34" s="28"/>
      <c r="L34" s="27"/>
      <c r="M34" s="29"/>
      <c r="N34" s="27"/>
      <c r="O34" s="29"/>
      <c r="R34" s="27"/>
      <c r="S34" s="28"/>
      <c r="T34" s="29"/>
    </row>
    <row r="35" spans="1:20" s="22" customFormat="1" x14ac:dyDescent="0.2">
      <c r="A35" s="33" t="s">
        <v>7</v>
      </c>
      <c r="B35" s="99">
        <f>'1.Diabetes case'!I64</f>
        <v>29.121540175092584</v>
      </c>
      <c r="C35" s="98">
        <f>'1.Diabetes case'!I93</f>
        <v>0</v>
      </c>
      <c r="D35" s="99">
        <f>'2.Retinopathy'!I72</f>
        <v>0</v>
      </c>
      <c r="E35" s="98">
        <f>'2.Retinopathy'!I101</f>
        <v>0</v>
      </c>
      <c r="F35" s="46">
        <f>'3.Nephropathy'!D51</f>
        <v>0</v>
      </c>
      <c r="G35" s="46">
        <f>'3.Nephropathy'!D79</f>
        <v>0</v>
      </c>
      <c r="H35" s="99">
        <f>'4.Neuropathy'!C164</f>
        <v>0</v>
      </c>
      <c r="I35" s="98">
        <f>'4.Neuropathy'!G164</f>
        <v>0</v>
      </c>
      <c r="J35" s="46">
        <f>'5.Cataract'!D51</f>
        <v>0</v>
      </c>
      <c r="K35" s="46">
        <f>'5.Cataract'!D80</f>
        <v>0</v>
      </c>
      <c r="L35" s="99">
        <f>'6.Glaucoma'!D51</f>
        <v>0</v>
      </c>
      <c r="M35" s="98">
        <f>'6.Glaucoma'!D80</f>
        <v>0</v>
      </c>
      <c r="N35" s="99">
        <f>'7. amputations'!C155</f>
        <v>0</v>
      </c>
      <c r="O35" s="98">
        <f>'7. amputations'!G155</f>
        <v>0</v>
      </c>
      <c r="P35" s="196">
        <f>'8. Foot'!I74</f>
        <v>0</v>
      </c>
      <c r="Q35" s="196">
        <f>'8. Foot'!I103</f>
        <v>0</v>
      </c>
      <c r="R35" s="99">
        <f>B35+D35+F35+H35+J35+L35+N35+P35</f>
        <v>29.121540175092584</v>
      </c>
      <c r="S35" s="46">
        <f>C35+E35+G35+I35+K35+M35+O35+Q35</f>
        <v>0</v>
      </c>
      <c r="T35" s="98">
        <f>R35+S35</f>
        <v>29.121540175092584</v>
      </c>
    </row>
    <row r="36" spans="1:20" s="22" customFormat="1" x14ac:dyDescent="0.2">
      <c r="A36" s="33" t="s">
        <v>11</v>
      </c>
      <c r="B36" s="99">
        <f>'1.Diabetes case'!I65</f>
        <v>58.146263377092403</v>
      </c>
      <c r="C36" s="98">
        <f>'1.Diabetes case'!I94</f>
        <v>0</v>
      </c>
      <c r="D36" s="99">
        <f>'2.Retinopathy'!I73</f>
        <v>276.70899052684348</v>
      </c>
      <c r="E36" s="98">
        <f>'2.Retinopathy'!I102</f>
        <v>832.59716890843038</v>
      </c>
      <c r="F36" s="46">
        <f>'3.Nephropathy'!D52</f>
        <v>0.42864607180899666</v>
      </c>
      <c r="G36" s="46">
        <f>'3.Nephropathy'!D80</f>
        <v>0</v>
      </c>
      <c r="H36" s="99">
        <f>'4.Neuropathy'!C165</f>
        <v>1.8814177965497227</v>
      </c>
      <c r="I36" s="98">
        <f>'4.Neuropathy'!G165</f>
        <v>0</v>
      </c>
      <c r="J36" s="46">
        <f>'5.Cataract'!D52</f>
        <v>0</v>
      </c>
      <c r="K36" s="46">
        <f>'5.Cataract'!D81</f>
        <v>0</v>
      </c>
      <c r="L36" s="99">
        <f>'6.Glaucoma'!D52</f>
        <v>0</v>
      </c>
      <c r="M36" s="98">
        <f>'6.Glaucoma'!D81</f>
        <v>0</v>
      </c>
      <c r="N36" s="99">
        <f>'7. amputations'!C156</f>
        <v>0</v>
      </c>
      <c r="O36" s="98">
        <f>'7. amputations'!G156</f>
        <v>0</v>
      </c>
      <c r="P36" s="196">
        <f>'8. Foot'!I75</f>
        <v>0</v>
      </c>
      <c r="Q36" s="196">
        <f>'8. Foot'!I104</f>
        <v>0</v>
      </c>
      <c r="R36" s="99">
        <f t="shared" ref="R36:R43" si="7">B36+D36+F36+H36+J36+L36+N36+P36</f>
        <v>337.1653177722946</v>
      </c>
      <c r="S36" s="46">
        <f t="shared" ref="S36:S43" si="8">C36+E36+G36+I36+K36+M36+O36+Q36</f>
        <v>832.59716890843038</v>
      </c>
      <c r="T36" s="98">
        <f t="shared" ref="T36:T43" si="9">R36+S36</f>
        <v>1169.762486680725</v>
      </c>
    </row>
    <row r="37" spans="1:20" s="22" customFormat="1" x14ac:dyDescent="0.2">
      <c r="A37" s="33" t="s">
        <v>12</v>
      </c>
      <c r="B37" s="99">
        <f>'1.Diabetes case'!I66</f>
        <v>82.876088816981124</v>
      </c>
      <c r="C37" s="98">
        <f>'1.Diabetes case'!I95</f>
        <v>2816.1591666131458</v>
      </c>
      <c r="D37" s="99">
        <f>'2.Retinopathy'!I74</f>
        <v>902.43963021559114</v>
      </c>
      <c r="E37" s="98">
        <f>'2.Retinopathy'!I103</f>
        <v>2628.3633714313078</v>
      </c>
      <c r="F37" s="46">
        <f>'3.Nephropathy'!D53</f>
        <v>1.0824625856052263</v>
      </c>
      <c r="G37" s="46">
        <f>'3.Nephropathy'!D81</f>
        <v>6.8181634792321741</v>
      </c>
      <c r="H37" s="99">
        <f>'4.Neuropathy'!C166</f>
        <v>24.265243106169393</v>
      </c>
      <c r="I37" s="98">
        <f>'4.Neuropathy'!G166</f>
        <v>1132.5255161816856</v>
      </c>
      <c r="J37" s="46">
        <f>'5.Cataract'!D53</f>
        <v>0</v>
      </c>
      <c r="K37" s="46">
        <f>'5.Cataract'!D82</f>
        <v>0</v>
      </c>
      <c r="L37" s="99">
        <f>'6.Glaucoma'!D53</f>
        <v>0</v>
      </c>
      <c r="M37" s="98">
        <f>'6.Glaucoma'!D82</f>
        <v>0</v>
      </c>
      <c r="N37" s="99">
        <f>'7. amputations'!C157</f>
        <v>25.818546070082931</v>
      </c>
      <c r="O37" s="98">
        <f>'7. amputations'!G157</f>
        <v>33.086825754577106</v>
      </c>
      <c r="P37" s="196">
        <f>'8. Foot'!I76</f>
        <v>1.5166871299753333</v>
      </c>
      <c r="Q37" s="196">
        <f>'8. Foot'!I105</f>
        <v>58.520875255167553</v>
      </c>
      <c r="R37" s="99">
        <f t="shared" si="7"/>
        <v>1037.9986579244051</v>
      </c>
      <c r="S37" s="46">
        <f t="shared" si="8"/>
        <v>6675.4739187151163</v>
      </c>
      <c r="T37" s="98">
        <f t="shared" si="9"/>
        <v>7713.4725766395213</v>
      </c>
    </row>
    <row r="38" spans="1:20" s="22" customFormat="1" x14ac:dyDescent="0.2">
      <c r="A38" s="33" t="s">
        <v>13</v>
      </c>
      <c r="B38" s="99">
        <f>'1.Diabetes case'!I67</f>
        <v>6.9059979839121937</v>
      </c>
      <c r="C38" s="98">
        <f>'1.Diabetes case'!I96</f>
        <v>13022.4710085396</v>
      </c>
      <c r="D38" s="99">
        <f>'2.Retinopathy'!I75</f>
        <v>819.80878569318747</v>
      </c>
      <c r="E38" s="98">
        <f>'2.Retinopathy'!I104</f>
        <v>10287.77978948708</v>
      </c>
      <c r="F38" s="46">
        <f>'3.Nephropathy'!D54</f>
        <v>5.9995678704284066</v>
      </c>
      <c r="G38" s="46">
        <f>'3.Nephropathy'!D82</f>
        <v>107.29148266600295</v>
      </c>
      <c r="H38" s="99">
        <f>'4.Neuropathy'!C167</f>
        <v>12.043120705053047</v>
      </c>
      <c r="I38" s="98">
        <f>'4.Neuropathy'!G167</f>
        <v>3074.1646121826188</v>
      </c>
      <c r="J38" s="46">
        <f>'5.Cataract'!D54</f>
        <v>22.608727147151438</v>
      </c>
      <c r="K38" s="46">
        <f>'5.Cataract'!D83</f>
        <v>353.12012543184062</v>
      </c>
      <c r="L38" s="99">
        <f>'6.Glaucoma'!D54</f>
        <v>5.928866258082321</v>
      </c>
      <c r="M38" s="98">
        <f>'6.Glaucoma'!D83</f>
        <v>101.1124569581086</v>
      </c>
      <c r="N38" s="99">
        <f>'7. amputations'!C158</f>
        <v>50.96733686354527</v>
      </c>
      <c r="O38" s="98">
        <f>'7. amputations'!G158</f>
        <v>716.2348622144541</v>
      </c>
      <c r="P38" s="196">
        <f>'8. Foot'!I77</f>
        <v>6.1484451765421984</v>
      </c>
      <c r="Q38" s="196">
        <f>'8. Foot'!I106</f>
        <v>710.21312011980569</v>
      </c>
      <c r="R38" s="99">
        <f t="shared" si="7"/>
        <v>930.41084769790234</v>
      </c>
      <c r="S38" s="46">
        <f t="shared" si="8"/>
        <v>28372.387457599511</v>
      </c>
      <c r="T38" s="98">
        <f t="shared" si="9"/>
        <v>29302.798305297412</v>
      </c>
    </row>
    <row r="39" spans="1:20" s="22" customFormat="1" x14ac:dyDescent="0.2">
      <c r="A39" s="33" t="s">
        <v>14</v>
      </c>
      <c r="B39" s="99">
        <f>'1.Diabetes case'!I68</f>
        <v>0</v>
      </c>
      <c r="C39" s="98">
        <f>'1.Diabetes case'!I97</f>
        <v>12187.658416340302</v>
      </c>
      <c r="D39" s="99">
        <f>'2.Retinopathy'!I76</f>
        <v>527.25502538772582</v>
      </c>
      <c r="E39" s="98">
        <f>'2.Retinopathy'!I105</f>
        <v>13789.731283867486</v>
      </c>
      <c r="F39" s="46">
        <f>'3.Nephropathy'!D55</f>
        <v>7.0225629789683088</v>
      </c>
      <c r="G39" s="46">
        <f>'3.Nephropathy'!D83</f>
        <v>282.00092608959432</v>
      </c>
      <c r="H39" s="99">
        <f>'4.Neuropathy'!C168</f>
        <v>0.61553980200544245</v>
      </c>
      <c r="I39" s="98">
        <f>'4.Neuropathy'!G168</f>
        <v>5981.4594146507252</v>
      </c>
      <c r="J39" s="46">
        <f>'5.Cataract'!D55</f>
        <v>140.30748273294725</v>
      </c>
      <c r="K39" s="46">
        <f>'5.Cataract'!D84</f>
        <v>4277.3816925065094</v>
      </c>
      <c r="L39" s="99">
        <f>'6.Glaucoma'!D55</f>
        <v>10.529123613754177</v>
      </c>
      <c r="M39" s="98">
        <f>'6.Glaucoma'!D84</f>
        <v>382.18080611776497</v>
      </c>
      <c r="N39" s="99">
        <f>'7. amputations'!C159</f>
        <v>13.508379246652318</v>
      </c>
      <c r="O39" s="98">
        <f>'7. amputations'!G159</f>
        <v>2530.3495733718614</v>
      </c>
      <c r="P39" s="196">
        <f>'8. Foot'!I78</f>
        <v>5.746506285606598</v>
      </c>
      <c r="Q39" s="196">
        <f>'8. Foot'!I107</f>
        <v>1674.4129564313621</v>
      </c>
      <c r="R39" s="99">
        <f t="shared" si="7"/>
        <v>704.98462004765997</v>
      </c>
      <c r="S39" s="46">
        <f t="shared" si="8"/>
        <v>41105.175069375604</v>
      </c>
      <c r="T39" s="98">
        <f t="shared" si="9"/>
        <v>41810.159689423264</v>
      </c>
    </row>
    <row r="40" spans="1:20" s="22" customFormat="1" x14ac:dyDescent="0.2">
      <c r="A40" s="33" t="s">
        <v>15</v>
      </c>
      <c r="B40" s="99">
        <f>'1.Diabetes case'!I69</f>
        <v>0</v>
      </c>
      <c r="C40" s="98">
        <f>'1.Diabetes case'!I98</f>
        <v>4229.7667711178519</v>
      </c>
      <c r="D40" s="99">
        <f>'2.Retinopathy'!I77</f>
        <v>63.669535790786625</v>
      </c>
      <c r="E40" s="98">
        <f>'2.Retinopathy'!I106</f>
        <v>3924.6613162935637</v>
      </c>
      <c r="F40" s="46">
        <f>'3.Nephropathy'!D56</f>
        <v>15.281385439976813</v>
      </c>
      <c r="G40" s="46">
        <f>'3.Nephropathy'!D84</f>
        <v>895.63586311668053</v>
      </c>
      <c r="H40" s="99">
        <f>'4.Neuropathy'!C169</f>
        <v>6.0518215363713958E-3</v>
      </c>
      <c r="I40" s="98">
        <f>'4.Neuropathy'!G169</f>
        <v>1190.4846252742102</v>
      </c>
      <c r="J40" s="46">
        <f>'5.Cataract'!D56</f>
        <v>156.68885494874149</v>
      </c>
      <c r="K40" s="46">
        <f>'5.Cataract'!D85</f>
        <v>7133.4210497248632</v>
      </c>
      <c r="L40" s="99">
        <f>'6.Glaucoma'!D56</f>
        <v>3.6049569916376236</v>
      </c>
      <c r="M40" s="98">
        <f>'6.Glaucoma'!D85</f>
        <v>184.68126215879099</v>
      </c>
      <c r="N40" s="99">
        <f>'7. amputations'!C160</f>
        <v>8.7574743688899126</v>
      </c>
      <c r="O40" s="98">
        <f>'7. amputations'!G160</f>
        <v>1480.2897511937779</v>
      </c>
      <c r="P40" s="196">
        <f>'8. Foot'!I79</f>
        <v>2.1761489400715148</v>
      </c>
      <c r="Q40" s="196">
        <f>'8. Foot'!I108</f>
        <v>1027.3806740914281</v>
      </c>
      <c r="R40" s="99">
        <f t="shared" si="7"/>
        <v>250.18440830164039</v>
      </c>
      <c r="S40" s="46">
        <f t="shared" si="8"/>
        <v>20066.321312971169</v>
      </c>
      <c r="T40" s="98">
        <f t="shared" si="9"/>
        <v>20316.50572127281</v>
      </c>
    </row>
    <row r="41" spans="1:20" s="22" customFormat="1" x14ac:dyDescent="0.2">
      <c r="A41" s="33" t="s">
        <v>16</v>
      </c>
      <c r="B41" s="99">
        <f>'1.Diabetes case'!I70</f>
        <v>0</v>
      </c>
      <c r="C41" s="98">
        <f>'1.Diabetes case'!I99</f>
        <v>929.52140652324408</v>
      </c>
      <c r="D41" s="99">
        <f>'2.Retinopathy'!I78</f>
        <v>20.950639446709509</v>
      </c>
      <c r="E41" s="98">
        <f>'2.Retinopathy'!I107</f>
        <v>1154.7377344926513</v>
      </c>
      <c r="F41" s="46">
        <f>'3.Nephropathy'!D57</f>
        <v>24.990787218609526</v>
      </c>
      <c r="G41" s="46">
        <f>'3.Nephropathy'!D85</f>
        <v>1781.4619470259779</v>
      </c>
      <c r="H41" s="99">
        <f>'4.Neuropathy'!C170</f>
        <v>0</v>
      </c>
      <c r="I41" s="98">
        <f>'4.Neuropathy'!G170</f>
        <v>345.62711236388276</v>
      </c>
      <c r="J41" s="46">
        <f>'5.Cataract'!D57</f>
        <v>49.79781354016594</v>
      </c>
      <c r="K41" s="46">
        <f>'5.Cataract'!D86</f>
        <v>3086.465378413709</v>
      </c>
      <c r="L41" s="99">
        <f>'6.Glaucoma'!D57</f>
        <v>9.7885276470615299</v>
      </c>
      <c r="M41" s="98">
        <f>'6.Glaucoma'!D86</f>
        <v>606.69233326745268</v>
      </c>
      <c r="N41" s="99">
        <f>'7. amputations'!C161</f>
        <v>4.3924416574231389</v>
      </c>
      <c r="O41" s="98">
        <f>'7. amputations'!G161</f>
        <v>518.56719216916883</v>
      </c>
      <c r="P41" s="196">
        <f>'8. Foot'!I80</f>
        <v>1.2440742627589034</v>
      </c>
      <c r="Q41" s="196">
        <f>'8. Foot'!I109</f>
        <v>703.85932292934262</v>
      </c>
      <c r="R41" s="99">
        <f t="shared" si="7"/>
        <v>111.16428377272854</v>
      </c>
      <c r="S41" s="46">
        <f t="shared" si="8"/>
        <v>9126.9324271854275</v>
      </c>
      <c r="T41" s="98">
        <f t="shared" si="9"/>
        <v>9238.0967109581561</v>
      </c>
    </row>
    <row r="42" spans="1:20" s="22" customFormat="1" x14ac:dyDescent="0.2">
      <c r="A42" s="33" t="s">
        <v>17</v>
      </c>
      <c r="B42" s="99">
        <f>'1.Diabetes case'!I71</f>
        <v>0</v>
      </c>
      <c r="C42" s="98">
        <f>'1.Diabetes case'!I100</f>
        <v>365.30575817991462</v>
      </c>
      <c r="D42" s="99">
        <f>'2.Retinopathy'!I79</f>
        <v>16.965980115962417</v>
      </c>
      <c r="E42" s="98">
        <f>'2.Retinopathy'!I108</f>
        <v>394.96528114922342</v>
      </c>
      <c r="F42" s="46">
        <f>'3.Nephropathy'!D58</f>
        <v>15.179301097222613</v>
      </c>
      <c r="G42" s="46">
        <f>'3.Nephropathy'!D86</f>
        <v>1429.155420592494</v>
      </c>
      <c r="H42" s="99">
        <f>'4.Neuropathy'!C171</f>
        <v>0</v>
      </c>
      <c r="I42" s="98">
        <f>'4.Neuropathy'!G171</f>
        <v>103.21168535996591</v>
      </c>
      <c r="J42" s="46">
        <f>'5.Cataract'!D58</f>
        <v>6.1910965415834678</v>
      </c>
      <c r="K42" s="46">
        <f>'5.Cataract'!D87</f>
        <v>512.22908402869075</v>
      </c>
      <c r="L42" s="99">
        <f>'6.Glaucoma'!D58</f>
        <v>0.66143757589208507</v>
      </c>
      <c r="M42" s="98">
        <f>'6.Glaucoma'!D87</f>
        <v>54.724968568282925</v>
      </c>
      <c r="N42" s="99">
        <f>'7. amputations'!C162</f>
        <v>14.240916058672619</v>
      </c>
      <c r="O42" s="98">
        <f>'7. amputations'!G162</f>
        <v>121.62552047943322</v>
      </c>
      <c r="P42" s="196">
        <f>'8. Foot'!I81</f>
        <v>0.55835655717512478</v>
      </c>
      <c r="Q42" s="196">
        <f>'8. Foot'!I110</f>
        <v>326.13664024103412</v>
      </c>
      <c r="R42" s="99">
        <f t="shared" si="7"/>
        <v>53.797087946508327</v>
      </c>
      <c r="S42" s="46">
        <f t="shared" si="8"/>
        <v>3307.3543585990392</v>
      </c>
      <c r="T42" s="98">
        <f t="shared" si="9"/>
        <v>3361.1514465455475</v>
      </c>
    </row>
    <row r="43" spans="1:20" s="22" customFormat="1" x14ac:dyDescent="0.2">
      <c r="A43" s="34" t="s">
        <v>18</v>
      </c>
      <c r="B43" s="99">
        <f>'1.Diabetes case'!I72</f>
        <v>177.0498903530783</v>
      </c>
      <c r="C43" s="98">
        <f>'1.Diabetes case'!I101</f>
        <v>33550.882527314061</v>
      </c>
      <c r="D43" s="99">
        <f>'2.Retinopathy'!I80</f>
        <v>2627.798587176806</v>
      </c>
      <c r="E43" s="98">
        <f>'2.Retinopathy'!I109</f>
        <v>33012.83594562974</v>
      </c>
      <c r="F43" s="46">
        <f>'3.Nephropathy'!D59</f>
        <v>69.984713262619891</v>
      </c>
      <c r="G43" s="46">
        <f>'3.Nephropathy'!D87</f>
        <v>4502.3638029699814</v>
      </c>
      <c r="H43" s="99">
        <f>'4.Neuropathy'!C172</f>
        <v>38.811373231313979</v>
      </c>
      <c r="I43" s="98">
        <f>'4.Neuropathy'!G172</f>
        <v>11827.472966013089</v>
      </c>
      <c r="J43" s="46">
        <f>'5.Cataract'!D59</f>
        <v>375.59397491058957</v>
      </c>
      <c r="K43" s="46">
        <f>'5.Cataract'!D88</f>
        <v>15362.617330105611</v>
      </c>
      <c r="L43" s="99">
        <f>'6.Glaucoma'!D59</f>
        <v>30.512912086427736</v>
      </c>
      <c r="M43" s="98">
        <f>'6.Glaucoma'!D88</f>
        <v>1329.3918270704003</v>
      </c>
      <c r="N43" s="99">
        <f>'7. amputations'!C163</f>
        <v>117.6850942652662</v>
      </c>
      <c r="O43" s="98">
        <f>'7. amputations'!G163</f>
        <v>5400.1537251832733</v>
      </c>
      <c r="P43" s="196">
        <f>'8. Foot'!I82</f>
        <v>17.390218352129672</v>
      </c>
      <c r="Q43" s="196">
        <f>'8. Foot'!I111</f>
        <v>4500.5235890681406</v>
      </c>
      <c r="R43" s="99">
        <f t="shared" si="7"/>
        <v>3454.8267636382316</v>
      </c>
      <c r="S43" s="46">
        <f t="shared" si="8"/>
        <v>109486.24171335429</v>
      </c>
      <c r="T43" s="98">
        <f t="shared" si="9"/>
        <v>112941.06847699253</v>
      </c>
    </row>
    <row r="44" spans="1:20" s="22" customFormat="1" x14ac:dyDescent="0.2">
      <c r="A44" s="27"/>
      <c r="B44" s="99"/>
      <c r="C44" s="98"/>
      <c r="D44" s="99"/>
      <c r="E44" s="98"/>
      <c r="F44" s="46"/>
      <c r="G44" s="46"/>
      <c r="H44" s="99"/>
      <c r="I44" s="98"/>
      <c r="J44" s="46"/>
      <c r="K44" s="46"/>
      <c r="L44" s="99"/>
      <c r="M44" s="98"/>
      <c r="N44" s="99"/>
      <c r="O44" s="98"/>
      <c r="R44" s="27"/>
      <c r="S44" s="28"/>
      <c r="T44" s="29"/>
    </row>
    <row r="45" spans="1:20" s="22" customFormat="1" x14ac:dyDescent="0.2">
      <c r="A45" s="48" t="s">
        <v>35</v>
      </c>
      <c r="B45" s="99"/>
      <c r="C45" s="98"/>
      <c r="D45" s="99"/>
      <c r="E45" s="98"/>
      <c r="F45" s="46"/>
      <c r="G45" s="46"/>
      <c r="H45" s="99"/>
      <c r="I45" s="98"/>
      <c r="J45" s="46"/>
      <c r="K45" s="46"/>
      <c r="L45" s="99"/>
      <c r="M45" s="98"/>
      <c r="N45" s="99"/>
      <c r="O45" s="98"/>
      <c r="R45" s="27"/>
      <c r="S45" s="28"/>
      <c r="T45" s="29"/>
    </row>
    <row r="46" spans="1:20" s="22" customFormat="1" x14ac:dyDescent="0.2">
      <c r="A46" s="33" t="s">
        <v>7</v>
      </c>
      <c r="B46" s="99">
        <f>'1.Diabetes case'!I75</f>
        <v>29.225142196181803</v>
      </c>
      <c r="C46" s="98">
        <f>'1.Diabetes case'!I104</f>
        <v>0</v>
      </c>
      <c r="D46" s="99">
        <f>'2.Retinopathy'!I83</f>
        <v>0</v>
      </c>
      <c r="E46" s="98">
        <f>'2.Retinopathy'!I112</f>
        <v>0</v>
      </c>
      <c r="F46" s="46">
        <f>'3.Nephropathy'!D62</f>
        <v>0</v>
      </c>
      <c r="G46" s="46">
        <f>'3.Nephropathy'!D90</f>
        <v>0</v>
      </c>
      <c r="H46" s="99">
        <f>'4.Neuropathy'!C175</f>
        <v>0</v>
      </c>
      <c r="I46" s="98">
        <f>'4.Neuropathy'!G175</f>
        <v>0</v>
      </c>
      <c r="J46" s="46">
        <f>'5.Cataract'!D62</f>
        <v>0</v>
      </c>
      <c r="K46" s="46">
        <f>'5.Cataract'!D91</f>
        <v>0</v>
      </c>
      <c r="L46" s="99">
        <f>'6.Glaucoma'!D62</f>
        <v>0</v>
      </c>
      <c r="M46" s="98">
        <f>'6.Glaucoma'!D91</f>
        <v>0</v>
      </c>
      <c r="N46" s="99">
        <f>'7. amputations'!C166</f>
        <v>0</v>
      </c>
      <c r="O46" s="98">
        <f>'7. amputations'!G166</f>
        <v>0</v>
      </c>
      <c r="P46" s="196">
        <f>'8. Foot'!I85</f>
        <v>0</v>
      </c>
      <c r="Q46" s="196">
        <f>'8. Foot'!I114</f>
        <v>0</v>
      </c>
      <c r="R46" s="99">
        <f>B46+D46+F46+H46+J46+L46+N46+P46</f>
        <v>29.225142196181803</v>
      </c>
      <c r="S46" s="46">
        <f>C46+E46+G46+I46+K46+M46+O46+Q46</f>
        <v>0</v>
      </c>
      <c r="T46" s="98">
        <f>R46+S46</f>
        <v>29.225142196181803</v>
      </c>
    </row>
    <row r="47" spans="1:20" s="22" customFormat="1" x14ac:dyDescent="0.2">
      <c r="A47" s="33" t="s">
        <v>11</v>
      </c>
      <c r="B47" s="99">
        <f>'1.Diabetes case'!I76</f>
        <v>58.605233847172173</v>
      </c>
      <c r="C47" s="98">
        <f>'1.Diabetes case'!I105</f>
        <v>0</v>
      </c>
      <c r="D47" s="99">
        <f>'2.Retinopathy'!I84</f>
        <v>269.28517317232604</v>
      </c>
      <c r="E47" s="98">
        <f>'2.Retinopathy'!I113</f>
        <v>539.88892014006376</v>
      </c>
      <c r="F47" s="46">
        <f>'3.Nephropathy'!D63</f>
        <v>0.80986698704815185</v>
      </c>
      <c r="G47" s="46">
        <f>'3.Nephropathy'!D91</f>
        <v>0</v>
      </c>
      <c r="H47" s="99">
        <f>'4.Neuropathy'!C176</f>
        <v>1.9216956670277259</v>
      </c>
      <c r="I47" s="98">
        <f>'4.Neuropathy'!G176</f>
        <v>0</v>
      </c>
      <c r="J47" s="46">
        <f>'5.Cataract'!D63</f>
        <v>0</v>
      </c>
      <c r="K47" s="46">
        <f>'5.Cataract'!D92</f>
        <v>0</v>
      </c>
      <c r="L47" s="99">
        <f>'6.Glaucoma'!D63</f>
        <v>0</v>
      </c>
      <c r="M47" s="98">
        <f>'6.Glaucoma'!D92</f>
        <v>0</v>
      </c>
      <c r="N47" s="99">
        <f>'7. amputations'!C167</f>
        <v>0</v>
      </c>
      <c r="O47" s="98">
        <f>'7. amputations'!G167</f>
        <v>0</v>
      </c>
      <c r="P47" s="196">
        <f>'8. Foot'!I86</f>
        <v>0</v>
      </c>
      <c r="Q47" s="196">
        <f>'8. Foot'!I115</f>
        <v>0</v>
      </c>
      <c r="R47" s="99">
        <f t="shared" ref="R47:R54" si="10">B47+D47+F47+H47+J47+L47+N47+P47</f>
        <v>330.62196967357409</v>
      </c>
      <c r="S47" s="46">
        <f t="shared" ref="S47:S54" si="11">C47+E47+G47+I47+K47+M47+O47+Q47</f>
        <v>539.88892014006376</v>
      </c>
      <c r="T47" s="98">
        <f t="shared" ref="T47:T54" si="12">R47+S47</f>
        <v>870.51088981363785</v>
      </c>
    </row>
    <row r="48" spans="1:20" s="22" customFormat="1" x14ac:dyDescent="0.2">
      <c r="A48" s="33" t="s">
        <v>12</v>
      </c>
      <c r="B48" s="99">
        <f>'1.Diabetes case'!I77</f>
        <v>91.544823505193236</v>
      </c>
      <c r="C48" s="98">
        <f>'1.Diabetes case'!I106</f>
        <v>7729.3234779314553</v>
      </c>
      <c r="D48" s="99">
        <f>'2.Retinopathy'!I85</f>
        <v>900.88710354016973</v>
      </c>
      <c r="E48" s="98">
        <f>'2.Retinopathy'!I114</f>
        <v>1755.9893168610226</v>
      </c>
      <c r="F48" s="46">
        <f>'3.Nephropathy'!D64</f>
        <v>0.83778151553013913</v>
      </c>
      <c r="G48" s="46">
        <f>'3.Nephropathy'!D92</f>
        <v>8.31155940798876</v>
      </c>
      <c r="H48" s="99">
        <f>'4.Neuropathy'!C177</f>
        <v>26.141707704345279</v>
      </c>
      <c r="I48" s="98">
        <f>'4.Neuropathy'!G177</f>
        <v>2184.2238719352003</v>
      </c>
      <c r="J48" s="46">
        <f>'5.Cataract'!D64</f>
        <v>0</v>
      </c>
      <c r="K48" s="46">
        <f>'5.Cataract'!D93</f>
        <v>0</v>
      </c>
      <c r="L48" s="99">
        <f>'6.Glaucoma'!D64</f>
        <v>0</v>
      </c>
      <c r="M48" s="98">
        <f>'6.Glaucoma'!D93</f>
        <v>0</v>
      </c>
      <c r="N48" s="99">
        <f>'7. amputations'!C168</f>
        <v>7.700698193845616</v>
      </c>
      <c r="O48" s="98">
        <f>'7. amputations'!G168</f>
        <v>13.618046475987283</v>
      </c>
      <c r="P48" s="196">
        <f>'8. Foot'!I87</f>
        <v>0.61323833146230511</v>
      </c>
      <c r="Q48" s="196">
        <f>'8. Foot'!I116</f>
        <v>36.695698693772513</v>
      </c>
      <c r="R48" s="99">
        <f t="shared" si="10"/>
        <v>1027.7253527905464</v>
      </c>
      <c r="S48" s="46">
        <f t="shared" si="11"/>
        <v>11728.161971305428</v>
      </c>
      <c r="T48" s="98">
        <f t="shared" si="12"/>
        <v>12755.887324095975</v>
      </c>
    </row>
    <row r="49" spans="1:20" s="22" customFormat="1" x14ac:dyDescent="0.2">
      <c r="A49" s="33" t="s">
        <v>13</v>
      </c>
      <c r="B49" s="99">
        <f>'1.Diabetes case'!I78</f>
        <v>9.8463138135845192</v>
      </c>
      <c r="C49" s="98">
        <f>'1.Diabetes case'!I107</f>
        <v>11792.180959320263</v>
      </c>
      <c r="D49" s="99">
        <f>'2.Retinopathy'!I86</f>
        <v>1320.9034082385183</v>
      </c>
      <c r="E49" s="98">
        <f>'2.Retinopathy'!I115</f>
        <v>6565.1518622059839</v>
      </c>
      <c r="F49" s="46">
        <f>'3.Nephropathy'!D65</f>
        <v>6.7452415244577777</v>
      </c>
      <c r="G49" s="46">
        <f>'3.Nephropathy'!D93</f>
        <v>134.41891872559808</v>
      </c>
      <c r="H49" s="99">
        <f>'4.Neuropathy'!C178</f>
        <v>17.639911188492249</v>
      </c>
      <c r="I49" s="98">
        <f>'4.Neuropathy'!G178</f>
        <v>2920.2733607266255</v>
      </c>
      <c r="J49" s="46">
        <f>'5.Cataract'!D65</f>
        <v>17.531152245474434</v>
      </c>
      <c r="K49" s="46">
        <f>'5.Cataract'!D94</f>
        <v>300.18063402419</v>
      </c>
      <c r="L49" s="99">
        <f>'6.Glaucoma'!D65</f>
        <v>3.6791157472997043</v>
      </c>
      <c r="M49" s="98">
        <f>'6.Glaucoma'!D94</f>
        <v>69.49979702350069</v>
      </c>
      <c r="N49" s="99">
        <f>'7. amputations'!C169</f>
        <v>25.825712357823374</v>
      </c>
      <c r="O49" s="98">
        <f>'7. amputations'!G169</f>
        <v>694.75598376846847</v>
      </c>
      <c r="P49" s="196">
        <f>'8. Foot'!I88</f>
        <v>2.5813470678890025</v>
      </c>
      <c r="Q49" s="196">
        <f>'8. Foot'!I117</f>
        <v>311.12542469483861</v>
      </c>
      <c r="R49" s="99">
        <f t="shared" si="10"/>
        <v>1404.7522021835396</v>
      </c>
      <c r="S49" s="46">
        <f t="shared" si="11"/>
        <v>22787.586940489466</v>
      </c>
      <c r="T49" s="98">
        <f t="shared" si="12"/>
        <v>24192.339142673005</v>
      </c>
    </row>
    <row r="50" spans="1:20" s="22" customFormat="1" x14ac:dyDescent="0.2">
      <c r="A50" s="33" t="s">
        <v>14</v>
      </c>
      <c r="B50" s="99">
        <f>'1.Diabetes case'!I79</f>
        <v>0</v>
      </c>
      <c r="C50" s="98">
        <f>'1.Diabetes case'!I108</f>
        <v>20902.933415826959</v>
      </c>
      <c r="D50" s="99">
        <f>'2.Retinopathy'!I87</f>
        <v>587.75164796735885</v>
      </c>
      <c r="E50" s="98">
        <f>'2.Retinopathy'!I116</f>
        <v>16634.472085767822</v>
      </c>
      <c r="F50" s="46">
        <f>'3.Nephropathy'!D66</f>
        <v>7.580192233628896</v>
      </c>
      <c r="G50" s="46">
        <f>'3.Nephropathy'!D94</f>
        <v>305.52661467211357</v>
      </c>
      <c r="H50" s="99">
        <f>'4.Neuropathy'!C179</f>
        <v>0.87935753403283212</v>
      </c>
      <c r="I50" s="98">
        <f>'4.Neuropathy'!G179</f>
        <v>6010.5468423606844</v>
      </c>
      <c r="J50" s="46">
        <f>'5.Cataract'!D66</f>
        <v>181.98865217443335</v>
      </c>
      <c r="K50" s="46">
        <f>'5.Cataract'!D95</f>
        <v>5538.5024703026174</v>
      </c>
      <c r="L50" s="99">
        <f>'6.Glaucoma'!D66</f>
        <v>7.7423299122899776</v>
      </c>
      <c r="M50" s="98">
        <f>'6.Glaucoma'!D95</f>
        <v>281.45789261117551</v>
      </c>
      <c r="N50" s="99">
        <f>'7. amputations'!C170</f>
        <v>13.873620806352376</v>
      </c>
      <c r="O50" s="98">
        <f>'7. amputations'!G170</f>
        <v>2275.8484568049703</v>
      </c>
      <c r="P50" s="196">
        <f>'8. Foot'!I89</f>
        <v>3.7265468727689779</v>
      </c>
      <c r="Q50" s="196">
        <f>'8. Foot'!I118</f>
        <v>926.53108332729585</v>
      </c>
      <c r="R50" s="99">
        <f t="shared" si="10"/>
        <v>803.54234750086516</v>
      </c>
      <c r="S50" s="46">
        <f t="shared" si="11"/>
        <v>52875.818861673644</v>
      </c>
      <c r="T50" s="98">
        <f t="shared" si="12"/>
        <v>53679.361209174509</v>
      </c>
    </row>
    <row r="51" spans="1:20" s="22" customFormat="1" x14ac:dyDescent="0.2">
      <c r="A51" s="33" t="s">
        <v>15</v>
      </c>
      <c r="B51" s="99">
        <f>'1.Diabetes case'!I80</f>
        <v>0</v>
      </c>
      <c r="C51" s="98">
        <f>'1.Diabetes case'!I109</f>
        <v>15153.213677692276</v>
      </c>
      <c r="D51" s="99">
        <f>'2.Retinopathy'!I88</f>
        <v>72.658024223124045</v>
      </c>
      <c r="E51" s="98">
        <f>'2.Retinopathy'!I117</f>
        <v>9032.6939999915576</v>
      </c>
      <c r="F51" s="46">
        <f>'3.Nephropathy'!D67</f>
        <v>12.162015245290799</v>
      </c>
      <c r="G51" s="46">
        <f>'3.Nephropathy'!D95</f>
        <v>991.1250140212228</v>
      </c>
      <c r="H51" s="99">
        <f>'4.Neuropathy'!C180</f>
        <v>0.11980231269613187</v>
      </c>
      <c r="I51" s="98">
        <f>'4.Neuropathy'!G180</f>
        <v>2635.3569787899278</v>
      </c>
      <c r="J51" s="46">
        <f>'5.Cataract'!D67</f>
        <v>304.96879814254766</v>
      </c>
      <c r="K51" s="46">
        <f>'5.Cataract'!D96</f>
        <v>17760.188517410385</v>
      </c>
      <c r="L51" s="99">
        <f>'6.Glaucoma'!D67</f>
        <v>13.418818888572714</v>
      </c>
      <c r="M51" s="98">
        <f>'6.Glaucoma'!D96</f>
        <v>911.15296152250085</v>
      </c>
      <c r="N51" s="99">
        <f>'7. amputations'!C171</f>
        <v>1.8457585281128552</v>
      </c>
      <c r="O51" s="98">
        <f>'7. amputations'!G171</f>
        <v>1282.3668202071563</v>
      </c>
      <c r="P51" s="196">
        <f>'8. Foot'!I90</f>
        <v>2.7138984413350991</v>
      </c>
      <c r="Q51" s="196">
        <f>'8. Foot'!I119</f>
        <v>1344.8412482998151</v>
      </c>
      <c r="R51" s="99">
        <f t="shared" si="10"/>
        <v>407.88711578167937</v>
      </c>
      <c r="S51" s="46">
        <f t="shared" si="11"/>
        <v>49110.939217934843</v>
      </c>
      <c r="T51" s="98">
        <f t="shared" si="12"/>
        <v>49518.826333716526</v>
      </c>
    </row>
    <row r="52" spans="1:20" s="22" customFormat="1" x14ac:dyDescent="0.2">
      <c r="A52" s="33" t="s">
        <v>16</v>
      </c>
      <c r="B52" s="99">
        <f>'1.Diabetes case'!I81</f>
        <v>0</v>
      </c>
      <c r="C52" s="98">
        <f>'1.Diabetes case'!I110</f>
        <v>852.43286937705443</v>
      </c>
      <c r="D52" s="99">
        <f>'2.Retinopathy'!I89</f>
        <v>56.754353517323445</v>
      </c>
      <c r="E52" s="98">
        <f>'2.Retinopathy'!I118</f>
        <v>4161.6866162339047</v>
      </c>
      <c r="F52" s="46">
        <f>'3.Nephropathy'!D68</f>
        <v>15.247384680805506</v>
      </c>
      <c r="G52" s="46">
        <f>'3.Nephropathy'!D96</f>
        <v>1668.55273931855</v>
      </c>
      <c r="H52" s="99">
        <f>'4.Neuropathy'!C181</f>
        <v>0</v>
      </c>
      <c r="I52" s="98">
        <f>'4.Neuropathy'!G181</f>
        <v>737.56106974896716</v>
      </c>
      <c r="J52" s="46">
        <f>'5.Cataract'!D68</f>
        <v>83.303200052298848</v>
      </c>
      <c r="K52" s="46">
        <f>'5.Cataract'!D97</f>
        <v>7511.0495406382161</v>
      </c>
      <c r="L52" s="99">
        <f>'6.Glaucoma'!D68</f>
        <v>5.0729761361830983</v>
      </c>
      <c r="M52" s="98">
        <f>'6.Glaucoma'!D97</f>
        <v>457.40589861403754</v>
      </c>
      <c r="N52" s="99">
        <f>'7. amputations'!C172</f>
        <v>4.1403337931642916</v>
      </c>
      <c r="O52" s="98">
        <f>'7. amputations'!G172</f>
        <v>731.43332461830414</v>
      </c>
      <c r="P52" s="196">
        <f>'8. Foot'!I91</f>
        <v>1.3963636887356929</v>
      </c>
      <c r="Q52" s="196">
        <f>'8. Foot'!I120</f>
        <v>807.18835756223143</v>
      </c>
      <c r="R52" s="99">
        <f t="shared" si="10"/>
        <v>165.91461186851089</v>
      </c>
      <c r="S52" s="46">
        <f t="shared" si="11"/>
        <v>16927.310416111264</v>
      </c>
      <c r="T52" s="98">
        <f t="shared" si="12"/>
        <v>17093.225027979774</v>
      </c>
    </row>
    <row r="53" spans="1:20" s="22" customFormat="1" x14ac:dyDescent="0.2">
      <c r="A53" s="33" t="s">
        <v>17</v>
      </c>
      <c r="B53" s="99">
        <f>'1.Diabetes case'!I82</f>
        <v>0</v>
      </c>
      <c r="C53" s="98">
        <f>'1.Diabetes case'!I111</f>
        <v>638.97563127317039</v>
      </c>
      <c r="D53" s="99">
        <f>'2.Retinopathy'!I90</f>
        <v>40.586270947665504</v>
      </c>
      <c r="E53" s="98">
        <f>'2.Retinopathy'!I119</f>
        <v>1833.435706646681</v>
      </c>
      <c r="F53" s="46">
        <f>'3.Nephropathy'!D69</f>
        <v>17.83468967539633</v>
      </c>
      <c r="G53" s="46">
        <f>'3.Nephropathy'!D97</f>
        <v>1748.7612626321218</v>
      </c>
      <c r="H53" s="99">
        <f>'4.Neuropathy'!C182</f>
        <v>0</v>
      </c>
      <c r="I53" s="98">
        <f>'4.Neuropathy'!G182</f>
        <v>121.63254411221445</v>
      </c>
      <c r="J53" s="46">
        <f>'5.Cataract'!D69</f>
        <v>14.086688586249291</v>
      </c>
      <c r="K53" s="46">
        <f>'5.Cataract'!D98</f>
        <v>1226.611618520154</v>
      </c>
      <c r="L53" s="99">
        <f>'6.Glaucoma'!D69</f>
        <v>0.95974159706286688</v>
      </c>
      <c r="M53" s="98">
        <f>'6.Glaucoma'!D98</f>
        <v>83.570399567401026</v>
      </c>
      <c r="N53" s="99">
        <f>'7. amputations'!C173</f>
        <v>0.21289453313585843</v>
      </c>
      <c r="O53" s="98">
        <f>'7. amputations'!G173</f>
        <v>153.14062436879345</v>
      </c>
      <c r="P53" s="196">
        <f>'8. Foot'!I92</f>
        <v>0.59467483190638226</v>
      </c>
      <c r="Q53" s="196">
        <f>'8. Foot'!I121</f>
        <v>220.99024457651109</v>
      </c>
      <c r="R53" s="99">
        <f t="shared" si="10"/>
        <v>74.27496017141624</v>
      </c>
      <c r="S53" s="46">
        <f t="shared" si="11"/>
        <v>6027.1180316970467</v>
      </c>
      <c r="T53" s="98">
        <f t="shared" si="12"/>
        <v>6101.3929918684626</v>
      </c>
    </row>
    <row r="54" spans="1:20" s="22" customFormat="1" x14ac:dyDescent="0.2">
      <c r="A54" s="34" t="s">
        <v>18</v>
      </c>
      <c r="B54" s="99">
        <f>'1.Diabetes case'!I83</f>
        <v>189.22151336213173</v>
      </c>
      <c r="C54" s="98">
        <f>'1.Diabetes case'!I112</f>
        <v>57069.060031421177</v>
      </c>
      <c r="D54" s="99">
        <f>'2.Retinopathy'!I91</f>
        <v>3248.825981606486</v>
      </c>
      <c r="E54" s="98">
        <f>'2.Retinopathy'!I120</f>
        <v>40523.318507847041</v>
      </c>
      <c r="F54" s="46">
        <f>'3.Nephropathy'!D70</f>
        <v>61.217171862157599</v>
      </c>
      <c r="G54" s="46">
        <f>'3.Nephropathy'!D98</f>
        <v>4856.6961087775944</v>
      </c>
      <c r="H54" s="99">
        <f>'4.Neuropathy'!C183</f>
        <v>46.70247440659422</v>
      </c>
      <c r="I54" s="98">
        <f>'4.Neuropathy'!G183</f>
        <v>14609.59466767362</v>
      </c>
      <c r="J54" s="46">
        <f>'5.Cataract'!D70</f>
        <v>601.8784912010035</v>
      </c>
      <c r="K54" s="46">
        <f>'5.Cataract'!D99</f>
        <v>32336.532780895563</v>
      </c>
      <c r="L54" s="99">
        <f>'6.Glaucoma'!D70</f>
        <v>30.872982281408358</v>
      </c>
      <c r="M54" s="98">
        <f>'6.Glaucoma'!D99</f>
        <v>1803.0869493386156</v>
      </c>
      <c r="N54" s="99">
        <f>'7. amputations'!C174</f>
        <v>53.599018212434366</v>
      </c>
      <c r="O54" s="98">
        <f>'7. amputations'!G174</f>
        <v>5151.1632562436798</v>
      </c>
      <c r="P54" s="196">
        <f>'8. Foot'!I93</f>
        <v>11.626069234097459</v>
      </c>
      <c r="Q54" s="196">
        <f>'8. Foot'!I122</f>
        <v>3647.3720571544645</v>
      </c>
      <c r="R54" s="99">
        <f t="shared" si="10"/>
        <v>4243.9437021663134</v>
      </c>
      <c r="S54" s="46">
        <f t="shared" si="11"/>
        <v>159996.82435935174</v>
      </c>
      <c r="T54" s="98">
        <f t="shared" si="12"/>
        <v>164240.76806151806</v>
      </c>
    </row>
    <row r="55" spans="1:20" s="22" customFormat="1" x14ac:dyDescent="0.2">
      <c r="A55" s="30"/>
      <c r="B55" s="30"/>
      <c r="C55" s="32"/>
      <c r="D55" s="30"/>
      <c r="E55" s="32"/>
      <c r="F55" s="31"/>
      <c r="G55" s="31"/>
      <c r="H55" s="30"/>
      <c r="I55" s="32"/>
      <c r="J55" s="31"/>
      <c r="K55" s="31"/>
      <c r="L55" s="30"/>
      <c r="M55" s="32"/>
      <c r="N55" s="30"/>
      <c r="O55" s="32"/>
      <c r="P55" s="31"/>
      <c r="Q55" s="32"/>
      <c r="R55" s="30"/>
      <c r="S55" s="31"/>
      <c r="T55" s="32"/>
    </row>
    <row r="57" spans="1:20" s="22" customFormat="1" x14ac:dyDescent="0.2">
      <c r="A57" s="23" t="s">
        <v>343</v>
      </c>
    </row>
    <row r="58" spans="1:20" s="22" customFormat="1" x14ac:dyDescent="0.2">
      <c r="A58" s="23"/>
    </row>
    <row r="59" spans="1:20" s="22" customFormat="1" x14ac:dyDescent="0.2">
      <c r="A59" s="24" t="s">
        <v>25</v>
      </c>
      <c r="B59" s="408" t="s">
        <v>237</v>
      </c>
      <c r="C59" s="409"/>
      <c r="D59" s="408" t="s">
        <v>238</v>
      </c>
      <c r="E59" s="409"/>
      <c r="F59" s="410" t="s">
        <v>239</v>
      </c>
      <c r="G59" s="410"/>
      <c r="H59" s="408" t="s">
        <v>240</v>
      </c>
      <c r="I59" s="409"/>
      <c r="J59" s="410" t="s">
        <v>241</v>
      </c>
      <c r="K59" s="410"/>
      <c r="L59" s="408" t="s">
        <v>242</v>
      </c>
      <c r="M59" s="409"/>
      <c r="N59" s="408" t="s">
        <v>243</v>
      </c>
      <c r="O59" s="409"/>
      <c r="P59" s="410" t="s">
        <v>295</v>
      </c>
      <c r="Q59" s="410"/>
      <c r="R59" s="402" t="s">
        <v>18</v>
      </c>
      <c r="S59" s="404"/>
      <c r="T59" s="403"/>
    </row>
    <row r="60" spans="1:20" s="22" customFormat="1" x14ac:dyDescent="0.2">
      <c r="A60" s="30"/>
      <c r="B60" s="72" t="s">
        <v>123</v>
      </c>
      <c r="C60" s="73" t="s">
        <v>124</v>
      </c>
      <c r="D60" s="72" t="s">
        <v>123</v>
      </c>
      <c r="E60" s="73" t="s">
        <v>124</v>
      </c>
      <c r="F60" s="230" t="s">
        <v>123</v>
      </c>
      <c r="G60" s="230" t="s">
        <v>124</v>
      </c>
      <c r="H60" s="24" t="s">
        <v>123</v>
      </c>
      <c r="I60" s="26" t="s">
        <v>124</v>
      </c>
      <c r="J60" s="230" t="s">
        <v>123</v>
      </c>
      <c r="K60" s="230" t="s">
        <v>124</v>
      </c>
      <c r="L60" s="72" t="s">
        <v>123</v>
      </c>
      <c r="M60" s="73" t="s">
        <v>124</v>
      </c>
      <c r="N60" s="72" t="s">
        <v>123</v>
      </c>
      <c r="O60" s="73" t="s">
        <v>124</v>
      </c>
      <c r="P60" s="230" t="s">
        <v>123</v>
      </c>
      <c r="Q60" s="230" t="s">
        <v>124</v>
      </c>
      <c r="R60" s="72" t="s">
        <v>123</v>
      </c>
      <c r="S60" s="230" t="s">
        <v>124</v>
      </c>
      <c r="T60" s="233" t="s">
        <v>244</v>
      </c>
    </row>
    <row r="61" spans="1:20" s="22" customFormat="1" x14ac:dyDescent="0.2">
      <c r="A61" s="27"/>
      <c r="B61" s="27"/>
      <c r="C61" s="29"/>
      <c r="D61" s="27"/>
      <c r="E61" s="29"/>
      <c r="F61" s="28"/>
      <c r="G61" s="28"/>
      <c r="H61" s="24"/>
      <c r="I61" s="26"/>
      <c r="J61" s="28"/>
      <c r="K61" s="28"/>
      <c r="L61" s="27"/>
      <c r="M61" s="29"/>
      <c r="N61" s="27"/>
      <c r="O61" s="29"/>
      <c r="R61" s="27"/>
      <c r="S61" s="28"/>
      <c r="T61" s="29"/>
    </row>
    <row r="62" spans="1:20" s="22" customFormat="1" x14ac:dyDescent="0.2">
      <c r="A62" s="48" t="s">
        <v>34</v>
      </c>
      <c r="B62" s="27"/>
      <c r="C62" s="29"/>
      <c r="D62" s="27"/>
      <c r="E62" s="29"/>
      <c r="F62" s="28"/>
      <c r="G62" s="28"/>
      <c r="H62" s="27"/>
      <c r="I62" s="29"/>
      <c r="J62" s="28"/>
      <c r="K62" s="28"/>
      <c r="L62" s="27"/>
      <c r="M62" s="28"/>
      <c r="N62" s="24"/>
      <c r="O62" s="26"/>
      <c r="R62" s="27"/>
      <c r="S62" s="28"/>
      <c r="T62" s="29"/>
    </row>
    <row r="63" spans="1:20" s="22" customFormat="1" x14ac:dyDescent="0.2">
      <c r="A63" s="33" t="s">
        <v>7</v>
      </c>
      <c r="B63" s="99">
        <f>'1.Diabetes case'!K64</f>
        <v>16.378508907918796</v>
      </c>
      <c r="C63" s="98">
        <f>'1.Diabetes case'!K93</f>
        <v>0</v>
      </c>
      <c r="D63" s="99">
        <f>'2.Retinopathy'!K72</f>
        <v>0</v>
      </c>
      <c r="E63" s="98">
        <f>'2.Retinopathy'!K101</f>
        <v>0</v>
      </c>
      <c r="F63" s="46">
        <f>'3.Nephropathy'!F51</f>
        <v>0.3571428571428571</v>
      </c>
      <c r="G63" s="46">
        <f>'3.Nephropathy'!F79</f>
        <v>0</v>
      </c>
      <c r="H63" s="99">
        <f>'4.Neuropathy'!N164</f>
        <v>0</v>
      </c>
      <c r="I63" s="98">
        <f>'4.Neuropathy'!O164</f>
        <v>0</v>
      </c>
      <c r="J63" s="46">
        <f>'5.Cataract'!F51</f>
        <v>0</v>
      </c>
      <c r="K63" s="46">
        <f>'5.Cataract'!F80</f>
        <v>0</v>
      </c>
      <c r="L63" s="99">
        <f>'6.Glaucoma'!F51</f>
        <v>0</v>
      </c>
      <c r="M63" s="46">
        <f>'6.Glaucoma'!F80</f>
        <v>0</v>
      </c>
      <c r="N63" s="99">
        <f>'7. amputations'!N155</f>
        <v>0</v>
      </c>
      <c r="O63" s="98">
        <f>'7. amputations'!O155</f>
        <v>0</v>
      </c>
      <c r="P63" s="196">
        <f>'8. Foot'!K74</f>
        <v>0</v>
      </c>
      <c r="Q63" s="196">
        <f>'8. Foot'!K103</f>
        <v>0</v>
      </c>
      <c r="R63" s="99">
        <f>B63+D63+F63+H63+J63+L63+N63+P63</f>
        <v>16.735651765061654</v>
      </c>
      <c r="S63" s="46">
        <f>C63+E63+G63+I63+K63+M63+O63+Q63</f>
        <v>0</v>
      </c>
      <c r="T63" s="98">
        <f>R63+S63</f>
        <v>16.735651765061654</v>
      </c>
    </row>
    <row r="64" spans="1:20" s="22" customFormat="1" x14ac:dyDescent="0.2">
      <c r="A64" s="33" t="s">
        <v>11</v>
      </c>
      <c r="B64" s="99">
        <f>'1.Diabetes case'!K65</f>
        <v>135.47823690288953</v>
      </c>
      <c r="C64" s="98">
        <f>'1.Diabetes case'!K94</f>
        <v>0</v>
      </c>
      <c r="D64" s="99">
        <f>'2.Retinopathy'!K73</f>
        <v>539.01957914187085</v>
      </c>
      <c r="E64" s="98">
        <f>'2.Retinopathy'!K102</f>
        <v>1628.4518012934398</v>
      </c>
      <c r="F64" s="46">
        <f>'3.Nephropathy'!F52</f>
        <v>0.51692604694464206</v>
      </c>
      <c r="G64" s="46">
        <f>'3.Nephropathy'!F80</f>
        <v>0</v>
      </c>
      <c r="H64" s="99">
        <f>'4.Neuropathy'!N165</f>
        <v>3.5821531035534093</v>
      </c>
      <c r="I64" s="98">
        <f>'4.Neuropathy'!O165</f>
        <v>0</v>
      </c>
      <c r="J64" s="46">
        <f>'5.Cataract'!F52</f>
        <v>0</v>
      </c>
      <c r="K64" s="46">
        <f>'5.Cataract'!F81</f>
        <v>0</v>
      </c>
      <c r="L64" s="99">
        <f>'6.Glaucoma'!F52</f>
        <v>0</v>
      </c>
      <c r="M64" s="46">
        <f>'6.Glaucoma'!F81</f>
        <v>0</v>
      </c>
      <c r="N64" s="99">
        <f>'7. amputations'!N156</f>
        <v>0</v>
      </c>
      <c r="O64" s="98">
        <f>'7. amputations'!O156</f>
        <v>0</v>
      </c>
      <c r="P64" s="196">
        <f>'8. Foot'!K75</f>
        <v>0</v>
      </c>
      <c r="Q64" s="196">
        <f>'8. Foot'!K104</f>
        <v>0</v>
      </c>
      <c r="R64" s="99">
        <f t="shared" ref="R64:R71" si="13">B64+D64+F64+H64+J64+L64+N64+P64</f>
        <v>678.59689519525841</v>
      </c>
      <c r="S64" s="46">
        <f t="shared" ref="S64:S71" si="14">C64+E64+G64+I64+K64+M64+O64+Q64</f>
        <v>1628.4518012934398</v>
      </c>
      <c r="T64" s="98">
        <f t="shared" ref="T64:T71" si="15">R64+S64</f>
        <v>2307.0486964886982</v>
      </c>
    </row>
    <row r="65" spans="1:20" s="22" customFormat="1" x14ac:dyDescent="0.2">
      <c r="A65" s="33" t="s">
        <v>12</v>
      </c>
      <c r="B65" s="99">
        <f>'1.Diabetes case'!K66</f>
        <v>504.30147547589394</v>
      </c>
      <c r="C65" s="98">
        <f>'1.Diabetes case'!K95</f>
        <v>1155.0799910356614</v>
      </c>
      <c r="D65" s="99">
        <f>'2.Retinopathy'!K74</f>
        <v>1618.3112390833169</v>
      </c>
      <c r="E65" s="98">
        <f>'2.Retinopathy'!K103</f>
        <v>4573.5928712196364</v>
      </c>
      <c r="F65" s="46">
        <f>'3.Nephropathy'!F53</f>
        <v>0.46923313994703431</v>
      </c>
      <c r="G65" s="46">
        <f>'3.Nephropathy'!F81</f>
        <v>2.9555832234547972</v>
      </c>
      <c r="H65" s="99">
        <f>'4.Neuropathy'!N166</f>
        <v>40.911590819298731</v>
      </c>
      <c r="I65" s="98">
        <f>'4.Neuropathy'!O166</f>
        <v>1798.4553617771767</v>
      </c>
      <c r="J65" s="46">
        <f>'5.Cataract'!F53</f>
        <v>0</v>
      </c>
      <c r="K65" s="46">
        <f>'5.Cataract'!F82</f>
        <v>0</v>
      </c>
      <c r="L65" s="99">
        <f>'6.Glaucoma'!F53</f>
        <v>0</v>
      </c>
      <c r="M65" s="46">
        <f>'6.Glaucoma'!F82</f>
        <v>0</v>
      </c>
      <c r="N65" s="99">
        <f>'7. amputations'!N157</f>
        <v>42.724141600000003</v>
      </c>
      <c r="O65" s="98">
        <f>'7. amputations'!O157</f>
        <v>54.919815372000002</v>
      </c>
      <c r="P65" s="196">
        <f>'8. Foot'!K76</f>
        <v>1.7511160847202196</v>
      </c>
      <c r="Q65" s="196">
        <f>'8. Foot'!K105</f>
        <v>67.566239553239981</v>
      </c>
      <c r="R65" s="99">
        <f t="shared" si="13"/>
        <v>2208.4687962031771</v>
      </c>
      <c r="S65" s="46">
        <f t="shared" si="14"/>
        <v>7652.5698621811689</v>
      </c>
      <c r="T65" s="98">
        <f t="shared" si="15"/>
        <v>9861.0386583843465</v>
      </c>
    </row>
    <row r="66" spans="1:20" s="22" customFormat="1" x14ac:dyDescent="0.2">
      <c r="A66" s="33" t="s">
        <v>13</v>
      </c>
      <c r="B66" s="99">
        <f>'1.Diabetes case'!K67</f>
        <v>638.55341113581744</v>
      </c>
      <c r="C66" s="98">
        <f>'1.Diabetes case'!K96</f>
        <v>7771.2983648840509</v>
      </c>
      <c r="D66" s="99">
        <f>'2.Retinopathy'!K75</f>
        <v>1269.7258666925402</v>
      </c>
      <c r="E66" s="98">
        <f>'2.Retinopathy'!K104</f>
        <v>15975.718357957727</v>
      </c>
      <c r="F66" s="46">
        <f>'3.Nephropathy'!F54</f>
        <v>0.81904880621613663</v>
      </c>
      <c r="G66" s="46">
        <f>'3.Nephropathy'!F82</f>
        <v>14.647215048252145</v>
      </c>
      <c r="H66" s="99">
        <f>'4.Neuropathy'!N167</f>
        <v>18.600676803548787</v>
      </c>
      <c r="I66" s="98">
        <f>'4.Neuropathy'!O167</f>
        <v>4348.610612201539</v>
      </c>
      <c r="J66" s="46">
        <f>'5.Cataract'!F54</f>
        <v>25.994896527567228</v>
      </c>
      <c r="K66" s="46">
        <f>'5.Cataract'!F83</f>
        <v>406.00786867202282</v>
      </c>
      <c r="L66" s="99">
        <f>'6.Glaucoma'!F54</f>
        <v>5.6380976289525835</v>
      </c>
      <c r="M66" s="46">
        <f>'6.Glaucoma'!F83</f>
        <v>96.153611671698243</v>
      </c>
      <c r="N66" s="99">
        <f>'7. amputations'!N158</f>
        <v>75.967579345046047</v>
      </c>
      <c r="O66" s="98">
        <f>'7. amputations'!O158</f>
        <v>1070.6383544533771</v>
      </c>
      <c r="P66" s="196">
        <f>'8. Foot'!K77</f>
        <v>6.385789181270507</v>
      </c>
      <c r="Q66" s="196">
        <f>'8. Foot'!K106</f>
        <v>737.62896612636007</v>
      </c>
      <c r="R66" s="99">
        <f t="shared" si="13"/>
        <v>2041.6853661209591</v>
      </c>
      <c r="S66" s="46">
        <f t="shared" si="14"/>
        <v>30420.703351015032</v>
      </c>
      <c r="T66" s="98">
        <f t="shared" si="15"/>
        <v>32462.388717135993</v>
      </c>
    </row>
    <row r="67" spans="1:20" s="22" customFormat="1" x14ac:dyDescent="0.2">
      <c r="A67" s="33" t="s">
        <v>14</v>
      </c>
      <c r="B67" s="99">
        <f>'1.Diabetes case'!K68</f>
        <v>529.42613358764731</v>
      </c>
      <c r="C67" s="98">
        <f>'1.Diabetes case'!K97</f>
        <v>15449.789497106472</v>
      </c>
      <c r="D67" s="99">
        <f>'2.Retinopathy'!K76</f>
        <v>715.28242857188036</v>
      </c>
      <c r="E67" s="98">
        <f>'2.Retinopathy'!K105</f>
        <v>18609.310647992861</v>
      </c>
      <c r="F67" s="46">
        <f>'3.Nephropathy'!F55</f>
        <v>1.3265179173469761</v>
      </c>
      <c r="G67" s="46">
        <f>'3.Nephropathy'!F83</f>
        <v>53.268198845152043</v>
      </c>
      <c r="H67" s="99">
        <f>'4.Neuropathy'!N168</f>
        <v>0.83247631306199643</v>
      </c>
      <c r="I67" s="98">
        <f>'4.Neuropathy'!O168</f>
        <v>7636.298954573781</v>
      </c>
      <c r="J67" s="46">
        <f>'5.Cataract'!F55</f>
        <v>184.77263125015045</v>
      </c>
      <c r="K67" s="46">
        <f>'5.Cataract'!F84</f>
        <v>5632.9359973618848</v>
      </c>
      <c r="L67" s="99">
        <f>'6.Glaucoma'!F55</f>
        <v>9.4147599487228781</v>
      </c>
      <c r="M67" s="46">
        <f>'6.Glaucoma'!F84</f>
        <v>341.73219715151907</v>
      </c>
      <c r="N67" s="99">
        <f>'7. amputations'!N159</f>
        <v>17.807980000000001</v>
      </c>
      <c r="O67" s="98">
        <f>'7. amputations'!O159</f>
        <v>3394.444826892</v>
      </c>
      <c r="P67" s="196">
        <f>'8. Foot'!K78</f>
        <v>5.8927975536108583</v>
      </c>
      <c r="Q67" s="196">
        <f>'8. Foot'!K107</f>
        <v>1717.0392031253998</v>
      </c>
      <c r="R67" s="99">
        <f t="shared" si="13"/>
        <v>1464.7557251424207</v>
      </c>
      <c r="S67" s="46">
        <f t="shared" si="14"/>
        <v>52834.819523049075</v>
      </c>
      <c r="T67" s="98">
        <f t="shared" si="15"/>
        <v>54299.575248191497</v>
      </c>
    </row>
    <row r="68" spans="1:20" s="22" customFormat="1" x14ac:dyDescent="0.2">
      <c r="A68" s="33" t="s">
        <v>15</v>
      </c>
      <c r="B68" s="99">
        <f>'1.Diabetes case'!K69</f>
        <v>174.86986931298287</v>
      </c>
      <c r="C68" s="98">
        <f>'1.Diabetes case'!K98</f>
        <v>8806.1595282816943</v>
      </c>
      <c r="D68" s="99">
        <f>'2.Retinopathy'!K77</f>
        <v>76.777150153342816</v>
      </c>
      <c r="E68" s="98">
        <f>'2.Retinopathy'!K106</f>
        <v>4761.4757831568959</v>
      </c>
      <c r="F68" s="46">
        <f>'3.Nephropathy'!F56</f>
        <v>1.4779961019261239</v>
      </c>
      <c r="G68" s="46">
        <f>'3.Nephropathy'!F84</f>
        <v>86.624757920751847</v>
      </c>
      <c r="H68" s="99">
        <f>'4.Neuropathy'!N169</f>
        <v>6.2351916199999986E-3</v>
      </c>
      <c r="I68" s="98">
        <f>'4.Neuropathy'!O169</f>
        <v>1348.2226979497088</v>
      </c>
      <c r="J68" s="46">
        <f>'5.Cataract'!F56</f>
        <v>357.20012163974246</v>
      </c>
      <c r="K68" s="46">
        <f>'5.Cataract'!F85</f>
        <v>16261.90240207436</v>
      </c>
      <c r="L68" s="99">
        <f>'6.Glaucoma'!F56</f>
        <v>5.9265904108595535</v>
      </c>
      <c r="M68" s="46">
        <f>'6.Glaucoma'!F85</f>
        <v>303.61810138503699</v>
      </c>
      <c r="N68" s="99">
        <f>'7. amputations'!N160</f>
        <v>7.5773679999999999</v>
      </c>
      <c r="O68" s="98">
        <f>'7. amputations'!O160</f>
        <v>1776.7594782159999</v>
      </c>
      <c r="P68" s="196">
        <f>'8. Foot'!K79</f>
        <v>2.2526203852287385</v>
      </c>
      <c r="Q68" s="196">
        <f>'8. Foot'!K108</f>
        <v>1063.4835728534001</v>
      </c>
      <c r="R68" s="99">
        <f t="shared" si="13"/>
        <v>626.08795119570254</v>
      </c>
      <c r="S68" s="46">
        <f t="shared" si="14"/>
        <v>34408.246321837847</v>
      </c>
      <c r="T68" s="98">
        <f t="shared" si="15"/>
        <v>35034.33427303355</v>
      </c>
    </row>
    <row r="69" spans="1:20" s="22" customFormat="1" x14ac:dyDescent="0.2">
      <c r="A69" s="33" t="s">
        <v>16</v>
      </c>
      <c r="B69" s="99">
        <f>'1.Diabetes case'!K70</f>
        <v>72.522250675459063</v>
      </c>
      <c r="C69" s="98">
        <f>'1.Diabetes case'!K99</f>
        <v>4916.2343460593747</v>
      </c>
      <c r="D69" s="99">
        <f>'2.Retinopathy'!K78</f>
        <v>23.530300385888808</v>
      </c>
      <c r="E69" s="98">
        <f>'2.Retinopathy'!K107</f>
        <v>1300.3781920557374</v>
      </c>
      <c r="F69" s="46">
        <f>'3.Nephropathy'!F57</f>
        <v>1.2066926504603059</v>
      </c>
      <c r="G69" s="46">
        <f>'3.Nephropathy'!F85</f>
        <v>86.018780430821565</v>
      </c>
      <c r="H69" s="99">
        <f>'4.Neuropathy'!N170</f>
        <v>0</v>
      </c>
      <c r="I69" s="98">
        <f>'4.Neuropathy'!O170</f>
        <v>351.38734898263448</v>
      </c>
      <c r="J69" s="46">
        <f>'5.Cataract'!F57</f>
        <v>272.56097197293582</v>
      </c>
      <c r="K69" s="46">
        <f>'5.Cataract'!F86</f>
        <v>16893.312049187061</v>
      </c>
      <c r="L69" s="99">
        <f>'6.Glaucoma'!F57</f>
        <v>10.962182224880626</v>
      </c>
      <c r="M69" s="46">
        <f>'6.Glaucoma'!F86</f>
        <v>679.43537082538887</v>
      </c>
      <c r="N69" s="99">
        <f>'7. amputations'!N161</f>
        <v>4.8455680000000001</v>
      </c>
      <c r="O69" s="98">
        <f>'7. amputations'!O161</f>
        <v>581.53780614034099</v>
      </c>
      <c r="P69" s="196">
        <f>'8. Foot'!K80</f>
        <v>1.2882502216312672</v>
      </c>
      <c r="Q69" s="196">
        <f>'8. Foot'!K109</f>
        <v>728.85273484408003</v>
      </c>
      <c r="R69" s="99">
        <f t="shared" si="13"/>
        <v>386.91621613125585</v>
      </c>
      <c r="S69" s="46">
        <f t="shared" si="14"/>
        <v>25537.156628525441</v>
      </c>
      <c r="T69" s="98">
        <f t="shared" si="15"/>
        <v>25924.072844656697</v>
      </c>
    </row>
    <row r="70" spans="1:20" s="22" customFormat="1" x14ac:dyDescent="0.2">
      <c r="A70" s="33" t="s">
        <v>17</v>
      </c>
      <c r="B70" s="99">
        <f>'1.Diabetes case'!K71</f>
        <v>22.24996519754178</v>
      </c>
      <c r="C70" s="98">
        <f>'1.Diabetes case'!K100</f>
        <v>1664.0711540426898</v>
      </c>
      <c r="D70" s="99">
        <f>'2.Retinopathy'!K79</f>
        <v>18.192680137554003</v>
      </c>
      <c r="E70" s="98">
        <f>'2.Retinopathy'!K108</f>
        <v>425.35875168237004</v>
      </c>
      <c r="F70" s="46">
        <f>'3.Nephropathy'!F58</f>
        <v>0.71419935007185975</v>
      </c>
      <c r="G70" s="46">
        <f>'3.Nephropathy'!F86</f>
        <v>67.243008489079543</v>
      </c>
      <c r="H70" s="99">
        <f>'4.Neuropathy'!N171</f>
        <v>0</v>
      </c>
      <c r="I70" s="98">
        <f>'4.Neuropathy'!O171</f>
        <v>97.041169231485611</v>
      </c>
      <c r="J70" s="46">
        <f>'5.Cataract'!F58</f>
        <v>94.751019485264436</v>
      </c>
      <c r="K70" s="46">
        <f>'5.Cataract'!F87</f>
        <v>7839.3589238568484</v>
      </c>
      <c r="L70" s="99">
        <f>'6.Glaucoma'!F58</f>
        <v>3.1982751332900401</v>
      </c>
      <c r="M70" s="46">
        <f>'6.Glaucoma'!F87</f>
        <v>264.6137935329125</v>
      </c>
      <c r="N70" s="99">
        <f>'7. amputations'!N162</f>
        <v>15.012680511417248</v>
      </c>
      <c r="O70" s="98">
        <f>'7. amputations'!O162</f>
        <v>130.54059634354559</v>
      </c>
      <c r="P70" s="196">
        <f>'8. Foot'!K81</f>
        <v>0.58349978805511948</v>
      </c>
      <c r="Q70" s="196">
        <f>'8. Foot'!K110</f>
        <v>340.82282729951999</v>
      </c>
      <c r="R70" s="99">
        <f t="shared" si="13"/>
        <v>154.7023196031945</v>
      </c>
      <c r="S70" s="46">
        <f t="shared" si="14"/>
        <v>10829.050224478451</v>
      </c>
      <c r="T70" s="98">
        <f t="shared" si="15"/>
        <v>10983.752544081646</v>
      </c>
    </row>
    <row r="71" spans="1:20" s="22" customFormat="1" x14ac:dyDescent="0.2">
      <c r="A71" s="34" t="s">
        <v>18</v>
      </c>
      <c r="B71" s="99">
        <f>'1.Diabetes case'!K72</f>
        <v>2093.779851196151</v>
      </c>
      <c r="C71" s="98">
        <f>'1.Diabetes case'!K101</f>
        <v>39762.632881409947</v>
      </c>
      <c r="D71" s="99">
        <f>'2.Retinopathy'!K80</f>
        <v>4260.8392441663937</v>
      </c>
      <c r="E71" s="98">
        <f>'2.Retinopathy'!K109</f>
        <v>47274.286405358667</v>
      </c>
      <c r="F71" s="46">
        <f>'3.Nephropathy'!F59</f>
        <v>6.8877568700559362</v>
      </c>
      <c r="G71" s="46">
        <f>'3.Nephropathy'!F87</f>
        <v>310.75754395751193</v>
      </c>
      <c r="H71" s="99">
        <f>'4.Neuropathy'!N172</f>
        <v>63.933132231082922</v>
      </c>
      <c r="I71" s="98">
        <f>'4.Neuropathy'!O172</f>
        <v>15580.016144716325</v>
      </c>
      <c r="J71" s="46">
        <f>'5.Cataract'!F59</f>
        <v>935.27964087566045</v>
      </c>
      <c r="K71" s="46">
        <f>'5.Cataract'!F88</f>
        <v>47033.517241152171</v>
      </c>
      <c r="L71" s="99">
        <f>'6.Glaucoma'!F59</f>
        <v>35.139905346705682</v>
      </c>
      <c r="M71" s="46">
        <f>'6.Glaucoma'!F88</f>
        <v>1685.5530745665556</v>
      </c>
      <c r="N71" s="99">
        <f>'7. amputations'!N163</f>
        <v>163.93531745646331</v>
      </c>
      <c r="O71" s="98">
        <f>'7. amputations'!O163</f>
        <v>7008.840877417264</v>
      </c>
      <c r="P71" s="196">
        <f>'8. Foot'!K82</f>
        <v>18.154073214516707</v>
      </c>
      <c r="Q71" s="196">
        <f>'8. Foot'!K111</f>
        <v>4655.3935438020007</v>
      </c>
      <c r="R71" s="99">
        <f t="shared" si="13"/>
        <v>7577.9489213570296</v>
      </c>
      <c r="S71" s="46">
        <f t="shared" si="14"/>
        <v>163310.99771238046</v>
      </c>
      <c r="T71" s="98">
        <f t="shared" si="15"/>
        <v>170888.94663373748</v>
      </c>
    </row>
    <row r="72" spans="1:20" s="22" customFormat="1" x14ac:dyDescent="0.2">
      <c r="A72" s="27"/>
      <c r="B72" s="99"/>
      <c r="C72" s="98"/>
      <c r="D72" s="99"/>
      <c r="E72" s="98"/>
      <c r="F72" s="46"/>
      <c r="G72" s="46"/>
      <c r="H72" s="99"/>
      <c r="I72" s="98"/>
      <c r="J72" s="46"/>
      <c r="K72" s="46"/>
      <c r="L72" s="99"/>
      <c r="M72" s="46"/>
      <c r="N72" s="99"/>
      <c r="O72" s="98"/>
      <c r="P72" s="196"/>
      <c r="Q72" s="196"/>
      <c r="R72" s="27"/>
      <c r="S72" s="28"/>
      <c r="T72" s="29"/>
    </row>
    <row r="73" spans="1:20" s="22" customFormat="1" x14ac:dyDescent="0.2">
      <c r="A73" s="48" t="s">
        <v>35</v>
      </c>
      <c r="B73" s="99"/>
      <c r="C73" s="98"/>
      <c r="D73" s="99"/>
      <c r="E73" s="98"/>
      <c r="F73" s="46"/>
      <c r="G73" s="46"/>
      <c r="H73" s="99"/>
      <c r="I73" s="98"/>
      <c r="J73" s="46"/>
      <c r="K73" s="46"/>
      <c r="L73" s="99"/>
      <c r="M73" s="46"/>
      <c r="N73" s="99"/>
      <c r="O73" s="98"/>
      <c r="P73" s="196"/>
      <c r="Q73" s="196"/>
      <c r="R73" s="27"/>
      <c r="S73" s="28"/>
      <c r="T73" s="29"/>
    </row>
    <row r="74" spans="1:20" s="22" customFormat="1" x14ac:dyDescent="0.2">
      <c r="A74" s="33" t="s">
        <v>7</v>
      </c>
      <c r="B74" s="99">
        <f>'1.Diabetes case'!K75</f>
        <v>15.399667849723647</v>
      </c>
      <c r="C74" s="98">
        <f>'1.Diabetes case'!K104</f>
        <v>0</v>
      </c>
      <c r="D74" s="99">
        <f>'2.Retinopathy'!K83</f>
        <v>0</v>
      </c>
      <c r="E74" s="98">
        <f>'2.Retinopathy'!K112</f>
        <v>0</v>
      </c>
      <c r="F74" s="46">
        <f>'3.Nephropathy'!F62</f>
        <v>0</v>
      </c>
      <c r="G74" s="46">
        <f>'3.Nephropathy'!F90</f>
        <v>0</v>
      </c>
      <c r="H74" s="99">
        <f>'4.Neuropathy'!N175</f>
        <v>0</v>
      </c>
      <c r="I74" s="98">
        <f>'4.Neuropathy'!O175</f>
        <v>0</v>
      </c>
      <c r="J74" s="46">
        <f>'5.Cataract'!F62</f>
        <v>0</v>
      </c>
      <c r="K74" s="46">
        <f>'5.Cataract'!F91</f>
        <v>0</v>
      </c>
      <c r="L74" s="99">
        <f>'6.Glaucoma'!F62</f>
        <v>0</v>
      </c>
      <c r="M74" s="46">
        <f>'6.Glaucoma'!F91</f>
        <v>0</v>
      </c>
      <c r="N74" s="99">
        <f>'7. amputations'!N166</f>
        <v>0</v>
      </c>
      <c r="O74" s="98">
        <f>'7. amputations'!O166</f>
        <v>0</v>
      </c>
      <c r="P74" s="196">
        <f>'8. Foot'!K85</f>
        <v>0</v>
      </c>
      <c r="Q74" s="196">
        <f>'8. Foot'!K114</f>
        <v>0</v>
      </c>
      <c r="R74" s="99">
        <f>B74+D74+F74+H74+J74+L74+N74+P74</f>
        <v>15.399667849723647</v>
      </c>
      <c r="S74" s="46">
        <f>C74+E74+G74+I74+K74+M74+O74+Q74</f>
        <v>0</v>
      </c>
      <c r="T74" s="98">
        <f>R74+S74</f>
        <v>15.399667849723647</v>
      </c>
    </row>
    <row r="75" spans="1:20" s="22" customFormat="1" x14ac:dyDescent="0.2">
      <c r="A75" s="33" t="s">
        <v>11</v>
      </c>
      <c r="B75" s="99">
        <f>'1.Diabetes case'!K76</f>
        <v>125.5979761427137</v>
      </c>
      <c r="C75" s="98">
        <f>'1.Diabetes case'!K105</f>
        <v>0</v>
      </c>
      <c r="D75" s="99">
        <f>'2.Retinopathy'!K84</f>
        <v>549.15592445862399</v>
      </c>
      <c r="E75" s="98">
        <f>'2.Retinopathy'!K113</f>
        <v>1105.186548673536</v>
      </c>
      <c r="F75" s="46">
        <f>'3.Nephropathy'!F63</f>
        <v>0.9577307829781907</v>
      </c>
      <c r="G75" s="46">
        <f>'3.Nephropathy'!F91</f>
        <v>0</v>
      </c>
      <c r="H75" s="99">
        <f>'4.Neuropathy'!N176</f>
        <v>4.1738205755535027</v>
      </c>
      <c r="I75" s="98">
        <f>'4.Neuropathy'!O176</f>
        <v>0</v>
      </c>
      <c r="J75" s="46">
        <f>'5.Cataract'!F63</f>
        <v>0</v>
      </c>
      <c r="K75" s="46">
        <f>'5.Cataract'!F92</f>
        <v>0</v>
      </c>
      <c r="L75" s="99">
        <f>'6.Glaucoma'!F63</f>
        <v>0</v>
      </c>
      <c r="M75" s="46">
        <f>'6.Glaucoma'!F92</f>
        <v>0</v>
      </c>
      <c r="N75" s="99">
        <f>'7. amputations'!N167</f>
        <v>0</v>
      </c>
      <c r="O75" s="98">
        <f>'7. amputations'!O167</f>
        <v>0</v>
      </c>
      <c r="P75" s="196">
        <f>'8. Foot'!K86</f>
        <v>0</v>
      </c>
      <c r="Q75" s="196">
        <f>'8. Foot'!K115</f>
        <v>0</v>
      </c>
      <c r="R75" s="99">
        <f t="shared" ref="R75:R82" si="16">B75+D75+F75+H75+J75+L75+N75+P75</f>
        <v>679.88545195986933</v>
      </c>
      <c r="S75" s="46">
        <f t="shared" ref="S75:S82" si="17">C75+E75+G75+I75+K75+M75+O75+Q75</f>
        <v>1105.186548673536</v>
      </c>
      <c r="T75" s="98">
        <f t="shared" ref="T75:T82" si="18">R75+S75</f>
        <v>1785.0720006334054</v>
      </c>
    </row>
    <row r="76" spans="1:20" s="22" customFormat="1" x14ac:dyDescent="0.2">
      <c r="A76" s="33" t="s">
        <v>12</v>
      </c>
      <c r="B76" s="99">
        <f>'1.Diabetes case'!K77</f>
        <v>495.8487199554562</v>
      </c>
      <c r="C76" s="98">
        <f>'1.Diabetes case'!K106</f>
        <v>2216.6088038325306</v>
      </c>
      <c r="D76" s="99">
        <f>'2.Retinopathy'!K85</f>
        <v>1684.1244502098232</v>
      </c>
      <c r="E76" s="98">
        <f>'2.Retinopathy'!K114</f>
        <v>3186.7784281163417</v>
      </c>
      <c r="F76" s="46">
        <f>'3.Nephropathy'!F64</f>
        <v>1.2678378908290746</v>
      </c>
      <c r="G76" s="46">
        <f>'3.Nephropathy'!F92</f>
        <v>2.873423764637399</v>
      </c>
      <c r="H76" s="99">
        <f>'4.Neuropathy'!N177</f>
        <v>50.233428838600268</v>
      </c>
      <c r="I76" s="98">
        <f>'4.Neuropathy'!O177</f>
        <v>3932.2575372504575</v>
      </c>
      <c r="J76" s="46">
        <f>'5.Cataract'!F64</f>
        <v>0</v>
      </c>
      <c r="K76" s="46">
        <f>'5.Cataract'!F93</f>
        <v>0</v>
      </c>
      <c r="L76" s="99">
        <f>'6.Glaucoma'!F64</f>
        <v>0</v>
      </c>
      <c r="M76" s="46">
        <f>'6.Glaucoma'!F93</f>
        <v>0</v>
      </c>
      <c r="N76" s="99">
        <f>'7. amputations'!N168</f>
        <v>13.652480000000001</v>
      </c>
      <c r="O76" s="98">
        <f>'7. amputations'!O168</f>
        <v>23.719132224000003</v>
      </c>
      <c r="P76" s="196">
        <f>'8. Foot'!K87</f>
        <v>0.64805425031140917</v>
      </c>
      <c r="Q76" s="196">
        <f>'8. Foot'!K116</f>
        <v>38.77905585245999</v>
      </c>
      <c r="R76" s="99">
        <f t="shared" si="16"/>
        <v>2245.7749711450201</v>
      </c>
      <c r="S76" s="46">
        <f t="shared" si="17"/>
        <v>9401.0163810404265</v>
      </c>
      <c r="T76" s="98">
        <f t="shared" si="18"/>
        <v>11646.791352185446</v>
      </c>
    </row>
    <row r="77" spans="1:20" s="22" customFormat="1" x14ac:dyDescent="0.2">
      <c r="A77" s="33" t="s">
        <v>13</v>
      </c>
      <c r="B77" s="99">
        <f>'1.Diabetes case'!K78</f>
        <v>750.97958279379009</v>
      </c>
      <c r="C77" s="98">
        <f>'1.Diabetes case'!K107</f>
        <v>12008.103819319645</v>
      </c>
      <c r="D77" s="99">
        <f>'2.Retinopathy'!K86</f>
        <v>2129.8971758853681</v>
      </c>
      <c r="E77" s="98">
        <f>'2.Retinopathy'!K115</f>
        <v>10538.071683075594</v>
      </c>
      <c r="F77" s="46">
        <f>'3.Nephropathy'!F65</f>
        <v>9.869419441375916</v>
      </c>
      <c r="G77" s="46">
        <f>'3.Nephropathy'!F93</f>
        <v>18.046804876348737</v>
      </c>
      <c r="H77" s="99">
        <f>'4.Neuropathy'!N178</f>
        <v>30.488641908197955</v>
      </c>
      <c r="I77" s="98">
        <f>'4.Neuropathy'!O178</f>
        <v>4381.7904414743698</v>
      </c>
      <c r="J77" s="46">
        <f>'5.Cataract'!F65</f>
        <v>28.10346451249713</v>
      </c>
      <c r="K77" s="46">
        <f>'5.Cataract'!F94</f>
        <v>481.20714927995942</v>
      </c>
      <c r="L77" s="99">
        <f>'6.Glaucoma'!F65</f>
        <v>5.9467413735255334</v>
      </c>
      <c r="M77" s="46">
        <f>'6.Glaucoma'!F94</f>
        <v>112.33604670215088</v>
      </c>
      <c r="N77" s="99">
        <f>'7. amputations'!N169</f>
        <v>39.691799072739556</v>
      </c>
      <c r="O77" s="98">
        <f>'7. amputations'!O169</f>
        <v>1067.0889145333772</v>
      </c>
      <c r="P77" s="196">
        <f>'8. Foot'!K88</f>
        <v>2.6534172330220214</v>
      </c>
      <c r="Q77" s="196">
        <f>'8. Foot'!K117</f>
        <v>319.81192059993003</v>
      </c>
      <c r="R77" s="99">
        <f t="shared" si="16"/>
        <v>2997.6302422205172</v>
      </c>
      <c r="S77" s="46">
        <f t="shared" si="17"/>
        <v>28926.456779861379</v>
      </c>
      <c r="T77" s="98">
        <f t="shared" si="18"/>
        <v>31924.087022081898</v>
      </c>
    </row>
    <row r="78" spans="1:20" s="22" customFormat="1" x14ac:dyDescent="0.2">
      <c r="A78" s="33" t="s">
        <v>14</v>
      </c>
      <c r="B78" s="99">
        <f>'1.Diabetes case'!K79</f>
        <v>627.62754908989393</v>
      </c>
      <c r="C78" s="98">
        <f>'1.Diabetes case'!K108</f>
        <v>22532.94461583484</v>
      </c>
      <c r="D78" s="99">
        <f>'2.Retinopathy'!K87</f>
        <v>803.9142223694065</v>
      </c>
      <c r="E78" s="98">
        <f>'2.Retinopathy'!K116</f>
        <v>22526.222801941913</v>
      </c>
      <c r="F78" s="46">
        <f>'3.Nephropathy'!F66</f>
        <v>9.7505865674865966</v>
      </c>
      <c r="G78" s="46">
        <f>'3.Nephropathy'!F94</f>
        <v>51.382053718732998</v>
      </c>
      <c r="H78" s="99">
        <f>'4.Neuropathy'!N179</f>
        <v>1.3290937492791874</v>
      </c>
      <c r="I78" s="98">
        <f>'4.Neuropathy'!O179</f>
        <v>7764.7657734221721</v>
      </c>
      <c r="J78" s="46">
        <f>'5.Cataract'!F66</f>
        <v>90.603212253773563</v>
      </c>
      <c r="K78" s="46">
        <f>'5.Cataract'!F95</f>
        <v>2757.348377985149</v>
      </c>
      <c r="L78" s="99">
        <f>'6.Glaucoma'!F66</f>
        <v>9.9187515516646236</v>
      </c>
      <c r="M78" s="46">
        <f>'6.Glaucoma'!F95</f>
        <v>360.57762207134328</v>
      </c>
      <c r="N78" s="99">
        <f>'7. amputations'!N170</f>
        <v>18.45766538625363</v>
      </c>
      <c r="O78" s="98">
        <f>'7. amputations'!O170</f>
        <v>3011.0834599624886</v>
      </c>
      <c r="P78" s="196">
        <f>'8. Foot'!K89</f>
        <v>3.8204603556786276</v>
      </c>
      <c r="Q78" s="196">
        <f>'8. Foot'!K118</f>
        <v>949.88078588844007</v>
      </c>
      <c r="R78" s="99">
        <f t="shared" si="16"/>
        <v>1565.4215413234367</v>
      </c>
      <c r="S78" s="46">
        <f t="shared" si="17"/>
        <v>59954.205490825087</v>
      </c>
      <c r="T78" s="98">
        <f t="shared" si="18"/>
        <v>61519.627032148521</v>
      </c>
    </row>
    <row r="79" spans="1:20" s="22" customFormat="1" x14ac:dyDescent="0.2">
      <c r="A79" s="33" t="s">
        <v>15</v>
      </c>
      <c r="B79" s="99">
        <f>'1.Diabetes case'!K80</f>
        <v>214.51016742264403</v>
      </c>
      <c r="C79" s="98">
        <f>'1.Diabetes case'!K109</f>
        <v>15955.749722501385</v>
      </c>
      <c r="D79" s="99">
        <f>'2.Retinopathy'!K88</f>
        <v>87.160118775909766</v>
      </c>
      <c r="E79" s="98">
        <f>'2.Retinopathy'!K117</f>
        <v>10940.461311834204</v>
      </c>
      <c r="F79" s="46">
        <f>'3.Nephropathy'!F67</f>
        <v>12.99649982525928</v>
      </c>
      <c r="G79" s="46">
        <f>'3.Nephropathy'!F95</f>
        <v>68.531688290614326</v>
      </c>
      <c r="H79" s="99">
        <f>'4.Neuropathy'!N180</f>
        <v>0.15489577405504273</v>
      </c>
      <c r="I79" s="98">
        <f>'4.Neuropathy'!O180</f>
        <v>2972.3846325394516</v>
      </c>
      <c r="J79" s="46">
        <f>'5.Cataract'!F67</f>
        <v>126.63367350970712</v>
      </c>
      <c r="K79" s="46">
        <f>'5.Cataract'!F96</f>
        <v>7374.6492358649648</v>
      </c>
      <c r="L79" s="99">
        <f>'6.Glaucoma'!F67</f>
        <v>9.1251786724355011</v>
      </c>
      <c r="M79" s="46">
        <f>'6.Glaucoma'!F96</f>
        <v>619.60994040183584</v>
      </c>
      <c r="N79" s="99">
        <f>'7. amputations'!N171</f>
        <v>2.1775295999999997</v>
      </c>
      <c r="O79" s="98">
        <f>'7. amputations'!O171</f>
        <v>1530.8538580720001</v>
      </c>
      <c r="P79" s="196">
        <f>'8. Foot'!K90</f>
        <v>2.7697911035721043</v>
      </c>
      <c r="Q79" s="196">
        <f>'8. Foot'!K119</f>
        <v>1372.5382160672</v>
      </c>
      <c r="R79" s="99">
        <f t="shared" si="16"/>
        <v>455.52785468358286</v>
      </c>
      <c r="S79" s="46">
        <f t="shared" si="17"/>
        <v>40834.778605571657</v>
      </c>
      <c r="T79" s="98">
        <f t="shared" si="18"/>
        <v>41290.30646025524</v>
      </c>
    </row>
    <row r="80" spans="1:20" s="22" customFormat="1" x14ac:dyDescent="0.2">
      <c r="A80" s="33" t="s">
        <v>16</v>
      </c>
      <c r="B80" s="99">
        <f>'1.Diabetes case'!K81</f>
        <v>92.870220082732203</v>
      </c>
      <c r="C80" s="98">
        <f>'1.Diabetes case'!K110</f>
        <v>9250.8652215574675</v>
      </c>
      <c r="D80" s="99">
        <f>'2.Retinopathy'!K89</f>
        <v>64.155275372098416</v>
      </c>
      <c r="E80" s="98">
        <f>'2.Retinopathy'!K118</f>
        <v>4698.5684660117613</v>
      </c>
      <c r="F80" s="46">
        <f>'3.Nephropathy'!F68</f>
        <v>13.041646474526834</v>
      </c>
      <c r="G80" s="46">
        <f>'3.Nephropathy'!F96</f>
        <v>73.359216855579135</v>
      </c>
      <c r="H80" s="99">
        <f>'4.Neuropathy'!N181</f>
        <v>0</v>
      </c>
      <c r="I80" s="98">
        <f>'4.Neuropathy'!O181</f>
        <v>728.01156663270206</v>
      </c>
      <c r="J80" s="46">
        <f>'5.Cataract'!F68</f>
        <v>97.158527799798719</v>
      </c>
      <c r="K80" s="46">
        <f>'5.Cataract'!F97</f>
        <v>8760.3179126565228</v>
      </c>
      <c r="L80" s="99">
        <f>'6.Glaucoma'!F68</f>
        <v>8.993268062310932</v>
      </c>
      <c r="M80" s="46">
        <f>'6.Glaucoma'!F97</f>
        <v>810.87979700478229</v>
      </c>
      <c r="N80" s="99">
        <f>'7. amputations'!N172</f>
        <v>4.5838576</v>
      </c>
      <c r="O80" s="98">
        <f>'7. amputations'!O172</f>
        <v>820.23152896799991</v>
      </c>
      <c r="P80" s="196">
        <f>'8. Foot'!K91</f>
        <v>1.4392845883889935</v>
      </c>
      <c r="Q80" s="196">
        <f>'8. Foot'!K120</f>
        <v>831.99940841934006</v>
      </c>
      <c r="R80" s="99">
        <f t="shared" si="16"/>
        <v>282.24207997985604</v>
      </c>
      <c r="S80" s="46">
        <f t="shared" si="17"/>
        <v>25974.233118106153</v>
      </c>
      <c r="T80" s="98">
        <f t="shared" si="18"/>
        <v>26256.475198086009</v>
      </c>
    </row>
    <row r="81" spans="1:20" s="22" customFormat="1" x14ac:dyDescent="0.2">
      <c r="A81" s="33" t="s">
        <v>17</v>
      </c>
      <c r="B81" s="99">
        <f>'1.Diabetes case'!K82</f>
        <v>31.462700787730231</v>
      </c>
      <c r="C81" s="98">
        <f>'1.Diabetes case'!K111</f>
        <v>2718.7922892420866</v>
      </c>
      <c r="D81" s="99">
        <f>'2.Retinopathy'!K90</f>
        <v>44.044726197174342</v>
      </c>
      <c r="E81" s="98">
        <f>'2.Retinopathy'!K119</f>
        <v>1995.3680762585682</v>
      </c>
      <c r="F81" s="46">
        <f>'3.Nephropathy'!F69</f>
        <v>11.812819944663838</v>
      </c>
      <c r="G81" s="46">
        <f>'3.Nephropathy'!F97</f>
        <v>76.043363938966948</v>
      </c>
      <c r="H81" s="99">
        <f>'4.Neuropathy'!N182</f>
        <v>0</v>
      </c>
      <c r="I81" s="98">
        <f>'4.Neuropathy'!O182</f>
        <v>106.89590053537846</v>
      </c>
      <c r="J81" s="46">
        <f>'5.Cataract'!F69</f>
        <v>32.209633575296408</v>
      </c>
      <c r="K81" s="46">
        <f>'5.Cataract'!F98</f>
        <v>2804.6840483363717</v>
      </c>
      <c r="L81" s="99">
        <f>'6.Glaucoma'!F69</f>
        <v>2.9704221028884383</v>
      </c>
      <c r="M81" s="46">
        <f>'6.Glaucoma'!F98</f>
        <v>258.65229013926518</v>
      </c>
      <c r="N81" s="99">
        <f>'7. amputations'!N173</f>
        <v>0.2242816</v>
      </c>
      <c r="O81" s="98">
        <f>'7. amputations'!O173</f>
        <v>163.74714056807875</v>
      </c>
      <c r="P81" s="196">
        <f>'8. Foot'!K92</f>
        <v>0.60749285595056834</v>
      </c>
      <c r="Q81" s="196">
        <f>'8. Foot'!K121</f>
        <v>225.75361796399997</v>
      </c>
      <c r="R81" s="99">
        <f t="shared" si="16"/>
        <v>123.33207706370382</v>
      </c>
      <c r="S81" s="46">
        <f t="shared" si="17"/>
        <v>8349.9367269827144</v>
      </c>
      <c r="T81" s="98">
        <f t="shared" si="18"/>
        <v>8473.2688040464182</v>
      </c>
    </row>
    <row r="82" spans="1:20" s="22" customFormat="1" x14ac:dyDescent="0.2">
      <c r="A82" s="34" t="s">
        <v>18</v>
      </c>
      <c r="B82" s="99">
        <f>'1.Diabetes case'!K83</f>
        <v>2354.2965841246837</v>
      </c>
      <c r="C82" s="98">
        <f>'1.Diabetes case'!K112</f>
        <v>64683.064472287952</v>
      </c>
      <c r="D82" s="99">
        <f>'2.Retinopathy'!K91</f>
        <v>5362.4518932684032</v>
      </c>
      <c r="E82" s="98">
        <f>'2.Retinopathy'!K120</f>
        <v>54990.657315911914</v>
      </c>
      <c r="F82" s="46">
        <f>'3.Nephropathy'!F70</f>
        <v>59.696540927119727</v>
      </c>
      <c r="G82" s="46">
        <f>'3.Nephropathy'!F98</f>
        <v>290.23655144487952</v>
      </c>
      <c r="H82" s="99">
        <f>'4.Neuropathy'!N183</f>
        <v>86.37988084568596</v>
      </c>
      <c r="I82" s="98">
        <f>'4.Neuropathy'!O183</f>
        <v>19886.105851854536</v>
      </c>
      <c r="J82" s="46">
        <f>'5.Cataract'!F70</f>
        <v>374.70851165107297</v>
      </c>
      <c r="K82" s="46">
        <f>'5.Cataract'!F99</f>
        <v>22178.206724122967</v>
      </c>
      <c r="L82" s="99">
        <f>'6.Glaucoma'!F70</f>
        <v>36.95436176282503</v>
      </c>
      <c r="M82" s="46">
        <f>'6.Glaucoma'!F99</f>
        <v>2162.0556963193771</v>
      </c>
      <c r="N82" s="99">
        <f>'7. amputations'!N174</f>
        <v>78.787613258993176</v>
      </c>
      <c r="O82" s="98">
        <f>'7. amputations'!O174</f>
        <v>6616.7240343279454</v>
      </c>
      <c r="P82" s="196">
        <f>'8. Foot'!K93</f>
        <v>11.938500386923725</v>
      </c>
      <c r="Q82" s="196">
        <f>'8. Foot'!K122</f>
        <v>3738.7630047913703</v>
      </c>
      <c r="R82" s="99">
        <f t="shared" si="16"/>
        <v>8365.2138862257052</v>
      </c>
      <c r="S82" s="46">
        <f t="shared" si="17"/>
        <v>174545.81365106095</v>
      </c>
      <c r="T82" s="98">
        <f t="shared" si="18"/>
        <v>182911.02753728666</v>
      </c>
    </row>
    <row r="83" spans="1:20" s="22" customFormat="1" x14ac:dyDescent="0.2">
      <c r="A83" s="30"/>
      <c r="B83" s="30"/>
      <c r="C83" s="32"/>
      <c r="D83" s="30"/>
      <c r="E83" s="32"/>
      <c r="F83" s="31"/>
      <c r="G83" s="31"/>
      <c r="H83" s="30"/>
      <c r="I83" s="32"/>
      <c r="J83" s="31"/>
      <c r="K83" s="31"/>
      <c r="L83" s="30"/>
      <c r="M83" s="31"/>
      <c r="N83" s="30"/>
      <c r="O83" s="32"/>
      <c r="P83" s="31"/>
      <c r="Q83" s="32"/>
      <c r="R83" s="30"/>
      <c r="S83" s="31"/>
      <c r="T83" s="32"/>
    </row>
    <row r="85" spans="1:20" s="22" customFormat="1" x14ac:dyDescent="0.2">
      <c r="A85" s="23" t="s">
        <v>345</v>
      </c>
    </row>
    <row r="86" spans="1:20" s="22" customFormat="1" x14ac:dyDescent="0.2">
      <c r="A86" s="23"/>
    </row>
    <row r="87" spans="1:20" s="22" customFormat="1" x14ac:dyDescent="0.2">
      <c r="A87" s="24" t="s">
        <v>25</v>
      </c>
      <c r="B87" s="408" t="s">
        <v>237</v>
      </c>
      <c r="C87" s="409"/>
      <c r="D87" s="408" t="s">
        <v>238</v>
      </c>
      <c r="E87" s="409"/>
      <c r="F87" s="410" t="s">
        <v>239</v>
      </c>
      <c r="G87" s="410"/>
      <c r="H87" s="408" t="s">
        <v>240</v>
      </c>
      <c r="I87" s="409"/>
      <c r="J87" s="410" t="s">
        <v>241</v>
      </c>
      <c r="K87" s="410"/>
      <c r="L87" s="408" t="s">
        <v>242</v>
      </c>
      <c r="M87" s="409"/>
      <c r="N87" s="408" t="s">
        <v>243</v>
      </c>
      <c r="O87" s="409"/>
      <c r="P87" s="410" t="s">
        <v>295</v>
      </c>
      <c r="Q87" s="410"/>
      <c r="R87" s="402" t="s">
        <v>18</v>
      </c>
      <c r="S87" s="404"/>
      <c r="T87" s="403"/>
    </row>
    <row r="88" spans="1:20" s="22" customFormat="1" x14ac:dyDescent="0.2">
      <c r="A88" s="30"/>
      <c r="B88" s="72" t="s">
        <v>123</v>
      </c>
      <c r="C88" s="73" t="s">
        <v>124</v>
      </c>
      <c r="D88" s="72" t="s">
        <v>123</v>
      </c>
      <c r="E88" s="73" t="s">
        <v>124</v>
      </c>
      <c r="F88" s="230" t="s">
        <v>123</v>
      </c>
      <c r="G88" s="230" t="s">
        <v>124</v>
      </c>
      <c r="H88" s="24" t="s">
        <v>123</v>
      </c>
      <c r="I88" s="26" t="s">
        <v>124</v>
      </c>
      <c r="J88" s="230" t="s">
        <v>123</v>
      </c>
      <c r="K88" s="230" t="s">
        <v>124</v>
      </c>
      <c r="L88" s="72" t="s">
        <v>123</v>
      </c>
      <c r="M88" s="73" t="s">
        <v>124</v>
      </c>
      <c r="N88" s="72" t="s">
        <v>123</v>
      </c>
      <c r="O88" s="73" t="s">
        <v>124</v>
      </c>
      <c r="P88" s="230" t="s">
        <v>123</v>
      </c>
      <c r="Q88" s="230" t="s">
        <v>124</v>
      </c>
      <c r="R88" s="72" t="s">
        <v>123</v>
      </c>
      <c r="S88" s="230" t="s">
        <v>124</v>
      </c>
      <c r="T88" s="233" t="s">
        <v>244</v>
      </c>
    </row>
    <row r="89" spans="1:20" s="22" customFormat="1" x14ac:dyDescent="0.2">
      <c r="A89" s="27"/>
      <c r="B89" s="27"/>
      <c r="C89" s="29"/>
      <c r="D89" s="27"/>
      <c r="E89" s="29"/>
      <c r="F89" s="28"/>
      <c r="G89" s="28"/>
      <c r="H89" s="24"/>
      <c r="I89" s="26"/>
      <c r="J89" s="28"/>
      <c r="K89" s="28"/>
      <c r="L89" s="27"/>
      <c r="M89" s="29"/>
      <c r="N89" s="27"/>
      <c r="O89" s="29"/>
      <c r="R89" s="27"/>
      <c r="S89" s="28"/>
      <c r="T89" s="29"/>
    </row>
    <row r="90" spans="1:20" s="22" customFormat="1" x14ac:dyDescent="0.2">
      <c r="A90" s="48" t="s">
        <v>34</v>
      </c>
      <c r="B90" s="27"/>
      <c r="C90" s="29"/>
      <c r="D90" s="27"/>
      <c r="E90" s="29"/>
      <c r="F90" s="28"/>
      <c r="G90" s="28"/>
      <c r="H90" s="27"/>
      <c r="I90" s="29"/>
      <c r="J90" s="28"/>
      <c r="K90" s="28"/>
      <c r="L90" s="27"/>
      <c r="M90" s="28"/>
      <c r="N90" s="24"/>
      <c r="O90" s="26"/>
      <c r="R90" s="27"/>
      <c r="S90" s="28"/>
      <c r="T90" s="29"/>
    </row>
    <row r="91" spans="1:20" s="22" customFormat="1" x14ac:dyDescent="0.2">
      <c r="A91" s="33" t="s">
        <v>7</v>
      </c>
      <c r="B91" s="99">
        <f>'1.Diabetes case'!L64</f>
        <v>499</v>
      </c>
      <c r="C91" s="98">
        <f>'1.Diabetes case'!L93</f>
        <v>0</v>
      </c>
      <c r="D91" s="99">
        <f>'2.Retinopathy'!L72</f>
        <v>0</v>
      </c>
      <c r="E91" s="98">
        <f>'2.Retinopathy'!L101</f>
        <v>0</v>
      </c>
      <c r="F91" s="46">
        <f>'3.Nephropathy'!G51</f>
        <v>0</v>
      </c>
      <c r="G91" s="46">
        <f>'3.Nephropathy'!G79</f>
        <v>0</v>
      </c>
      <c r="H91" s="99">
        <f>'4.Neuropathy'!R164</f>
        <v>0</v>
      </c>
      <c r="I91" s="99">
        <f>'4.Neuropathy'!S164</f>
        <v>0</v>
      </c>
      <c r="J91" s="46">
        <f>'5.Cataract'!G51</f>
        <v>0</v>
      </c>
      <c r="K91" s="46">
        <f>'5.Cataract'!G80</f>
        <v>0</v>
      </c>
      <c r="L91" s="99">
        <f>'6.Glaucoma'!G51</f>
        <v>0</v>
      </c>
      <c r="M91" s="46">
        <f>'6.Glaucoma'!G80</f>
        <v>0</v>
      </c>
      <c r="N91" s="99">
        <f>'7. amputations'!R155</f>
        <v>0</v>
      </c>
      <c r="O91" s="99">
        <f>'7. amputations'!S155</f>
        <v>0</v>
      </c>
      <c r="P91" s="196">
        <f>'8. Foot'!L74</f>
        <v>0</v>
      </c>
      <c r="Q91" s="196">
        <f>'8. Foot'!L103</f>
        <v>0</v>
      </c>
      <c r="R91" s="99">
        <f>B91+D91+F91+H91+J91+L91+N91+P91</f>
        <v>499</v>
      </c>
      <c r="S91" s="46">
        <f>C91+E91+G91+I91+K91+M91+O91+Q91</f>
        <v>0</v>
      </c>
      <c r="T91" s="98">
        <f>R91+S91</f>
        <v>499</v>
      </c>
    </row>
    <row r="92" spans="1:20" s="22" customFormat="1" x14ac:dyDescent="0.2">
      <c r="A92" s="33" t="s">
        <v>11</v>
      </c>
      <c r="B92" s="99">
        <f>'1.Diabetes case'!L65</f>
        <v>4170</v>
      </c>
      <c r="C92" s="98">
        <f>'1.Diabetes case'!L94</f>
        <v>0</v>
      </c>
      <c r="D92" s="99">
        <f>'2.Retinopathy'!L73</f>
        <v>2122.1243273302002</v>
      </c>
      <c r="E92" s="98">
        <f>'2.Retinopathy'!L102</f>
        <v>6411.2275641474007</v>
      </c>
      <c r="F92" s="46">
        <f>'3.Nephropathy'!G52</f>
        <v>0.50744470509707862</v>
      </c>
      <c r="G92" s="46">
        <f>'3.Nephropathy'!G80</f>
        <v>0</v>
      </c>
      <c r="H92" s="99">
        <f>'4.Neuropathy'!R165</f>
        <v>18.853437387123208</v>
      </c>
      <c r="I92" s="99">
        <f>'4.Neuropathy'!S165</f>
        <v>0</v>
      </c>
      <c r="J92" s="46">
        <f>'5.Cataract'!G52</f>
        <v>0</v>
      </c>
      <c r="K92" s="46">
        <f>'5.Cataract'!G81</f>
        <v>0</v>
      </c>
      <c r="L92" s="99">
        <f>'6.Glaucoma'!G52</f>
        <v>0</v>
      </c>
      <c r="M92" s="46">
        <f>'6.Glaucoma'!G81</f>
        <v>0</v>
      </c>
      <c r="N92" s="99">
        <f>'7. amputations'!R156</f>
        <v>0</v>
      </c>
      <c r="O92" s="99">
        <f>'7. amputations'!S156</f>
        <v>0</v>
      </c>
      <c r="P92" s="196">
        <f>'8. Foot'!L75</f>
        <v>0</v>
      </c>
      <c r="Q92" s="196">
        <f>'8. Foot'!L104</f>
        <v>0</v>
      </c>
      <c r="R92" s="99">
        <f t="shared" ref="R92:R99" si="19">B92+D92+F92+H92+J92+L92+N92+P92</f>
        <v>6311.4852094224216</v>
      </c>
      <c r="S92" s="46">
        <f t="shared" ref="S92:S99" si="20">C92+E92+G92+I92+K92+M92+O92+Q92</f>
        <v>6411.2275641474007</v>
      </c>
      <c r="T92" s="98">
        <f t="shared" ref="T92:T99" si="21">R92+S92</f>
        <v>12722.712773569823</v>
      </c>
    </row>
    <row r="93" spans="1:20" s="22" customFormat="1" x14ac:dyDescent="0.2">
      <c r="A93" s="33" t="s">
        <v>12</v>
      </c>
      <c r="B93" s="99">
        <f>'1.Diabetes case'!L66</f>
        <v>16107</v>
      </c>
      <c r="C93" s="98">
        <f>'1.Diabetes case'!L95</f>
        <v>101454</v>
      </c>
      <c r="D93" s="99">
        <f>'2.Retinopathy'!L74</f>
        <v>6371.3040908792</v>
      </c>
      <c r="E93" s="98">
        <f>'2.Retinopathy'!L103</f>
        <v>18006.271146534</v>
      </c>
      <c r="F93" s="46">
        <f>'3.Nephropathy'!G53</f>
        <v>1.6384022473934479</v>
      </c>
      <c r="G93" s="46">
        <f>'3.Nephropathy'!G81</f>
        <v>10.319889588815723</v>
      </c>
      <c r="H93" s="99">
        <f>'4.Neuropathy'!R166</f>
        <v>215.32416220683541</v>
      </c>
      <c r="I93" s="99">
        <f>'4.Neuropathy'!S166</f>
        <v>9465.554535669351</v>
      </c>
      <c r="J93" s="46">
        <f>'5.Cataract'!G53</f>
        <v>0</v>
      </c>
      <c r="K93" s="46">
        <f>'5.Cataract'!G82</f>
        <v>0</v>
      </c>
      <c r="L93" s="99">
        <f>'6.Glaucoma'!G53</f>
        <v>0</v>
      </c>
      <c r="M93" s="46">
        <f>'6.Glaucoma'!G82</f>
        <v>0</v>
      </c>
      <c r="N93" s="99">
        <f>'7. amputations'!R157</f>
        <v>258.71019999999999</v>
      </c>
      <c r="O93" s="99">
        <f>'7. amputations'!S157</f>
        <v>446.50256400000001</v>
      </c>
      <c r="P93" s="196">
        <f>'8. Foot'!L76</f>
        <v>15.496602519647961</v>
      </c>
      <c r="Q93" s="196">
        <f>'8. Foot'!L105</f>
        <v>597.93132347999983</v>
      </c>
      <c r="R93" s="99">
        <f t="shared" si="19"/>
        <v>22969.473457853077</v>
      </c>
      <c r="S93" s="46">
        <f t="shared" si="20"/>
        <v>129980.57945927216</v>
      </c>
      <c r="T93" s="98">
        <f t="shared" si="21"/>
        <v>152950.05291712523</v>
      </c>
    </row>
    <row r="94" spans="1:20" s="22" customFormat="1" x14ac:dyDescent="0.2">
      <c r="A94" s="33" t="s">
        <v>13</v>
      </c>
      <c r="B94" s="99">
        <f>'1.Diabetes case'!L67</f>
        <v>22800</v>
      </c>
      <c r="C94" s="98">
        <f>'1.Diabetes case'!L96</f>
        <v>407737</v>
      </c>
      <c r="D94" s="99">
        <f>'2.Retinopathy'!L75</f>
        <v>4998.9207350100005</v>
      </c>
      <c r="E94" s="98">
        <f>'2.Retinopathy'!L104</f>
        <v>62896.528968337509</v>
      </c>
      <c r="F94" s="46">
        <f>'3.Nephropathy'!G54</f>
        <v>8.7757322508033599</v>
      </c>
      <c r="G94" s="46">
        <f>'3.Nephropathy'!G82</f>
        <v>156.93819038358816</v>
      </c>
      <c r="H94" s="99">
        <f>'4.Neuropathy'!R167</f>
        <v>97.898298966046241</v>
      </c>
      <c r="I94" s="99">
        <f>'4.Neuropathy'!S167</f>
        <v>22887.424274744943</v>
      </c>
      <c r="J94" s="46">
        <f>'5.Cataract'!G54</f>
        <v>73.885927033526613</v>
      </c>
      <c r="K94" s="46">
        <f>'5.Cataract'!G83</f>
        <v>1154.0060460685422</v>
      </c>
      <c r="L94" s="99">
        <f>'6.Glaucoma'!G54</f>
        <v>33.510931471614924</v>
      </c>
      <c r="M94" s="46">
        <f>'6.Glaucoma'!G83</f>
        <v>571.50430934931433</v>
      </c>
      <c r="N94" s="99">
        <f>'7. amputations'!R158</f>
        <v>413.29574140710452</v>
      </c>
      <c r="O94" s="99">
        <f>'7. amputations'!S158</f>
        <v>8582.3114609355089</v>
      </c>
      <c r="P94" s="196">
        <f>'8. Foot'!L77</f>
        <v>56.511408683809798</v>
      </c>
      <c r="Q94" s="196">
        <f>'8. Foot'!L106</f>
        <v>6527.6899657200001</v>
      </c>
      <c r="R94" s="99">
        <f t="shared" si="19"/>
        <v>28482.79877482291</v>
      </c>
      <c r="S94" s="46">
        <f t="shared" si="20"/>
        <v>510513.40321553941</v>
      </c>
      <c r="T94" s="98">
        <f t="shared" si="21"/>
        <v>538996.20199036237</v>
      </c>
    </row>
    <row r="95" spans="1:20" s="22" customFormat="1" x14ac:dyDescent="0.2">
      <c r="A95" s="33" t="s">
        <v>14</v>
      </c>
      <c r="B95" s="99">
        <f>'1.Diabetes case'!L68</f>
        <v>17844</v>
      </c>
      <c r="C95" s="98">
        <f>'1.Diabetes case'!L97</f>
        <v>716551</v>
      </c>
      <c r="D95" s="99">
        <f>'2.Retinopathy'!L76</f>
        <v>2816.0725534325998</v>
      </c>
      <c r="E95" s="98">
        <f>'2.Retinopathy'!L105</f>
        <v>73265.002551152997</v>
      </c>
      <c r="F95" s="46">
        <f>'3.Nephropathy'!G55</f>
        <v>9.0285064797171923</v>
      </c>
      <c r="G95" s="46">
        <f>'3.Nephropathy'!G83</f>
        <v>362.55241798631664</v>
      </c>
      <c r="H95" s="99">
        <f>'4.Neuropathy'!R168</f>
        <v>4.3814542792736653</v>
      </c>
      <c r="I95" s="99">
        <f>'4.Neuropathy'!S168</f>
        <v>40191.04712933569</v>
      </c>
      <c r="J95" s="46">
        <f>'5.Cataract'!G55</f>
        <v>594.33633507929483</v>
      </c>
      <c r="K95" s="46">
        <f>'5.Cataract'!G84</f>
        <v>18118.80100292488</v>
      </c>
      <c r="L95" s="99">
        <f>'6.Glaucoma'!G55</f>
        <v>47.419225995578614</v>
      </c>
      <c r="M95" s="46">
        <f>'6.Glaucoma'!G84</f>
        <v>1721.1990932271926</v>
      </c>
      <c r="N95" s="99">
        <f>'7. amputations'!R159</f>
        <v>135.49549999999999</v>
      </c>
      <c r="O95" s="99">
        <f>'7. amputations'!S159</f>
        <v>27379.217502</v>
      </c>
      <c r="P95" s="196">
        <f>'8. Foot'!L78</f>
        <v>52.148650916910249</v>
      </c>
      <c r="Q95" s="196">
        <f>'8. Foot'!L107</f>
        <v>15195.037195799998</v>
      </c>
      <c r="R95" s="99">
        <f t="shared" si="19"/>
        <v>21502.882226183377</v>
      </c>
      <c r="S95" s="46">
        <f t="shared" si="20"/>
        <v>892783.85689242708</v>
      </c>
      <c r="T95" s="98">
        <f t="shared" si="21"/>
        <v>914286.73911861051</v>
      </c>
    </row>
    <row r="96" spans="1:20" s="22" customFormat="1" x14ac:dyDescent="0.2">
      <c r="A96" s="33" t="s">
        <v>15</v>
      </c>
      <c r="B96" s="99">
        <f>'1.Diabetes case'!L69</f>
        <v>5876</v>
      </c>
      <c r="C96" s="98">
        <f>'1.Diabetes case'!L98</f>
        <v>344390</v>
      </c>
      <c r="D96" s="99">
        <f>'2.Retinopathy'!L77</f>
        <v>302.27224469820004</v>
      </c>
      <c r="E96" s="98">
        <f>'2.Retinopathy'!L106</f>
        <v>18745.967650224</v>
      </c>
      <c r="F96" s="46">
        <f>'3.Nephropathy'!G56</f>
        <v>16.319047549045198</v>
      </c>
      <c r="G96" s="46">
        <f>'3.Nephropathy'!G84</f>
        <v>956.45282256903954</v>
      </c>
      <c r="H96" s="99">
        <f>'4.Neuropathy'!R169</f>
        <v>3.2816797999999994E-2</v>
      </c>
      <c r="I96" s="99">
        <f>'4.Neuropathy'!S169</f>
        <v>7095.9089365774144</v>
      </c>
      <c r="J96" s="46">
        <f>'5.Cataract'!G56</f>
        <v>1086.9036972012589</v>
      </c>
      <c r="K96" s="46">
        <f>'5.Cataract'!G85</f>
        <v>49482.407125737387</v>
      </c>
      <c r="L96" s="99">
        <f>'6.Glaucoma'!G56</f>
        <v>31.043668053514722</v>
      </c>
      <c r="M96" s="46">
        <f>'6.Glaucoma'!G85</f>
        <v>1590.3612196930048</v>
      </c>
      <c r="N96" s="99">
        <f>'7. amputations'!R160</f>
        <v>35.729999999999997</v>
      </c>
      <c r="O96" s="99">
        <f>'7. amputations'!S160</f>
        <v>13908.810726</v>
      </c>
      <c r="P96" s="196">
        <f>'8. Foot'!L79</f>
        <v>19.934693674590605</v>
      </c>
      <c r="Q96" s="196">
        <f>'8. Foot'!L108</f>
        <v>9411.3590518000001</v>
      </c>
      <c r="R96" s="99">
        <f t="shared" si="19"/>
        <v>7368.2361679746091</v>
      </c>
      <c r="S96" s="46">
        <f t="shared" si="20"/>
        <v>445581.2675326009</v>
      </c>
      <c r="T96" s="98">
        <f t="shared" si="21"/>
        <v>452949.5037005755</v>
      </c>
    </row>
    <row r="97" spans="1:20" s="22" customFormat="1" x14ac:dyDescent="0.2">
      <c r="A97" s="33" t="s">
        <v>16</v>
      </c>
      <c r="B97" s="99">
        <f>'1.Diabetes case'!L70</f>
        <v>2511</v>
      </c>
      <c r="C97" s="98">
        <f>'1.Diabetes case'!L99</f>
        <v>178996</v>
      </c>
      <c r="D97" s="99">
        <f>'2.Retinopathy'!L78</f>
        <v>92.638977897200022</v>
      </c>
      <c r="E97" s="98">
        <f>'2.Retinopathy'!L107</f>
        <v>5119.5991813218006</v>
      </c>
      <c r="F97" s="46">
        <f>'3.Nephropathy'!G57</f>
        <v>21.359202352434728</v>
      </c>
      <c r="G97" s="46">
        <f>'3.Nephropathy'!G85</f>
        <v>1522.5853382223841</v>
      </c>
      <c r="H97" s="99">
        <f>'4.Neuropathy'!R170</f>
        <v>0</v>
      </c>
      <c r="I97" s="99">
        <f>'4.Neuropathy'!S170</f>
        <v>1849.4070999086025</v>
      </c>
      <c r="J97" s="46">
        <f>'5.Cataract'!G57</f>
        <v>824.2090962913561</v>
      </c>
      <c r="K97" s="46">
        <f>'5.Cataract'!G86</f>
        <v>51084.428400155914</v>
      </c>
      <c r="L97" s="99">
        <f>'6.Glaucoma'!G57</f>
        <v>63.049579015599129</v>
      </c>
      <c r="M97" s="46">
        <f>'6.Glaucoma'!G86</f>
        <v>3907.8089763568714</v>
      </c>
      <c r="N97" s="99">
        <f>'7. amputations'!R161</f>
        <v>26.623999999999999</v>
      </c>
      <c r="O97" s="99">
        <f>'7. amputations'!S161</f>
        <v>4413.5176485918973</v>
      </c>
      <c r="P97" s="196">
        <f>'8. Foot'!L80</f>
        <v>11.400444439214754</v>
      </c>
      <c r="Q97" s="196">
        <f>'8. Foot'!L109</f>
        <v>6450.0242021599997</v>
      </c>
      <c r="R97" s="99">
        <f t="shared" si="19"/>
        <v>3550.2812999958051</v>
      </c>
      <c r="S97" s="46">
        <f t="shared" si="20"/>
        <v>253343.37084671747</v>
      </c>
      <c r="T97" s="98">
        <f t="shared" si="21"/>
        <v>256893.65214671328</v>
      </c>
    </row>
    <row r="98" spans="1:20" s="22" customFormat="1" x14ac:dyDescent="0.2">
      <c r="A98" s="33" t="s">
        <v>17</v>
      </c>
      <c r="B98" s="99">
        <f>'1.Diabetes case'!L71</f>
        <v>752</v>
      </c>
      <c r="C98" s="98">
        <f>'1.Diabetes case'!L100</f>
        <v>70802</v>
      </c>
      <c r="D98" s="99">
        <f>'2.Retinopathy'!L79</f>
        <v>71.624724951000005</v>
      </c>
      <c r="E98" s="98">
        <f>'2.Retinopathy'!L108</f>
        <v>1674.6407546550001</v>
      </c>
      <c r="F98" s="46">
        <f>'3.Nephropathy'!G58</f>
        <v>10.071687340620684</v>
      </c>
      <c r="G98" s="46">
        <f>'3.Nephropathy'!G86</f>
        <v>948.26543496093848</v>
      </c>
      <c r="H98" s="99">
        <f>'4.Neuropathy'!R171</f>
        <v>0</v>
      </c>
      <c r="I98" s="99">
        <f>'4.Neuropathy'!S171</f>
        <v>510.74299595518744</v>
      </c>
      <c r="J98" s="46">
        <f>'5.Cataract'!G58</f>
        <v>277.39383948144342</v>
      </c>
      <c r="K98" s="46">
        <f>'5.Cataract'!G87</f>
        <v>22950.56963793363</v>
      </c>
      <c r="L98" s="99">
        <f>'6.Glaucoma'!G58</f>
        <v>18.89490405087874</v>
      </c>
      <c r="M98" s="46">
        <f>'6.Glaucoma'!G87</f>
        <v>1563.29647418423</v>
      </c>
      <c r="N98" s="99">
        <f>'7. amputations'!R162</f>
        <v>50.042268371390826</v>
      </c>
      <c r="O98" s="99">
        <f>'7. amputations'!S162</f>
        <v>908.21208530515196</v>
      </c>
      <c r="P98" s="196">
        <f>'8. Foot'!L81</f>
        <v>5.1637149385408803</v>
      </c>
      <c r="Q98" s="196">
        <f>'8. Foot'!L110</f>
        <v>3016.1312150399999</v>
      </c>
      <c r="R98" s="99">
        <f t="shared" si="19"/>
        <v>1185.1911391338742</v>
      </c>
      <c r="S98" s="46">
        <f t="shared" si="20"/>
        <v>102373.85859803413</v>
      </c>
      <c r="T98" s="98">
        <f t="shared" si="21"/>
        <v>103559.04973716801</v>
      </c>
    </row>
    <row r="99" spans="1:20" s="22" customFormat="1" x14ac:dyDescent="0.2">
      <c r="A99" s="34" t="s">
        <v>18</v>
      </c>
      <c r="B99" s="99">
        <f>'1.Diabetes case'!L72</f>
        <v>70559</v>
      </c>
      <c r="C99" s="98">
        <f>'1.Diabetes case'!L101</f>
        <v>1819930</v>
      </c>
      <c r="D99" s="99">
        <f>'2.Retinopathy'!L80</f>
        <v>16774.957654198402</v>
      </c>
      <c r="E99" s="98">
        <f>'2.Retinopathy'!L109</f>
        <v>186119.23781637271</v>
      </c>
      <c r="F99" s="46">
        <f>'3.Nephropathy'!G59</f>
        <v>67.700022925111682</v>
      </c>
      <c r="G99" s="46">
        <f>'3.Nephropathy'!G87</f>
        <v>3957.1140937110827</v>
      </c>
      <c r="H99" s="99">
        <f>'4.Neuropathy'!R172</f>
        <v>336.49016963727854</v>
      </c>
      <c r="I99" s="99">
        <f>'4.Neuropathy'!S172</f>
        <v>82000.08497219118</v>
      </c>
      <c r="J99" s="46">
        <f>'5.Cataract'!G59</f>
        <v>2856.7288950868801</v>
      </c>
      <c r="K99" s="46">
        <f>'5.Cataract'!G88</f>
        <v>142790.21221282036</v>
      </c>
      <c r="L99" s="99">
        <f>'6.Glaucoma'!G59</f>
        <v>193.91830858718615</v>
      </c>
      <c r="M99" s="46">
        <f>'6.Glaucoma'!G88</f>
        <v>9354.1700728106134</v>
      </c>
      <c r="N99" s="99">
        <f>'7. amputations'!R163</f>
        <v>919.89770977849537</v>
      </c>
      <c r="O99" s="99">
        <f>'7. amputations'!S163</f>
        <v>55638.571986832554</v>
      </c>
      <c r="P99" s="196">
        <f>'8. Foot'!L82</f>
        <v>160.65551517271425</v>
      </c>
      <c r="Q99" s="196">
        <f>'8. Foot'!L111</f>
        <v>41198.172953999994</v>
      </c>
      <c r="R99" s="99">
        <f t="shared" si="19"/>
        <v>91869.348275386074</v>
      </c>
      <c r="S99" s="46">
        <f t="shared" si="20"/>
        <v>2340987.5641087387</v>
      </c>
      <c r="T99" s="98">
        <f t="shared" si="21"/>
        <v>2432856.9123841249</v>
      </c>
    </row>
    <row r="100" spans="1:20" s="22" customFormat="1" x14ac:dyDescent="0.2">
      <c r="A100" s="27"/>
      <c r="B100" s="99"/>
      <c r="C100" s="98"/>
      <c r="D100" s="99"/>
      <c r="E100" s="98"/>
      <c r="F100" s="46"/>
      <c r="G100" s="46"/>
      <c r="H100" s="99"/>
      <c r="I100" s="99"/>
      <c r="J100" s="46"/>
      <c r="K100" s="46"/>
      <c r="L100" s="99"/>
      <c r="M100" s="46"/>
      <c r="N100" s="99"/>
      <c r="O100" s="99"/>
      <c r="P100" s="196"/>
      <c r="Q100" s="196"/>
      <c r="R100" s="27"/>
      <c r="S100" s="28"/>
      <c r="T100" s="29"/>
    </row>
    <row r="101" spans="1:20" s="22" customFormat="1" x14ac:dyDescent="0.2">
      <c r="A101" s="48" t="s">
        <v>35</v>
      </c>
      <c r="B101" s="99"/>
      <c r="C101" s="98"/>
      <c r="D101" s="99"/>
      <c r="E101" s="98"/>
      <c r="F101" s="46"/>
      <c r="G101" s="46"/>
      <c r="H101" s="99"/>
      <c r="I101" s="99"/>
      <c r="J101" s="46"/>
      <c r="K101" s="46"/>
      <c r="L101" s="99"/>
      <c r="M101" s="46"/>
      <c r="N101" s="99"/>
      <c r="O101" s="99"/>
      <c r="P101" s="196"/>
      <c r="Q101" s="196"/>
      <c r="R101" s="27"/>
      <c r="S101" s="28"/>
      <c r="T101" s="29"/>
    </row>
    <row r="102" spans="1:20" s="22" customFormat="1" x14ac:dyDescent="0.2">
      <c r="A102" s="33" t="s">
        <v>7</v>
      </c>
      <c r="B102" s="99">
        <f>'1.Diabetes case'!L75</f>
        <v>469</v>
      </c>
      <c r="C102" s="98">
        <f>'1.Diabetes case'!L104</f>
        <v>0</v>
      </c>
      <c r="D102" s="99">
        <f>'2.Retinopathy'!L83</f>
        <v>0</v>
      </c>
      <c r="E102" s="98">
        <f>'2.Retinopathy'!L112</f>
        <v>0</v>
      </c>
      <c r="F102" s="46">
        <f>'3.Nephropathy'!G62</f>
        <v>0</v>
      </c>
      <c r="G102" s="46">
        <f>'3.Nephropathy'!G90</f>
        <v>0</v>
      </c>
      <c r="H102" s="99">
        <f>'4.Neuropathy'!R175</f>
        <v>0</v>
      </c>
      <c r="I102" s="99">
        <f>'4.Neuropathy'!S175</f>
        <v>0</v>
      </c>
      <c r="J102" s="46">
        <f>'5.Cataract'!G62</f>
        <v>0</v>
      </c>
      <c r="K102" s="46">
        <f>'5.Cataract'!G91</f>
        <v>0</v>
      </c>
      <c r="L102" s="99">
        <f>'6.Glaucoma'!G62</f>
        <v>0</v>
      </c>
      <c r="M102" s="46">
        <f>'6.Glaucoma'!G91</f>
        <v>0</v>
      </c>
      <c r="N102" s="99">
        <f>'7. amputations'!R166</f>
        <v>0</v>
      </c>
      <c r="O102" s="99">
        <f>'7. amputations'!S166</f>
        <v>0</v>
      </c>
      <c r="P102" s="196">
        <f>'8. Foot'!L85</f>
        <v>0</v>
      </c>
      <c r="Q102" s="196">
        <f>'8. Foot'!L114</f>
        <v>0</v>
      </c>
      <c r="R102" s="99">
        <f>B102+D102+F102+H102+J102+L102+N102+P102</f>
        <v>469</v>
      </c>
      <c r="S102" s="46">
        <f>C102+E102+G102+I102+K102+M102+O102+Q102</f>
        <v>0</v>
      </c>
      <c r="T102" s="98">
        <f>R102+S102</f>
        <v>469</v>
      </c>
    </row>
    <row r="103" spans="1:20" s="22" customFormat="1" x14ac:dyDescent="0.2">
      <c r="A103" s="33" t="s">
        <v>11</v>
      </c>
      <c r="B103" s="99">
        <f>'1.Diabetes case'!L76</f>
        <v>3929</v>
      </c>
      <c r="C103" s="98">
        <f>'1.Diabetes case'!L105</f>
        <v>0</v>
      </c>
      <c r="D103" s="99">
        <f>'2.Retinopathy'!L84</f>
        <v>2162.031198656</v>
      </c>
      <c r="E103" s="98">
        <f>'2.Retinopathy'!L113</f>
        <v>4351.1281443839998</v>
      </c>
      <c r="F103" s="46">
        <f>'3.Nephropathy'!G63</f>
        <v>0</v>
      </c>
      <c r="G103" s="46">
        <f>'3.Nephropathy'!G91</f>
        <v>0</v>
      </c>
      <c r="H103" s="99">
        <f>'4.Neuropathy'!R176</f>
        <v>21.967476713439488</v>
      </c>
      <c r="I103" s="99">
        <f>'4.Neuropathy'!S176</f>
        <v>0</v>
      </c>
      <c r="J103" s="46">
        <f>'5.Cataract'!G63</f>
        <v>0</v>
      </c>
      <c r="K103" s="46">
        <f>'5.Cataract'!G92</f>
        <v>0</v>
      </c>
      <c r="L103" s="99">
        <f>'6.Glaucoma'!G63</f>
        <v>0</v>
      </c>
      <c r="M103" s="46">
        <f>'6.Glaucoma'!G92</f>
        <v>0</v>
      </c>
      <c r="N103" s="99">
        <f>'7. amputations'!R167</f>
        <v>0</v>
      </c>
      <c r="O103" s="99">
        <f>'7. amputations'!S167</f>
        <v>0</v>
      </c>
      <c r="P103" s="196">
        <f>'8. Foot'!L86</f>
        <v>0</v>
      </c>
      <c r="Q103" s="196">
        <f>'8. Foot'!L115</f>
        <v>0</v>
      </c>
      <c r="R103" s="99">
        <f t="shared" ref="R103:R110" si="22">B103+D103+F103+H103+J103+L103+N103+P103</f>
        <v>6112.9986753694393</v>
      </c>
      <c r="S103" s="46">
        <f t="shared" ref="S103:S110" si="23">C103+E103+G103+I103+K103+M103+O103+Q103</f>
        <v>4351.1281443839998</v>
      </c>
      <c r="T103" s="98">
        <f t="shared" ref="T103:T110" si="24">R103+S103</f>
        <v>10464.126819753439</v>
      </c>
    </row>
    <row r="104" spans="1:20" s="22" customFormat="1" x14ac:dyDescent="0.2">
      <c r="A104" s="33" t="s">
        <v>12</v>
      </c>
      <c r="B104" s="99">
        <f>'1.Diabetes case'!L77</f>
        <v>15515</v>
      </c>
      <c r="C104" s="98">
        <f>'1.Diabetes case'!L106</f>
        <v>153923</v>
      </c>
      <c r="D104" s="99">
        <f>'2.Retinopathy'!L85</f>
        <v>6630.4112212985165</v>
      </c>
      <c r="E104" s="98">
        <f>'2.Retinopathy'!L114</f>
        <v>12546.371764237565</v>
      </c>
      <c r="F104" s="46">
        <f>'3.Nephropathy'!G64</f>
        <v>0</v>
      </c>
      <c r="G104" s="46">
        <f>'3.Nephropathy'!G92</f>
        <v>12.578112257175873</v>
      </c>
      <c r="H104" s="99">
        <f>'4.Neuropathy'!R177</f>
        <v>264.38646757158034</v>
      </c>
      <c r="I104" s="99">
        <f>'4.Neuropathy'!S177</f>
        <v>20696.092301318196</v>
      </c>
      <c r="J104" s="46">
        <f>'5.Cataract'!G64</f>
        <v>0</v>
      </c>
      <c r="K104" s="46">
        <f>'5.Cataract'!G93</f>
        <v>0</v>
      </c>
      <c r="L104" s="99">
        <f>'6.Glaucoma'!G64</f>
        <v>0</v>
      </c>
      <c r="M104" s="46">
        <f>'6.Glaucoma'!G93</f>
        <v>0</v>
      </c>
      <c r="N104" s="99">
        <f>'7. amputations'!R168</f>
        <v>213.32</v>
      </c>
      <c r="O104" s="99">
        <f>'7. amputations'!S168</f>
        <v>370.61144100000001</v>
      </c>
      <c r="P104" s="196">
        <f>'8. Foot'!L87</f>
        <v>5.7349933655876919</v>
      </c>
      <c r="Q104" s="196">
        <f>'8. Foot'!L116</f>
        <v>343.17748541999993</v>
      </c>
      <c r="R104" s="99">
        <f t="shared" si="22"/>
        <v>22628.852682235683</v>
      </c>
      <c r="S104" s="46">
        <f t="shared" si="23"/>
        <v>187891.8311042329</v>
      </c>
      <c r="T104" s="98">
        <f t="shared" si="24"/>
        <v>210520.68378646858</v>
      </c>
    </row>
    <row r="105" spans="1:20" s="22" customFormat="1" x14ac:dyDescent="0.2">
      <c r="A105" s="33" t="s">
        <v>13</v>
      </c>
      <c r="B105" s="99">
        <f>'1.Diabetes case'!L78</f>
        <v>23335</v>
      </c>
      <c r="C105" s="98">
        <f>'1.Diabetes case'!L107</f>
        <v>465019</v>
      </c>
      <c r="D105" s="99">
        <f>'2.Retinopathy'!L86</f>
        <v>8385.4219523045995</v>
      </c>
      <c r="E105" s="98">
        <f>'2.Retinopathy'!L115</f>
        <v>41488.471193211</v>
      </c>
      <c r="F105" s="46">
        <f>'3.Nephropathy'!G65</f>
        <v>0</v>
      </c>
      <c r="G105" s="46">
        <f>'3.Nephropathy'!G93</f>
        <v>196.67741843621971</v>
      </c>
      <c r="H105" s="99">
        <f>'4.Neuropathy'!R178</f>
        <v>160.46653635893662</v>
      </c>
      <c r="I105" s="99">
        <f>'4.Neuropathy'!S178</f>
        <v>23062.054955128264</v>
      </c>
      <c r="J105" s="46">
        <f>'5.Cataract'!G65</f>
        <v>96.847610585746295</v>
      </c>
      <c r="K105" s="46">
        <f>'5.Cataract'!G94</f>
        <v>1658.2924352198179</v>
      </c>
      <c r="L105" s="99">
        <f>'6.Glaucoma'!G65</f>
        <v>21.825554407709646</v>
      </c>
      <c r="M105" s="46">
        <f>'6.Glaucoma'!G94</f>
        <v>412.29243803337869</v>
      </c>
      <c r="N105" s="99">
        <f>'7. amputations'!R169</f>
        <v>505.71071676155555</v>
      </c>
      <c r="O105" s="99">
        <f>'7. amputations'!S169</f>
        <v>9047.4206483938033</v>
      </c>
      <c r="P105" s="196">
        <f>'8. Foot'!L88</f>
        <v>23.481568433823195</v>
      </c>
      <c r="Q105" s="196">
        <f>'8. Foot'!L117</f>
        <v>2830.19398761</v>
      </c>
      <c r="R105" s="99">
        <f t="shared" si="22"/>
        <v>32528.753938852373</v>
      </c>
      <c r="S105" s="46">
        <f t="shared" si="23"/>
        <v>543714.40307603253</v>
      </c>
      <c r="T105" s="98">
        <f t="shared" si="24"/>
        <v>576243.15701488487</v>
      </c>
    </row>
    <row r="106" spans="1:20" s="22" customFormat="1" x14ac:dyDescent="0.2">
      <c r="A106" s="33" t="s">
        <v>14</v>
      </c>
      <c r="B106" s="99">
        <f>'1.Diabetes case'!L79</f>
        <v>19868</v>
      </c>
      <c r="C106" s="98">
        <f>'1.Diabetes case'!L108</f>
        <v>800798</v>
      </c>
      <c r="D106" s="99">
        <f>'2.Retinopathy'!L87</f>
        <v>3165.0166235016004</v>
      </c>
      <c r="E106" s="98">
        <f>'2.Retinopathy'!L116</f>
        <v>88685.916543078391</v>
      </c>
      <c r="F106" s="46">
        <f>'3.Nephropathy'!G66</f>
        <v>0</v>
      </c>
      <c r="G106" s="46">
        <f>'3.Nephropathy'!G94</f>
        <v>393.00635303352789</v>
      </c>
      <c r="H106" s="99">
        <f>'4.Neuropathy'!R179</f>
        <v>6.9952302593641438</v>
      </c>
      <c r="I106" s="99">
        <f>'4.Neuropathy'!S179</f>
        <v>40867.188281169329</v>
      </c>
      <c r="J106" s="46">
        <f>'5.Cataract'!G66</f>
        <v>409.09305093682906</v>
      </c>
      <c r="K106" s="46">
        <f>'5.Cataract'!G95</f>
        <v>12450.022823541563</v>
      </c>
      <c r="L106" s="99">
        <f>'6.Glaucoma'!G66</f>
        <v>42.064853707955031</v>
      </c>
      <c r="M106" s="46">
        <f>'6.Glaucoma'!G95</f>
        <v>1529.1889149343424</v>
      </c>
      <c r="N106" s="99">
        <f>'7. amputations'!R170</f>
        <v>140.65764666021298</v>
      </c>
      <c r="O106" s="99">
        <f>'7. amputations'!S170</f>
        <v>24087.747506298856</v>
      </c>
      <c r="P106" s="196">
        <f>'8. Foot'!L89</f>
        <v>33.809383678571926</v>
      </c>
      <c r="Q106" s="196">
        <f>'8. Foot'!L118</f>
        <v>8406.0246538800002</v>
      </c>
      <c r="R106" s="99">
        <f t="shared" si="22"/>
        <v>23665.63678874453</v>
      </c>
      <c r="S106" s="46">
        <f t="shared" si="23"/>
        <v>977217.09507593582</v>
      </c>
      <c r="T106" s="98">
        <f t="shared" si="24"/>
        <v>1000882.7318646803</v>
      </c>
    </row>
    <row r="107" spans="1:20" s="22" customFormat="1" x14ac:dyDescent="0.2">
      <c r="A107" s="33" t="s">
        <v>15</v>
      </c>
      <c r="B107" s="99">
        <f>'1.Diabetes case'!L80</f>
        <v>6831</v>
      </c>
      <c r="C107" s="98">
        <f>'1.Diabetes case'!L109</f>
        <v>556682</v>
      </c>
      <c r="D107" s="99">
        <f>'2.Retinopathy'!L88</f>
        <v>343.15007392090456</v>
      </c>
      <c r="E107" s="98">
        <f>'2.Retinopathy'!L117</f>
        <v>43072.682330055919</v>
      </c>
      <c r="F107" s="46">
        <f>'3.Nephropathy'!G67</f>
        <v>0</v>
      </c>
      <c r="G107" s="46">
        <f>'3.Nephropathy'!G95</f>
        <v>1059.1300711059855</v>
      </c>
      <c r="H107" s="99">
        <f>'4.Neuropathy'!R180</f>
        <v>0.81524091607917226</v>
      </c>
      <c r="I107" s="99">
        <f>'4.Neuropathy'!S180</f>
        <v>15644.129644944482</v>
      </c>
      <c r="J107" s="46">
        <f>'5.Cataract'!G67</f>
        <v>693.31250822756056</v>
      </c>
      <c r="K107" s="46">
        <f>'5.Cataract'!G96</f>
        <v>40375.805402376398</v>
      </c>
      <c r="L107" s="99">
        <f>'6.Glaucoma'!G67</f>
        <v>45.95279868737255</v>
      </c>
      <c r="M107" s="46">
        <f>'6.Glaucoma'!G96</f>
        <v>3120.2469428887471</v>
      </c>
      <c r="N107" s="99">
        <f>'7. amputations'!R171</f>
        <v>34.023899999999998</v>
      </c>
      <c r="O107" s="99">
        <f>'7. amputations'!S171</f>
        <v>12872.402850999999</v>
      </c>
      <c r="P107" s="196">
        <f>'8. Foot'!L90</f>
        <v>24.511425695328356</v>
      </c>
      <c r="Q107" s="196">
        <f>'8. Foot'!L119</f>
        <v>12146.3558944</v>
      </c>
      <c r="R107" s="99">
        <f t="shared" si="22"/>
        <v>7972.7659474472448</v>
      </c>
      <c r="S107" s="46">
        <f t="shared" si="23"/>
        <v>684972.7531367715</v>
      </c>
      <c r="T107" s="98">
        <f t="shared" si="24"/>
        <v>692945.51908421877</v>
      </c>
    </row>
    <row r="108" spans="1:20" s="22" customFormat="1" x14ac:dyDescent="0.2">
      <c r="A108" s="33" t="s">
        <v>16</v>
      </c>
      <c r="B108" s="99">
        <f>'1.Diabetes case'!L81</f>
        <v>2988</v>
      </c>
      <c r="C108" s="98">
        <f>'1.Diabetes case'!L110</f>
        <v>326983</v>
      </c>
      <c r="D108" s="99">
        <f>'2.Retinopathy'!L89</f>
        <v>252.57982429960003</v>
      </c>
      <c r="E108" s="98">
        <f>'2.Retinopathy'!L118</f>
        <v>18498.301047290399</v>
      </c>
      <c r="F108" s="46">
        <f>'3.Nephropathy'!G68</f>
        <v>0</v>
      </c>
      <c r="G108" s="46">
        <f>'3.Nephropathy'!G96</f>
        <v>1427.1742601004714</v>
      </c>
      <c r="H108" s="99">
        <f>'4.Neuropathy'!R181</f>
        <v>0</v>
      </c>
      <c r="I108" s="99">
        <f>'4.Neuropathy'!S181</f>
        <v>3831.6398243826425</v>
      </c>
      <c r="J108" s="46">
        <f>'5.Cataract'!G68</f>
        <v>510.12620215613157</v>
      </c>
      <c r="K108" s="46">
        <f>'5.Cataract'!G97</f>
        <v>45995.630107448582</v>
      </c>
      <c r="L108" s="99">
        <f>'6.Glaucoma'!G68</f>
        <v>49.067763946725897</v>
      </c>
      <c r="M108" s="46">
        <f>'6.Glaucoma'!G97</f>
        <v>4424.2046598548332</v>
      </c>
      <c r="N108" s="99">
        <f>'7. amputations'!R172</f>
        <v>20.7102</v>
      </c>
      <c r="O108" s="99">
        <f>'7. amputations'!S172</f>
        <v>5749.2864179999997</v>
      </c>
      <c r="P108" s="196">
        <f>'8. Foot'!L91</f>
        <v>12.73703175565481</v>
      </c>
      <c r="Q108" s="196">
        <f>'8. Foot'!L120</f>
        <v>7362.8266231800008</v>
      </c>
      <c r="R108" s="99">
        <f t="shared" si="22"/>
        <v>3833.2210221581122</v>
      </c>
      <c r="S108" s="46">
        <f t="shared" si="23"/>
        <v>414272.0629402569</v>
      </c>
      <c r="T108" s="98">
        <f t="shared" si="24"/>
        <v>418105.28396241501</v>
      </c>
    </row>
    <row r="109" spans="1:20" s="22" customFormat="1" x14ac:dyDescent="0.2">
      <c r="A109" s="33" t="s">
        <v>17</v>
      </c>
      <c r="B109" s="99">
        <f>'1.Diabetes case'!L82</f>
        <v>1020</v>
      </c>
      <c r="C109" s="98">
        <f>'1.Diabetes case'!L111</f>
        <v>100015</v>
      </c>
      <c r="D109" s="99">
        <f>'2.Retinopathy'!L90</f>
        <v>173.40443384714308</v>
      </c>
      <c r="E109" s="98">
        <f>'2.Retinopathy'!L119</f>
        <v>7855.7798277896381</v>
      </c>
      <c r="F109" s="46">
        <f>'3.Nephropathy'!G69</f>
        <v>0</v>
      </c>
      <c r="G109" s="46">
        <f>'3.Nephropathy'!G97</f>
        <v>1158.2933203583862</v>
      </c>
      <c r="H109" s="99">
        <f>'4.Neuropathy'!R182</f>
        <v>0</v>
      </c>
      <c r="I109" s="99">
        <f>'4.Neuropathy'!S182</f>
        <v>562.61000281778138</v>
      </c>
      <c r="J109" s="46">
        <f>'5.Cataract'!G69</f>
        <v>171.97937286163452</v>
      </c>
      <c r="K109" s="46">
        <f>'5.Cataract'!G98</f>
        <v>14975.26516656378</v>
      </c>
      <c r="L109" s="99">
        <f>'6.Glaucoma'!G69</f>
        <v>16.761081386732457</v>
      </c>
      <c r="M109" s="46">
        <f>'6.Glaucoma'!G98</f>
        <v>1459.4868795493148</v>
      </c>
      <c r="N109" s="99">
        <f>'7. amputations'!R173</f>
        <v>3.5044</v>
      </c>
      <c r="O109" s="99">
        <f>'7. amputations'!S173</f>
        <v>1126.0441660418205</v>
      </c>
      <c r="P109" s="196">
        <f>'8. Foot'!L92</f>
        <v>5.3760429730138792</v>
      </c>
      <c r="Q109" s="196">
        <f>'8. Foot'!L121</f>
        <v>1997.8196279999997</v>
      </c>
      <c r="R109" s="99">
        <f t="shared" si="22"/>
        <v>1391.0253310685241</v>
      </c>
      <c r="S109" s="46">
        <f t="shared" si="23"/>
        <v>129150.2989911207</v>
      </c>
      <c r="T109" s="98">
        <f t="shared" si="24"/>
        <v>130541.32432218922</v>
      </c>
    </row>
    <row r="110" spans="1:20" s="22" customFormat="1" x14ac:dyDescent="0.2">
      <c r="A110" s="34" t="s">
        <v>18</v>
      </c>
      <c r="B110" s="99">
        <f>'1.Diabetes case'!L83</f>
        <v>73955</v>
      </c>
      <c r="C110" s="98">
        <f>'1.Diabetes case'!L112</f>
        <v>2403420</v>
      </c>
      <c r="D110" s="99">
        <f>'2.Retinopathy'!L91</f>
        <v>21112.015327828361</v>
      </c>
      <c r="E110" s="98">
        <f>'2.Retinopathy'!L120</f>
        <v>216498.65085004689</v>
      </c>
      <c r="F110" s="46">
        <f>'3.Nephropathy'!G70</f>
        <v>0</v>
      </c>
      <c r="G110" s="46">
        <f>'3.Nephropathy'!G98</f>
        <v>4246.8595352917664</v>
      </c>
      <c r="H110" s="99">
        <f>'4.Neuropathy'!R183</f>
        <v>454.63095181939974</v>
      </c>
      <c r="I110" s="99">
        <f>'4.Neuropathy'!S183</f>
        <v>104663.71500976068</v>
      </c>
      <c r="J110" s="46">
        <f>'5.Cataract'!G70</f>
        <v>1881.358744767902</v>
      </c>
      <c r="K110" s="46">
        <f>'5.Cataract'!G99</f>
        <v>115455.01593515014</v>
      </c>
      <c r="L110" s="99">
        <f>'6.Glaucoma'!G70</f>
        <v>175.67205213649558</v>
      </c>
      <c r="M110" s="46">
        <f>'6.Glaucoma'!G99</f>
        <v>10945.419835260616</v>
      </c>
      <c r="N110" s="99">
        <f>'7. amputations'!R174</f>
        <v>917.92686342176864</v>
      </c>
      <c r="O110" s="99">
        <f>'7. amputations'!S174</f>
        <v>53253.513030734473</v>
      </c>
      <c r="P110" s="196">
        <f>'8. Foot'!L93</f>
        <v>105.65044590197986</v>
      </c>
      <c r="Q110" s="196">
        <f>'8. Foot'!L122</f>
        <v>33086.398272489998</v>
      </c>
      <c r="R110" s="99">
        <f t="shared" si="22"/>
        <v>98602.254385875902</v>
      </c>
      <c r="S110" s="46">
        <f t="shared" si="23"/>
        <v>2941569.5724687343</v>
      </c>
      <c r="T110" s="98">
        <f t="shared" si="24"/>
        <v>3040171.8268546103</v>
      </c>
    </row>
    <row r="111" spans="1:20" s="22" customFormat="1" x14ac:dyDescent="0.2">
      <c r="A111" s="30"/>
      <c r="B111" s="30"/>
      <c r="C111" s="32"/>
      <c r="D111" s="30"/>
      <c r="E111" s="32"/>
      <c r="F111" s="31"/>
      <c r="G111" s="31"/>
      <c r="H111" s="30"/>
      <c r="I111" s="32"/>
      <c r="J111" s="31"/>
      <c r="K111" s="31"/>
      <c r="L111" s="30"/>
      <c r="M111" s="31"/>
      <c r="N111" s="30"/>
      <c r="O111" s="32"/>
      <c r="P111" s="31"/>
      <c r="Q111" s="32"/>
      <c r="R111" s="30"/>
      <c r="S111" s="31"/>
      <c r="T111" s="32"/>
    </row>
    <row r="113" spans="1:20" x14ac:dyDescent="0.2">
      <c r="A113" s="23" t="s">
        <v>346</v>
      </c>
      <c r="B113" s="22"/>
      <c r="C113" s="22"/>
      <c r="D113" s="22"/>
      <c r="E113" s="22"/>
      <c r="F113" s="22"/>
      <c r="G113" s="22"/>
      <c r="H113" s="22"/>
      <c r="I113" s="22"/>
      <c r="J113" s="22"/>
      <c r="K113" s="22"/>
      <c r="L113" s="22"/>
      <c r="M113" s="22"/>
      <c r="N113" s="22"/>
      <c r="O113" s="22"/>
      <c r="P113" s="22"/>
      <c r="Q113" s="22"/>
      <c r="R113" s="22"/>
      <c r="S113" s="22"/>
      <c r="T113" s="22"/>
    </row>
    <row r="114" spans="1:20" x14ac:dyDescent="0.2">
      <c r="A114" s="23"/>
      <c r="B114" s="22"/>
      <c r="C114" s="22"/>
      <c r="D114" s="22"/>
      <c r="E114" s="22"/>
      <c r="F114" s="22"/>
      <c r="G114" s="22"/>
      <c r="H114" s="22"/>
      <c r="I114" s="22"/>
      <c r="J114" s="22"/>
      <c r="K114" s="22"/>
      <c r="L114" s="22"/>
      <c r="M114" s="22"/>
      <c r="N114" s="22"/>
      <c r="O114" s="22"/>
      <c r="P114" s="22"/>
      <c r="Q114" s="22"/>
      <c r="R114" s="22"/>
      <c r="S114" s="22"/>
      <c r="T114" s="22"/>
    </row>
    <row r="115" spans="1:20" x14ac:dyDescent="0.2">
      <c r="A115" s="24" t="s">
        <v>25</v>
      </c>
      <c r="B115" s="408" t="s">
        <v>237</v>
      </c>
      <c r="C115" s="409"/>
      <c r="D115" s="408" t="s">
        <v>238</v>
      </c>
      <c r="E115" s="409"/>
      <c r="F115" s="410" t="s">
        <v>239</v>
      </c>
      <c r="G115" s="410"/>
      <c r="H115" s="408" t="s">
        <v>240</v>
      </c>
      <c r="I115" s="409"/>
      <c r="J115" s="410" t="s">
        <v>241</v>
      </c>
      <c r="K115" s="410"/>
      <c r="L115" s="408" t="s">
        <v>242</v>
      </c>
      <c r="M115" s="409"/>
      <c r="N115" s="408" t="s">
        <v>243</v>
      </c>
      <c r="O115" s="409"/>
      <c r="P115" s="410" t="s">
        <v>295</v>
      </c>
      <c r="Q115" s="410"/>
      <c r="R115" s="402" t="s">
        <v>18</v>
      </c>
      <c r="S115" s="404"/>
      <c r="T115" s="403"/>
    </row>
    <row r="116" spans="1:20" x14ac:dyDescent="0.2">
      <c r="A116" s="30"/>
      <c r="B116" s="72" t="s">
        <v>123</v>
      </c>
      <c r="C116" s="73" t="s">
        <v>124</v>
      </c>
      <c r="D116" s="72" t="s">
        <v>123</v>
      </c>
      <c r="E116" s="73" t="s">
        <v>124</v>
      </c>
      <c r="F116" s="230" t="s">
        <v>123</v>
      </c>
      <c r="G116" s="230" t="s">
        <v>124</v>
      </c>
      <c r="H116" s="24" t="s">
        <v>123</v>
      </c>
      <c r="I116" s="26" t="s">
        <v>124</v>
      </c>
      <c r="J116" s="230" t="s">
        <v>123</v>
      </c>
      <c r="K116" s="230" t="s">
        <v>124</v>
      </c>
      <c r="L116" s="72" t="s">
        <v>123</v>
      </c>
      <c r="M116" s="73" t="s">
        <v>124</v>
      </c>
      <c r="N116" s="72" t="s">
        <v>123</v>
      </c>
      <c r="O116" s="73" t="s">
        <v>124</v>
      </c>
      <c r="P116" s="230" t="s">
        <v>123</v>
      </c>
      <c r="Q116" s="230" t="s">
        <v>124</v>
      </c>
      <c r="R116" s="72" t="s">
        <v>123</v>
      </c>
      <c r="S116" s="230" t="s">
        <v>124</v>
      </c>
      <c r="T116" s="233" t="s">
        <v>244</v>
      </c>
    </row>
    <row r="117" spans="1:20" x14ac:dyDescent="0.2">
      <c r="A117" s="27"/>
      <c r="B117" s="27"/>
      <c r="C117" s="29"/>
      <c r="D117" s="27"/>
      <c r="E117" s="29"/>
      <c r="F117" s="28"/>
      <c r="G117" s="28"/>
      <c r="H117" s="24"/>
      <c r="I117" s="26"/>
      <c r="J117" s="28"/>
      <c r="K117" s="28"/>
      <c r="L117" s="27"/>
      <c r="M117" s="29"/>
      <c r="N117" s="27"/>
      <c r="O117" s="29"/>
      <c r="P117" s="22"/>
      <c r="Q117" s="22"/>
      <c r="R117" s="27"/>
      <c r="S117" s="28"/>
      <c r="T117" s="29"/>
    </row>
    <row r="118" spans="1:20" x14ac:dyDescent="0.2">
      <c r="A118" s="48" t="s">
        <v>34</v>
      </c>
      <c r="B118" s="27"/>
      <c r="C118" s="29"/>
      <c r="D118" s="27"/>
      <c r="E118" s="29"/>
      <c r="F118" s="28"/>
      <c r="G118" s="28"/>
      <c r="H118" s="27"/>
      <c r="I118" s="29"/>
      <c r="J118" s="28"/>
      <c r="K118" s="28"/>
      <c r="L118" s="27"/>
      <c r="M118" s="28"/>
      <c r="N118" s="24"/>
      <c r="O118" s="26"/>
      <c r="P118" s="22"/>
      <c r="Q118" s="22"/>
      <c r="R118" s="27"/>
      <c r="S118" s="28"/>
      <c r="T118" s="29"/>
    </row>
    <row r="119" spans="1:20" x14ac:dyDescent="0.2">
      <c r="A119" s="33" t="s">
        <v>7</v>
      </c>
      <c r="B119" s="99"/>
      <c r="C119" s="98"/>
      <c r="D119" s="99"/>
      <c r="E119" s="98"/>
      <c r="F119" s="46"/>
      <c r="G119" s="46"/>
      <c r="H119" s="99"/>
      <c r="I119" s="98"/>
      <c r="J119" s="46"/>
      <c r="K119" s="46"/>
      <c r="L119" s="99"/>
      <c r="M119" s="46"/>
      <c r="N119" s="99"/>
      <c r="O119" s="98"/>
      <c r="P119" s="196"/>
      <c r="Q119" s="196"/>
      <c r="R119" s="99">
        <f>B119+D119+F119+H119+J119+L119+N119+P119</f>
        <v>0</v>
      </c>
      <c r="S119" s="46">
        <f>C119+E119+G119+I119+K119+M119+O119+Q119</f>
        <v>0</v>
      </c>
      <c r="T119" s="98">
        <f>R119+S119</f>
        <v>0</v>
      </c>
    </row>
    <row r="120" spans="1:20" x14ac:dyDescent="0.2">
      <c r="A120" s="33" t="s">
        <v>11</v>
      </c>
      <c r="B120" s="99"/>
      <c r="C120" s="98"/>
      <c r="D120" s="99"/>
      <c r="E120" s="98"/>
      <c r="F120" s="46"/>
      <c r="G120" s="46"/>
      <c r="H120" s="99"/>
      <c r="I120" s="98"/>
      <c r="J120" s="46"/>
      <c r="K120" s="46"/>
      <c r="L120" s="99"/>
      <c r="M120" s="46"/>
      <c r="N120" s="99"/>
      <c r="O120" s="98"/>
      <c r="P120" s="196"/>
      <c r="Q120" s="196"/>
      <c r="R120" s="99">
        <f t="shared" ref="R120:R127" si="25">B120+D120+F120+H120+J120+L120+N120+P120</f>
        <v>0</v>
      </c>
      <c r="S120" s="46">
        <f t="shared" ref="S120:S127" si="26">C120+E120+G120+I120+K120+M120+O120+Q120</f>
        <v>0</v>
      </c>
      <c r="T120" s="98">
        <f t="shared" ref="T120:T127" si="27">R120+S120</f>
        <v>0</v>
      </c>
    </row>
    <row r="121" spans="1:20" x14ac:dyDescent="0.2">
      <c r="A121" s="33" t="s">
        <v>12</v>
      </c>
      <c r="B121" s="99"/>
      <c r="C121" s="98"/>
      <c r="D121" s="99"/>
      <c r="E121" s="98"/>
      <c r="F121" s="46"/>
      <c r="G121" s="46"/>
      <c r="H121" s="99"/>
      <c r="I121" s="98"/>
      <c r="J121" s="46"/>
      <c r="K121" s="46"/>
      <c r="L121" s="99"/>
      <c r="M121" s="46"/>
      <c r="N121" s="99"/>
      <c r="O121" s="98"/>
      <c r="P121" s="196"/>
      <c r="Q121" s="196"/>
      <c r="R121" s="99">
        <f t="shared" si="25"/>
        <v>0</v>
      </c>
      <c r="S121" s="46">
        <f t="shared" si="26"/>
        <v>0</v>
      </c>
      <c r="T121" s="98">
        <f t="shared" si="27"/>
        <v>0</v>
      </c>
    </row>
    <row r="122" spans="1:20" x14ac:dyDescent="0.2">
      <c r="A122" s="33" t="s">
        <v>13</v>
      </c>
      <c r="B122" s="99"/>
      <c r="C122" s="98"/>
      <c r="D122" s="99"/>
      <c r="E122" s="98"/>
      <c r="F122" s="46"/>
      <c r="G122" s="46"/>
      <c r="H122" s="99"/>
      <c r="I122" s="98"/>
      <c r="J122" s="46"/>
      <c r="K122" s="46"/>
      <c r="L122" s="99"/>
      <c r="M122" s="46"/>
      <c r="N122" s="99"/>
      <c r="O122" s="98"/>
      <c r="P122" s="196"/>
      <c r="Q122" s="196"/>
      <c r="R122" s="99">
        <f t="shared" si="25"/>
        <v>0</v>
      </c>
      <c r="S122" s="46">
        <f t="shared" si="26"/>
        <v>0</v>
      </c>
      <c r="T122" s="98">
        <f t="shared" si="27"/>
        <v>0</v>
      </c>
    </row>
    <row r="123" spans="1:20" x14ac:dyDescent="0.2">
      <c r="A123" s="33" t="s">
        <v>14</v>
      </c>
      <c r="B123" s="99"/>
      <c r="C123" s="98"/>
      <c r="D123" s="99"/>
      <c r="E123" s="98"/>
      <c r="F123" s="46"/>
      <c r="G123" s="46"/>
      <c r="H123" s="99"/>
      <c r="I123" s="98"/>
      <c r="J123" s="46"/>
      <c r="K123" s="46"/>
      <c r="L123" s="99"/>
      <c r="M123" s="46"/>
      <c r="N123" s="99"/>
      <c r="O123" s="98"/>
      <c r="P123" s="196"/>
      <c r="Q123" s="196"/>
      <c r="R123" s="99">
        <f t="shared" si="25"/>
        <v>0</v>
      </c>
      <c r="S123" s="46">
        <f t="shared" si="26"/>
        <v>0</v>
      </c>
      <c r="T123" s="98">
        <f t="shared" si="27"/>
        <v>0</v>
      </c>
    </row>
    <row r="124" spans="1:20" x14ac:dyDescent="0.2">
      <c r="A124" s="33" t="s">
        <v>15</v>
      </c>
      <c r="B124" s="99"/>
      <c r="C124" s="98"/>
      <c r="D124" s="99"/>
      <c r="E124" s="98"/>
      <c r="F124" s="46"/>
      <c r="G124" s="46"/>
      <c r="H124" s="99"/>
      <c r="I124" s="98"/>
      <c r="J124" s="46"/>
      <c r="K124" s="46"/>
      <c r="L124" s="99"/>
      <c r="M124" s="46"/>
      <c r="N124" s="99"/>
      <c r="O124" s="98"/>
      <c r="P124" s="196"/>
      <c r="Q124" s="196"/>
      <c r="R124" s="99">
        <f t="shared" si="25"/>
        <v>0</v>
      </c>
      <c r="S124" s="46">
        <f t="shared" si="26"/>
        <v>0</v>
      </c>
      <c r="T124" s="98">
        <f t="shared" si="27"/>
        <v>0</v>
      </c>
    </row>
    <row r="125" spans="1:20" x14ac:dyDescent="0.2">
      <c r="A125" s="33" t="s">
        <v>16</v>
      </c>
      <c r="B125" s="99"/>
      <c r="C125" s="98"/>
      <c r="D125" s="99"/>
      <c r="E125" s="98"/>
      <c r="F125" s="46"/>
      <c r="G125" s="46"/>
      <c r="H125" s="99"/>
      <c r="I125" s="98"/>
      <c r="J125" s="46"/>
      <c r="K125" s="46"/>
      <c r="L125" s="99"/>
      <c r="M125" s="46"/>
      <c r="N125" s="99"/>
      <c r="O125" s="98"/>
      <c r="P125" s="196"/>
      <c r="Q125" s="196"/>
      <c r="R125" s="99">
        <f t="shared" si="25"/>
        <v>0</v>
      </c>
      <c r="S125" s="46">
        <f t="shared" si="26"/>
        <v>0</v>
      </c>
      <c r="T125" s="98">
        <f t="shared" si="27"/>
        <v>0</v>
      </c>
    </row>
    <row r="126" spans="1:20" x14ac:dyDescent="0.2">
      <c r="A126" s="33" t="s">
        <v>17</v>
      </c>
      <c r="B126" s="99"/>
      <c r="C126" s="98"/>
      <c r="D126" s="99"/>
      <c r="E126" s="98"/>
      <c r="F126" s="46"/>
      <c r="G126" s="46"/>
      <c r="H126" s="99"/>
      <c r="I126" s="98"/>
      <c r="J126" s="46"/>
      <c r="K126" s="46"/>
      <c r="L126" s="99"/>
      <c r="M126" s="46"/>
      <c r="N126" s="99"/>
      <c r="O126" s="98"/>
      <c r="P126" s="196"/>
      <c r="Q126" s="196"/>
      <c r="R126" s="99">
        <f t="shared" si="25"/>
        <v>0</v>
      </c>
      <c r="S126" s="46">
        <f t="shared" si="26"/>
        <v>0</v>
      </c>
      <c r="T126" s="98">
        <f t="shared" si="27"/>
        <v>0</v>
      </c>
    </row>
    <row r="127" spans="1:20" x14ac:dyDescent="0.2">
      <c r="A127" s="34" t="s">
        <v>18</v>
      </c>
      <c r="B127" s="99"/>
      <c r="C127" s="98"/>
      <c r="D127" s="99"/>
      <c r="E127" s="98"/>
      <c r="F127" s="46"/>
      <c r="G127" s="46"/>
      <c r="H127" s="99"/>
      <c r="I127" s="98"/>
      <c r="J127" s="46"/>
      <c r="K127" s="46"/>
      <c r="L127" s="99"/>
      <c r="M127" s="46"/>
      <c r="N127" s="99"/>
      <c r="O127" s="98"/>
      <c r="P127" s="196"/>
      <c r="Q127" s="196"/>
      <c r="R127" s="99">
        <f t="shared" si="25"/>
        <v>0</v>
      </c>
      <c r="S127" s="46">
        <f t="shared" si="26"/>
        <v>0</v>
      </c>
      <c r="T127" s="98">
        <f t="shared" si="27"/>
        <v>0</v>
      </c>
    </row>
    <row r="128" spans="1:20" x14ac:dyDescent="0.2">
      <c r="A128" s="27"/>
      <c r="B128" s="99"/>
      <c r="C128" s="98"/>
      <c r="D128" s="99"/>
      <c r="E128" s="98"/>
      <c r="F128" s="46"/>
      <c r="G128" s="46"/>
      <c r="H128" s="99"/>
      <c r="I128" s="98"/>
      <c r="J128" s="46"/>
      <c r="K128" s="46"/>
      <c r="L128" s="99"/>
      <c r="M128" s="46"/>
      <c r="N128" s="99"/>
      <c r="O128" s="98"/>
      <c r="P128" s="196"/>
      <c r="Q128" s="196"/>
      <c r="R128" s="27"/>
      <c r="S128" s="28"/>
      <c r="T128" s="29"/>
    </row>
    <row r="129" spans="1:20" x14ac:dyDescent="0.2">
      <c r="A129" s="48" t="s">
        <v>35</v>
      </c>
      <c r="B129" s="99"/>
      <c r="C129" s="98"/>
      <c r="D129" s="99"/>
      <c r="E129" s="98"/>
      <c r="F129" s="46"/>
      <c r="G129" s="46"/>
      <c r="H129" s="99"/>
      <c r="I129" s="98"/>
      <c r="J129" s="46"/>
      <c r="K129" s="46"/>
      <c r="L129" s="99"/>
      <c r="M129" s="46"/>
      <c r="N129" s="99"/>
      <c r="O129" s="98"/>
      <c r="P129" s="196"/>
      <c r="Q129" s="196"/>
      <c r="R129" s="27"/>
      <c r="S129" s="28"/>
      <c r="T129" s="29"/>
    </row>
    <row r="130" spans="1:20" x14ac:dyDescent="0.2">
      <c r="A130" s="33" t="s">
        <v>7</v>
      </c>
      <c r="B130" s="99"/>
      <c r="C130" s="98"/>
      <c r="D130" s="99"/>
      <c r="E130" s="98"/>
      <c r="F130" s="46"/>
      <c r="G130" s="46"/>
      <c r="H130" s="99"/>
      <c r="I130" s="98"/>
      <c r="J130" s="46"/>
      <c r="K130" s="46"/>
      <c r="L130" s="99"/>
      <c r="M130" s="46"/>
      <c r="N130" s="99"/>
      <c r="O130" s="98"/>
      <c r="P130" s="196"/>
      <c r="Q130" s="196"/>
      <c r="R130" s="99">
        <f>B130+D130+F130+H130+J130+L130+N130+P130</f>
        <v>0</v>
      </c>
      <c r="S130" s="46">
        <f>C130+E130+G130+I130+K130+M130+O130+Q130</f>
        <v>0</v>
      </c>
      <c r="T130" s="98">
        <f>R130+S130</f>
        <v>0</v>
      </c>
    </row>
    <row r="131" spans="1:20" x14ac:dyDescent="0.2">
      <c r="A131" s="33" t="s">
        <v>11</v>
      </c>
      <c r="B131" s="99"/>
      <c r="C131" s="98"/>
      <c r="D131" s="99"/>
      <c r="E131" s="98"/>
      <c r="F131" s="46"/>
      <c r="G131" s="46"/>
      <c r="H131" s="99"/>
      <c r="I131" s="98"/>
      <c r="J131" s="46"/>
      <c r="K131" s="46"/>
      <c r="L131" s="99"/>
      <c r="M131" s="46"/>
      <c r="N131" s="99"/>
      <c r="O131" s="98"/>
      <c r="P131" s="196"/>
      <c r="Q131" s="196"/>
      <c r="R131" s="99">
        <f t="shared" ref="R131:R138" si="28">B131+D131+F131+H131+J131+L131+N131+P131</f>
        <v>0</v>
      </c>
      <c r="S131" s="46">
        <f t="shared" ref="S131:S138" si="29">C131+E131+G131+I131+K131+M131+O131+Q131</f>
        <v>0</v>
      </c>
      <c r="T131" s="98">
        <f t="shared" ref="T131:T138" si="30">R131+S131</f>
        <v>0</v>
      </c>
    </row>
    <row r="132" spans="1:20" x14ac:dyDescent="0.2">
      <c r="A132" s="33" t="s">
        <v>12</v>
      </c>
      <c r="B132" s="99"/>
      <c r="C132" s="98"/>
      <c r="D132" s="99"/>
      <c r="E132" s="98"/>
      <c r="F132" s="46"/>
      <c r="G132" s="46"/>
      <c r="H132" s="99"/>
      <c r="I132" s="98"/>
      <c r="J132" s="46"/>
      <c r="K132" s="46"/>
      <c r="L132" s="99"/>
      <c r="M132" s="46"/>
      <c r="N132" s="99"/>
      <c r="O132" s="98"/>
      <c r="P132" s="196"/>
      <c r="Q132" s="196"/>
      <c r="R132" s="99">
        <f t="shared" si="28"/>
        <v>0</v>
      </c>
      <c r="S132" s="46">
        <f t="shared" si="29"/>
        <v>0</v>
      </c>
      <c r="T132" s="98">
        <f t="shared" si="30"/>
        <v>0</v>
      </c>
    </row>
    <row r="133" spans="1:20" x14ac:dyDescent="0.2">
      <c r="A133" s="33" t="s">
        <v>13</v>
      </c>
      <c r="B133" s="99"/>
      <c r="C133" s="98"/>
      <c r="D133" s="99"/>
      <c r="E133" s="98"/>
      <c r="F133" s="46"/>
      <c r="G133" s="46"/>
      <c r="H133" s="99"/>
      <c r="I133" s="98"/>
      <c r="J133" s="46"/>
      <c r="K133" s="46"/>
      <c r="L133" s="99"/>
      <c r="M133" s="46"/>
      <c r="N133" s="99"/>
      <c r="O133" s="98"/>
      <c r="P133" s="196"/>
      <c r="Q133" s="196"/>
      <c r="R133" s="99">
        <f t="shared" si="28"/>
        <v>0</v>
      </c>
      <c r="S133" s="46">
        <f t="shared" si="29"/>
        <v>0</v>
      </c>
      <c r="T133" s="98">
        <f t="shared" si="30"/>
        <v>0</v>
      </c>
    </row>
    <row r="134" spans="1:20" x14ac:dyDescent="0.2">
      <c r="A134" s="33" t="s">
        <v>14</v>
      </c>
      <c r="B134" s="99"/>
      <c r="C134" s="98"/>
      <c r="D134" s="99"/>
      <c r="E134" s="98"/>
      <c r="F134" s="46"/>
      <c r="G134" s="46"/>
      <c r="H134" s="99"/>
      <c r="I134" s="98"/>
      <c r="J134" s="46"/>
      <c r="K134" s="46"/>
      <c r="L134" s="99"/>
      <c r="M134" s="46"/>
      <c r="N134" s="99"/>
      <c r="O134" s="98"/>
      <c r="P134" s="196"/>
      <c r="Q134" s="196"/>
      <c r="R134" s="99">
        <f t="shared" si="28"/>
        <v>0</v>
      </c>
      <c r="S134" s="46">
        <f t="shared" si="29"/>
        <v>0</v>
      </c>
      <c r="T134" s="98">
        <f t="shared" si="30"/>
        <v>0</v>
      </c>
    </row>
    <row r="135" spans="1:20" x14ac:dyDescent="0.2">
      <c r="A135" s="33" t="s">
        <v>15</v>
      </c>
      <c r="B135" s="99"/>
      <c r="C135" s="98"/>
      <c r="D135" s="99"/>
      <c r="E135" s="98"/>
      <c r="F135" s="46"/>
      <c r="G135" s="46"/>
      <c r="H135" s="99"/>
      <c r="I135" s="98"/>
      <c r="J135" s="46"/>
      <c r="K135" s="46"/>
      <c r="L135" s="99"/>
      <c r="M135" s="46"/>
      <c r="N135" s="99"/>
      <c r="O135" s="98"/>
      <c r="P135" s="196"/>
      <c r="Q135" s="196"/>
      <c r="R135" s="99">
        <f t="shared" si="28"/>
        <v>0</v>
      </c>
      <c r="S135" s="46">
        <f t="shared" si="29"/>
        <v>0</v>
      </c>
      <c r="T135" s="98">
        <f t="shared" si="30"/>
        <v>0</v>
      </c>
    </row>
    <row r="136" spans="1:20" x14ac:dyDescent="0.2">
      <c r="A136" s="33" t="s">
        <v>16</v>
      </c>
      <c r="B136" s="99"/>
      <c r="C136" s="98"/>
      <c r="D136" s="99"/>
      <c r="E136" s="98"/>
      <c r="F136" s="46"/>
      <c r="G136" s="46"/>
      <c r="H136" s="99"/>
      <c r="I136" s="98"/>
      <c r="J136" s="46"/>
      <c r="K136" s="46"/>
      <c r="L136" s="99"/>
      <c r="M136" s="46"/>
      <c r="N136" s="99"/>
      <c r="O136" s="98"/>
      <c r="P136" s="196"/>
      <c r="Q136" s="196"/>
      <c r="R136" s="99">
        <f t="shared" si="28"/>
        <v>0</v>
      </c>
      <c r="S136" s="46">
        <f t="shared" si="29"/>
        <v>0</v>
      </c>
      <c r="T136" s="98">
        <f t="shared" si="30"/>
        <v>0</v>
      </c>
    </row>
    <row r="137" spans="1:20" x14ac:dyDescent="0.2">
      <c r="A137" s="33" t="s">
        <v>17</v>
      </c>
      <c r="B137" s="99"/>
      <c r="C137" s="98"/>
      <c r="D137" s="99"/>
      <c r="E137" s="98"/>
      <c r="F137" s="46"/>
      <c r="G137" s="46"/>
      <c r="H137" s="99"/>
      <c r="I137" s="98"/>
      <c r="J137" s="46"/>
      <c r="K137" s="46"/>
      <c r="L137" s="99"/>
      <c r="M137" s="46"/>
      <c r="N137" s="99"/>
      <c r="O137" s="98"/>
      <c r="P137" s="196"/>
      <c r="Q137" s="196"/>
      <c r="R137" s="99">
        <f t="shared" si="28"/>
        <v>0</v>
      </c>
      <c r="S137" s="46">
        <f t="shared" si="29"/>
        <v>0</v>
      </c>
      <c r="T137" s="98">
        <f t="shared" si="30"/>
        <v>0</v>
      </c>
    </row>
    <row r="138" spans="1:20" x14ac:dyDescent="0.2">
      <c r="A138" s="34" t="s">
        <v>18</v>
      </c>
      <c r="B138" s="99"/>
      <c r="C138" s="98"/>
      <c r="D138" s="99"/>
      <c r="E138" s="98"/>
      <c r="F138" s="46"/>
      <c r="G138" s="46"/>
      <c r="H138" s="99"/>
      <c r="I138" s="98"/>
      <c r="J138" s="46"/>
      <c r="K138" s="46"/>
      <c r="L138" s="99"/>
      <c r="M138" s="46"/>
      <c r="N138" s="99"/>
      <c r="O138" s="98"/>
      <c r="P138" s="196"/>
      <c r="Q138" s="196"/>
      <c r="R138" s="99">
        <f t="shared" si="28"/>
        <v>0</v>
      </c>
      <c r="S138" s="46">
        <f t="shared" si="29"/>
        <v>0</v>
      </c>
      <c r="T138" s="98">
        <f t="shared" si="30"/>
        <v>0</v>
      </c>
    </row>
    <row r="139" spans="1:20" x14ac:dyDescent="0.2">
      <c r="A139" s="30"/>
      <c r="B139" s="30"/>
      <c r="C139" s="32"/>
      <c r="D139" s="30"/>
      <c r="E139" s="32"/>
      <c r="F139" s="31"/>
      <c r="G139" s="31"/>
      <c r="H139" s="30"/>
      <c r="I139" s="32"/>
      <c r="J139" s="31"/>
      <c r="K139" s="31"/>
      <c r="L139" s="30"/>
      <c r="M139" s="31"/>
      <c r="N139" s="30"/>
      <c r="O139" s="32"/>
      <c r="P139" s="31"/>
      <c r="Q139" s="32"/>
      <c r="R139" s="30"/>
      <c r="S139" s="31"/>
      <c r="T139" s="32"/>
    </row>
  </sheetData>
  <mergeCells count="40">
    <mergeCell ref="L115:M115"/>
    <mergeCell ref="N115:O115"/>
    <mergeCell ref="P115:Q115"/>
    <mergeCell ref="B115:C115"/>
    <mergeCell ref="D115:E115"/>
    <mergeCell ref="F115:G115"/>
    <mergeCell ref="H115:I115"/>
    <mergeCell ref="J115:K115"/>
    <mergeCell ref="L59:M59"/>
    <mergeCell ref="N59:O59"/>
    <mergeCell ref="P59:Q59"/>
    <mergeCell ref="B87:C87"/>
    <mergeCell ref="D87:E87"/>
    <mergeCell ref="F87:G87"/>
    <mergeCell ref="H87:I87"/>
    <mergeCell ref="J87:K87"/>
    <mergeCell ref="L87:M87"/>
    <mergeCell ref="N87:O87"/>
    <mergeCell ref="P87:Q87"/>
    <mergeCell ref="B59:C59"/>
    <mergeCell ref="D59:E59"/>
    <mergeCell ref="F59:G59"/>
    <mergeCell ref="H59:I59"/>
    <mergeCell ref="J59:K59"/>
    <mergeCell ref="P3:Q3"/>
    <mergeCell ref="P31:Q31"/>
    <mergeCell ref="N3:O3"/>
    <mergeCell ref="B31:C31"/>
    <mergeCell ref="D31:E31"/>
    <mergeCell ref="F31:G31"/>
    <mergeCell ref="H31:I31"/>
    <mergeCell ref="J31:K31"/>
    <mergeCell ref="L31:M31"/>
    <mergeCell ref="N31:O31"/>
    <mergeCell ref="B3:C3"/>
    <mergeCell ref="D3:E3"/>
    <mergeCell ref="F3:G3"/>
    <mergeCell ref="H3:I3"/>
    <mergeCell ref="J3:K3"/>
    <mergeCell ref="L3:M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187"/>
  <sheetViews>
    <sheetView topLeftCell="A148" zoomScale="90" zoomScaleNormal="90" workbookViewId="0">
      <selection activeCell="D154" sqref="D136:D154"/>
    </sheetView>
  </sheetViews>
  <sheetFormatPr baseColWidth="10" defaultColWidth="8.83203125" defaultRowHeight="15" x14ac:dyDescent="0.2"/>
  <cols>
    <col min="3" max="3" width="10.5" bestFit="1" customWidth="1"/>
    <col min="4" max="4" width="12.5" customWidth="1"/>
    <col min="5" max="5" width="11.33203125" customWidth="1"/>
    <col min="6" max="6" width="11.5" customWidth="1"/>
    <col min="7" max="7" width="14.1640625" customWidth="1"/>
    <col min="8" max="9" width="10.5" customWidth="1"/>
    <col min="10" max="10" width="9.5" style="28" bestFit="1" customWidth="1"/>
    <col min="11" max="11" width="11" customWidth="1"/>
    <col min="12" max="12" width="10.6640625" customWidth="1"/>
    <col min="13" max="13" width="22" customWidth="1"/>
    <col min="14" max="14" width="11.6640625" customWidth="1"/>
  </cols>
  <sheetData>
    <row r="1" spans="1:12" x14ac:dyDescent="0.2">
      <c r="A1" s="23" t="s">
        <v>192</v>
      </c>
    </row>
    <row r="2" spans="1:12" s="22" customFormat="1" x14ac:dyDescent="0.2">
      <c r="J2" s="28"/>
    </row>
    <row r="3" spans="1:12" s="22" customFormat="1" x14ac:dyDescent="0.2">
      <c r="A3" s="24" t="str">
        <f>'[5]templet worksheet 2557'!A90</f>
        <v>Thailand</v>
      </c>
      <c r="B3" s="25" t="str">
        <f>'[5]templet worksheet 2557'!B90</f>
        <v>Population</v>
      </c>
      <c r="C3" s="25" t="str">
        <f>'[5]templet worksheet 2557'!C90</f>
        <v>Incidence</v>
      </c>
      <c r="D3" s="25" t="str">
        <f>'[5]templet worksheet 2557'!D90</f>
        <v>Incidence rate</v>
      </c>
      <c r="E3" s="25" t="str">
        <f>'[5]templet worksheet 2557'!E90</f>
        <v>Duration</v>
      </c>
      <c r="F3" s="25" t="str">
        <f>'[5]templet worksheet 2557'!F90</f>
        <v>Age at onset</v>
      </c>
      <c r="G3" s="25" t="str">
        <f>'[5]templet worksheet 2557'!G90</f>
        <v>Disability weight</v>
      </c>
      <c r="H3" s="25" t="str">
        <f>'[5]templet worksheet 2557'!H90</f>
        <v>YLD</v>
      </c>
      <c r="I3" s="26" t="str">
        <f>'[5]templet worksheet 2557'!I90</f>
        <v>YLD</v>
      </c>
      <c r="J3" s="28"/>
      <c r="K3" s="182" t="str">
        <f>'[5]templet worksheet 2557'!K90</f>
        <v>age at onset</v>
      </c>
      <c r="L3" s="183" t="str">
        <f>'[5]templet worksheet 2557'!L90</f>
        <v>YLDs</v>
      </c>
    </row>
    <row r="4" spans="1:12" s="22" customFormat="1" x14ac:dyDescent="0.2">
      <c r="A4" s="30"/>
      <c r="B4" s="31">
        <f>'[5]templet worksheet 2557'!B91</f>
        <v>2014</v>
      </c>
      <c r="C4" s="31"/>
      <c r="D4" s="31" t="str">
        <f>'[5]templet worksheet 2557'!D91</f>
        <v>(per 100,000)</v>
      </c>
      <c r="E4" s="31"/>
      <c r="F4" s="31"/>
      <c r="G4" s="31"/>
      <c r="H4" s="31" t="str">
        <f>'[5]templet worksheet 2557'!H91</f>
        <v>(0,0)</v>
      </c>
      <c r="I4" s="32" t="str">
        <f>'[5]templet worksheet 2557'!I91</f>
        <v>(3,0)</v>
      </c>
      <c r="J4" s="28"/>
      <c r="K4" s="184">
        <f>'[5]templet worksheet 2557'!K91</f>
        <v>0</v>
      </c>
      <c r="L4" s="185" t="str">
        <f>'[5]templet worksheet 2557'!L91</f>
        <v>(3,1)</v>
      </c>
    </row>
    <row r="5" spans="1:12" s="22" customFormat="1" x14ac:dyDescent="0.2">
      <c r="A5" s="27"/>
      <c r="B5" s="28"/>
      <c r="C5" s="28"/>
      <c r="D5" s="28"/>
      <c r="E5" s="28"/>
      <c r="F5" s="28"/>
      <c r="G5" s="28"/>
      <c r="H5" s="28"/>
      <c r="I5" s="29"/>
      <c r="J5" s="28"/>
      <c r="K5" s="27"/>
      <c r="L5" s="29"/>
    </row>
    <row r="6" spans="1:12" s="22" customFormat="1" x14ac:dyDescent="0.2">
      <c r="A6" s="27"/>
      <c r="B6" s="28"/>
      <c r="C6" s="28"/>
      <c r="D6" s="28"/>
      <c r="E6" s="28"/>
      <c r="F6" s="28"/>
      <c r="G6" s="28"/>
      <c r="H6" s="28"/>
      <c r="I6" s="29"/>
      <c r="J6" s="28"/>
      <c r="K6" s="27"/>
      <c r="L6" s="29"/>
    </row>
    <row r="7" spans="1:12" s="22" customFormat="1" x14ac:dyDescent="0.2">
      <c r="A7" s="48" t="str">
        <f>'[5]templet worksheet 2557'!A94</f>
        <v>Males</v>
      </c>
      <c r="B7" s="28"/>
      <c r="C7" s="28"/>
      <c r="D7" s="28"/>
      <c r="E7" s="28"/>
      <c r="F7" s="28"/>
      <c r="G7" s="28"/>
      <c r="H7" s="28"/>
      <c r="I7" s="29"/>
      <c r="J7" s="28"/>
      <c r="K7" s="27"/>
      <c r="L7" s="29"/>
    </row>
    <row r="8" spans="1:12" s="22" customFormat="1" x14ac:dyDescent="0.2">
      <c r="A8" s="27" t="str">
        <f>'[5]templet worksheet 2557'!A95</f>
        <v>0-4</v>
      </c>
      <c r="B8" s="28">
        <f>'[5]templet worksheet 2557'!B95</f>
        <v>1966319</v>
      </c>
      <c r="C8" s="46">
        <f>'[5]templet worksheet 2557'!C95</f>
        <v>0</v>
      </c>
      <c r="D8" s="42">
        <f>'[5]templet worksheet 2557'!D95</f>
        <v>0</v>
      </c>
      <c r="E8" s="128">
        <f>'[5]templet worksheet 2557'!E95</f>
        <v>1.8</v>
      </c>
      <c r="F8" s="28"/>
      <c r="G8" s="28">
        <f>'[5]templet worksheet 2557'!G95</f>
        <v>0.28999999999999998</v>
      </c>
      <c r="H8" s="46">
        <f>'[5]templet worksheet 2557'!H95</f>
        <v>0</v>
      </c>
      <c r="I8" s="98">
        <f>'[5]templet worksheet 2557'!I95</f>
        <v>0</v>
      </c>
      <c r="J8" s="28"/>
      <c r="K8" s="99">
        <f>'[5]templet worksheet 2557'!K95</f>
        <v>2.5</v>
      </c>
      <c r="L8" s="98">
        <f>'[5]templet worksheet 2557'!L95</f>
        <v>0</v>
      </c>
    </row>
    <row r="9" spans="1:12" s="22" customFormat="1" x14ac:dyDescent="0.2">
      <c r="A9" s="27" t="str">
        <f>'[5]templet worksheet 2557'!A96</f>
        <v>5-14</v>
      </c>
      <c r="B9" s="28">
        <f>'[5]templet worksheet 2557'!B96</f>
        <v>4179206</v>
      </c>
      <c r="C9" s="46">
        <f>'[5]templet worksheet 2557'!C96</f>
        <v>29.211486593685546</v>
      </c>
      <c r="D9" s="42">
        <f>'[5]templet worksheet 2557'!D96</f>
        <v>0.69897216346084756</v>
      </c>
      <c r="E9" s="128">
        <f>'[5]templet worksheet 2557'!E96</f>
        <v>2.5</v>
      </c>
      <c r="F9" s="28"/>
      <c r="G9" s="28">
        <f>'[5]templet worksheet 2557'!G96</f>
        <v>0.28999999999999998</v>
      </c>
      <c r="H9" s="46">
        <f>'[5]templet worksheet 2557'!H96</f>
        <v>21.178327780422016</v>
      </c>
      <c r="I9" s="98">
        <f>'[5]templet worksheet 2557'!I96</f>
        <v>20.403628410726032</v>
      </c>
      <c r="J9" s="28"/>
      <c r="K9" s="99">
        <f>'[5]templet worksheet 2557'!K96</f>
        <v>10</v>
      </c>
      <c r="L9" s="98">
        <f>'[5]templet worksheet 2557'!L96</f>
        <v>24.213367284938233</v>
      </c>
    </row>
    <row r="10" spans="1:12" s="22" customFormat="1" x14ac:dyDescent="0.2">
      <c r="A10" s="27" t="str">
        <f>'[5]templet worksheet 2557'!A97</f>
        <v>15-24</v>
      </c>
      <c r="B10" s="28">
        <f>'[5]templet worksheet 2557'!B97</f>
        <v>4935213</v>
      </c>
      <c r="C10" s="46">
        <f>'[5]templet worksheet 2557'!C97</f>
        <v>124.14881802316359</v>
      </c>
      <c r="D10" s="42">
        <f>'[5]templet worksheet 2557'!D97</f>
        <v>2.5155716282795413</v>
      </c>
      <c r="E10" s="128">
        <f>'[5]templet worksheet 2557'!E97</f>
        <v>5.5</v>
      </c>
      <c r="F10" s="28"/>
      <c r="G10" s="28">
        <f>'[5]templet worksheet 2557'!G97</f>
        <v>0.28999999999999998</v>
      </c>
      <c r="H10" s="46">
        <f>'[5]templet worksheet 2557'!H97</f>
        <v>198.0173647469459</v>
      </c>
      <c r="I10" s="98">
        <f>'[5]templet worksheet 2557'!I97</f>
        <v>182.54356289654575</v>
      </c>
      <c r="J10" s="28"/>
      <c r="K10" s="99">
        <f>'[5]templet worksheet 2557'!K97</f>
        <v>20</v>
      </c>
      <c r="L10" s="98">
        <f>'[5]templet worksheet 2557'!L97</f>
        <v>276.39966038277379</v>
      </c>
    </row>
    <row r="11" spans="1:12" s="22" customFormat="1" x14ac:dyDescent="0.2">
      <c r="A11" s="27" t="str">
        <f>'[5]templet worksheet 2557'!A98</f>
        <v>25-34</v>
      </c>
      <c r="B11" s="28">
        <f>'[5]templet worksheet 2557'!B98</f>
        <v>4969108</v>
      </c>
      <c r="C11" s="46">
        <f>'[5]templet worksheet 2557'!C98</f>
        <v>725.9054418530859</v>
      </c>
      <c r="D11" s="42">
        <f>'[5]templet worksheet 2557'!D98</f>
        <v>14.608365160368541</v>
      </c>
      <c r="E11" s="128">
        <f>'[5]templet worksheet 2557'!E98</f>
        <v>5.9</v>
      </c>
      <c r="F11" s="28"/>
      <c r="G11" s="28">
        <f>'[5]templet worksheet 2557'!G98</f>
        <v>0.28999999999999998</v>
      </c>
      <c r="H11" s="46">
        <f>'[5]templet worksheet 2557'!H98</f>
        <v>1242.0242110106299</v>
      </c>
      <c r="I11" s="98">
        <f>'[5]templet worksheet 2557'!I98</f>
        <v>1138.3131928689434</v>
      </c>
      <c r="J11" s="28"/>
      <c r="K11" s="99">
        <f>'[5]templet worksheet 2557'!K98</f>
        <v>30</v>
      </c>
      <c r="L11" s="98">
        <f>'[5]templet worksheet 2557'!L98</f>
        <v>1663.948741303532</v>
      </c>
    </row>
    <row r="12" spans="1:12" s="22" customFormat="1" x14ac:dyDescent="0.2">
      <c r="A12" s="27" t="str">
        <f>'[5]templet worksheet 2557'!A99</f>
        <v>35-44</v>
      </c>
      <c r="B12" s="28">
        <f>'[5]templet worksheet 2557'!B99</f>
        <v>5294266</v>
      </c>
      <c r="C12" s="46">
        <f>'[5]templet worksheet 2557'!C99</f>
        <v>851.51483420593377</v>
      </c>
      <c r="D12" s="42">
        <f>'[5]templet worksheet 2557'!D99</f>
        <v>16.08371838902567</v>
      </c>
      <c r="E12" s="128">
        <f>'[5]templet worksheet 2557'!E99</f>
        <v>5.4</v>
      </c>
      <c r="F12" s="28"/>
      <c r="G12" s="28">
        <f>'[5]templet worksheet 2557'!G99</f>
        <v>0.28999999999999998</v>
      </c>
      <c r="H12" s="46">
        <f>'[5]templet worksheet 2557'!H99</f>
        <v>1333.4722303664923</v>
      </c>
      <c r="I12" s="98">
        <f>'[5]templet worksheet 2557'!I99</f>
        <v>1231.064818226306</v>
      </c>
      <c r="J12" s="28"/>
      <c r="K12" s="99">
        <f>'[5]templet worksheet 2557'!K99</f>
        <v>40</v>
      </c>
      <c r="L12" s="98">
        <f>'[5]templet worksheet 2557'!L99</f>
        <v>1580.8718219005393</v>
      </c>
    </row>
    <row r="13" spans="1:12" s="22" customFormat="1" x14ac:dyDescent="0.2">
      <c r="A13" s="27" t="str">
        <f>'[5]templet worksheet 2557'!A100</f>
        <v>45-54</v>
      </c>
      <c r="B13" s="28">
        <f>'[5]templet worksheet 2557'!B100</f>
        <v>4801101</v>
      </c>
      <c r="C13" s="46">
        <f>'[5]templet worksheet 2557'!C100</f>
        <v>1713.2536887196572</v>
      </c>
      <c r="D13" s="42">
        <f>'[5]templet worksheet 2557'!D100</f>
        <v>35.684600026528436</v>
      </c>
      <c r="E13" s="128">
        <f>'[5]templet worksheet 2557'!E100</f>
        <v>5.0999999999999996</v>
      </c>
      <c r="F13" s="28"/>
      <c r="G13" s="28">
        <f>'[5]templet worksheet 2557'!G100</f>
        <v>0.28999999999999998</v>
      </c>
      <c r="H13" s="46">
        <f>'[5]templet worksheet 2557'!H100</f>
        <v>2533.9022056163726</v>
      </c>
      <c r="I13" s="98">
        <f>'[5]templet worksheet 2557'!I100</f>
        <v>2349.5778484543639</v>
      </c>
      <c r="J13" s="28"/>
      <c r="K13" s="99">
        <f>'[5]templet worksheet 2557'!K100</f>
        <v>50</v>
      </c>
      <c r="L13" s="98">
        <f>'[5]templet worksheet 2557'!L100</f>
        <v>2505.4591254979237</v>
      </c>
    </row>
    <row r="14" spans="1:12" s="22" customFormat="1" x14ac:dyDescent="0.2">
      <c r="A14" s="27" t="str">
        <f>'[5]templet worksheet 2557'!A101</f>
        <v>55-64</v>
      </c>
      <c r="B14" s="28">
        <f>'[5]templet worksheet 2557'!B101</f>
        <v>3135377</v>
      </c>
      <c r="C14" s="46">
        <f>'[5]templet worksheet 2557'!C101</f>
        <v>2763.406631762653</v>
      </c>
      <c r="D14" s="42">
        <f>'[5]templet worksheet 2557'!D101</f>
        <v>88.136343149887651</v>
      </c>
      <c r="E14" s="128">
        <f>'[5]templet worksheet 2557'!E101</f>
        <v>5.0999999999999996</v>
      </c>
      <c r="F14" s="28"/>
      <c r="G14" s="28">
        <f>'[5]templet worksheet 2557'!G101</f>
        <v>0.28999999999999998</v>
      </c>
      <c r="H14" s="46">
        <f>'[5]templet worksheet 2557'!H101</f>
        <v>4087.0784083769631</v>
      </c>
      <c r="I14" s="98">
        <f>'[5]templet worksheet 2557'!I101</f>
        <v>3789.7709200985992</v>
      </c>
      <c r="J14" s="28"/>
      <c r="K14" s="99">
        <f>'[5]templet worksheet 2557'!K101</f>
        <v>59.9</v>
      </c>
      <c r="L14" s="98">
        <f>'[5]templet worksheet 2557'!L101</f>
        <v>3233.6159289756019</v>
      </c>
    </row>
    <row r="15" spans="1:12" s="22" customFormat="1" x14ac:dyDescent="0.2">
      <c r="A15" s="27" t="str">
        <f>'[5]templet worksheet 2557'!A102</f>
        <v>65-74</v>
      </c>
      <c r="B15" s="28">
        <f>'[5]templet worksheet 2557'!B102</f>
        <v>1636415</v>
      </c>
      <c r="C15" s="46">
        <f>'[5]templet worksheet 2557'!C102</f>
        <v>2074.015548151674</v>
      </c>
      <c r="D15" s="42">
        <f>'[5]templet worksheet 2557'!D102</f>
        <v>126.74141633703395</v>
      </c>
      <c r="E15" s="128">
        <f>'[5]templet worksheet 2557'!E102</f>
        <v>5.5</v>
      </c>
      <c r="F15" s="28"/>
      <c r="G15" s="28">
        <f>'[5]templet worksheet 2557'!G102</f>
        <v>0.28999999999999998</v>
      </c>
      <c r="H15" s="46">
        <f>'[5]templet worksheet 2557'!H102</f>
        <v>3308.05479930192</v>
      </c>
      <c r="I15" s="98">
        <f>'[5]templet worksheet 2557'!I102</f>
        <v>3049.5512860364115</v>
      </c>
      <c r="J15" s="28"/>
      <c r="K15" s="99">
        <f>'[5]templet worksheet 2557'!K102</f>
        <v>69.8</v>
      </c>
      <c r="L15" s="98">
        <f>'[5]templet worksheet 2557'!L102</f>
        <v>2019.6061666179855</v>
      </c>
    </row>
    <row r="16" spans="1:12" s="22" customFormat="1" x14ac:dyDescent="0.2">
      <c r="A16" s="27" t="str">
        <f>'[5]templet worksheet 2557'!A103</f>
        <v>75+</v>
      </c>
      <c r="B16" s="28">
        <f>'[5]templet worksheet 2557'!B103</f>
        <v>1005485</v>
      </c>
      <c r="C16" s="46">
        <f>'[5]templet worksheet 2557'!C103</f>
        <v>1286.7659844518485</v>
      </c>
      <c r="D16" s="42">
        <f>'[5]templet worksheet 2557'!D103</f>
        <v>127.97465744907666</v>
      </c>
      <c r="E16" s="128">
        <f>'[5]templet worksheet 2557'!E103</f>
        <v>4</v>
      </c>
      <c r="F16" s="28"/>
      <c r="G16" s="28">
        <f>'[5]templet worksheet 2557'!G103</f>
        <v>0.28999999999999998</v>
      </c>
      <c r="H16" s="46">
        <f>'[5]templet worksheet 2557'!H103</f>
        <v>1492.6485419641442</v>
      </c>
      <c r="I16" s="98">
        <f>'[5]templet worksheet 2557'!I103</f>
        <v>1406.5670438339757</v>
      </c>
      <c r="J16" s="28"/>
      <c r="K16" s="99">
        <f>'[5]templet worksheet 2557'!K103</f>
        <v>80.7</v>
      </c>
      <c r="L16" s="98">
        <f>'[5]templet worksheet 2557'!L103</f>
        <v>706.75970322776857</v>
      </c>
    </row>
    <row r="17" spans="1:12" s="22" customFormat="1" x14ac:dyDescent="0.2">
      <c r="A17" s="27" t="str">
        <f>'[5]templet worksheet 2557'!A104</f>
        <v>Total</v>
      </c>
      <c r="B17" s="28">
        <f>'[5]templet worksheet 2557'!B104</f>
        <v>31922490</v>
      </c>
      <c r="C17" s="46">
        <f>'[5]templet worksheet 2557'!C104</f>
        <v>9568.2224337617008</v>
      </c>
      <c r="D17" s="42">
        <f>'[5]templet worksheet 2557'!D104</f>
        <v>29.97329604852786</v>
      </c>
      <c r="E17" s="128">
        <f>'[5]templet worksheet 2557'!E104</f>
        <v>5.1729404301103523</v>
      </c>
      <c r="F17" s="28"/>
      <c r="G17" s="28">
        <f>'[5]templet worksheet 2557'!G104</f>
        <v>0.28999999999999998</v>
      </c>
      <c r="H17" s="46">
        <f>'[5]templet worksheet 2557'!H104</f>
        <v>14216.37608916389</v>
      </c>
      <c r="I17" s="98">
        <f>'[5]templet worksheet 2557'!I104</f>
        <v>13167.792300825873</v>
      </c>
      <c r="J17" s="28"/>
      <c r="K17" s="99">
        <f>'[5]templet worksheet 2557'!K104</f>
        <v>0</v>
      </c>
      <c r="L17" s="98">
        <f>'[5]templet worksheet 2557'!L104</f>
        <v>12010.874515191061</v>
      </c>
    </row>
    <row r="18" spans="1:12" s="22" customFormat="1" x14ac:dyDescent="0.2">
      <c r="A18" s="27"/>
      <c r="B18" s="28"/>
      <c r="C18" s="46"/>
      <c r="D18" s="42"/>
      <c r="E18" s="128"/>
      <c r="F18" s="28"/>
      <c r="G18" s="28"/>
      <c r="H18" s="46"/>
      <c r="I18" s="98"/>
      <c r="J18" s="28"/>
      <c r="K18" s="99"/>
      <c r="L18" s="98"/>
    </row>
    <row r="19" spans="1:12" s="22" customFormat="1" x14ac:dyDescent="0.2">
      <c r="A19" s="48" t="str">
        <f>'[5]templet worksheet 2557'!A106</f>
        <v>Females</v>
      </c>
      <c r="B19" s="28"/>
      <c r="C19" s="46"/>
      <c r="D19" s="42"/>
      <c r="E19" s="128"/>
      <c r="F19" s="28"/>
      <c r="G19" s="28"/>
      <c r="H19" s="46"/>
      <c r="I19" s="98"/>
      <c r="J19" s="28"/>
      <c r="K19" s="99"/>
      <c r="L19" s="98"/>
    </row>
    <row r="20" spans="1:12" s="22" customFormat="1" x14ac:dyDescent="0.2">
      <c r="A20" s="27" t="str">
        <f>'[5]templet worksheet 2557'!A107</f>
        <v>0-4</v>
      </c>
      <c r="B20" s="28">
        <f>'[5]templet worksheet 2557'!B107</f>
        <v>1849075</v>
      </c>
      <c r="C20" s="46">
        <f>'[5]templet worksheet 2557'!C107</f>
        <v>0</v>
      </c>
      <c r="D20" s="42">
        <f>'[5]templet worksheet 2557'!D107</f>
        <v>0</v>
      </c>
      <c r="E20" s="128">
        <f>'[5]templet worksheet 2557'!E107</f>
        <v>1.8</v>
      </c>
      <c r="F20" s="28"/>
      <c r="G20" s="28">
        <f>'[5]templet worksheet 2557'!G107</f>
        <v>0.28999999999999998</v>
      </c>
      <c r="H20" s="46">
        <f>'[5]templet worksheet 2557'!H107</f>
        <v>0</v>
      </c>
      <c r="I20" s="98">
        <f>'[5]templet worksheet 2557'!I107</f>
        <v>0</v>
      </c>
      <c r="J20" s="28"/>
      <c r="K20" s="99">
        <f>'[5]templet worksheet 2557'!K107</f>
        <v>2.5</v>
      </c>
      <c r="L20" s="98">
        <f>'[5]templet worksheet 2557'!L107</f>
        <v>0</v>
      </c>
    </row>
    <row r="21" spans="1:12" s="22" customFormat="1" x14ac:dyDescent="0.2">
      <c r="A21" s="27" t="str">
        <f>'[5]templet worksheet 2557'!A108</f>
        <v>5-14</v>
      </c>
      <c r="B21" s="28">
        <f>'[5]templet worksheet 2557'!B108</f>
        <v>3940160</v>
      </c>
      <c r="C21" s="46">
        <f>'[5]templet worksheet 2557'!C108</f>
        <v>20.448040615579885</v>
      </c>
      <c r="D21" s="42">
        <f>'[5]templet worksheet 2557'!D108</f>
        <v>0.51896472771613045</v>
      </c>
      <c r="E21" s="128">
        <f>'[5]templet worksheet 2557'!E108</f>
        <v>2.5</v>
      </c>
      <c r="F21" s="28"/>
      <c r="G21" s="28">
        <f>'[5]templet worksheet 2557'!G108</f>
        <v>0.28999999999999998</v>
      </c>
      <c r="H21" s="46">
        <f>'[5]templet worksheet 2557'!H108</f>
        <v>14.824829446295416</v>
      </c>
      <c r="I21" s="98">
        <f>'[5]templet worksheet 2557'!I108</f>
        <v>14.282539887508225</v>
      </c>
      <c r="J21" s="28"/>
      <c r="K21" s="99">
        <f>'[5]templet worksheet 2557'!K108</f>
        <v>10</v>
      </c>
      <c r="L21" s="98">
        <f>'[5]templet worksheet 2557'!L108</f>
        <v>16.949357099456765</v>
      </c>
    </row>
    <row r="22" spans="1:12" s="22" customFormat="1" x14ac:dyDescent="0.2">
      <c r="A22" s="27" t="str">
        <f>'[5]templet worksheet 2557'!A109</f>
        <v>15-24</v>
      </c>
      <c r="B22" s="28">
        <f>'[5]templet worksheet 2557'!B109</f>
        <v>4717317.1752900956</v>
      </c>
      <c r="C22" s="46">
        <f>'[5]templet worksheet 2557'!C109</f>
        <v>125.60939235284785</v>
      </c>
      <c r="D22" s="42">
        <f>'[5]templet worksheet 2557'!D109</f>
        <v>2.6627294219435944</v>
      </c>
      <c r="E22" s="128">
        <f>'[5]templet worksheet 2557'!E109</f>
        <v>5.5</v>
      </c>
      <c r="F22" s="28"/>
      <c r="G22" s="28">
        <f>'[5]templet worksheet 2557'!G109</f>
        <v>0.28999999999999998</v>
      </c>
      <c r="H22" s="46">
        <f>'[5]templet worksheet 2557'!H109</f>
        <v>200.3469808027923</v>
      </c>
      <c r="I22" s="98">
        <f>'[5]templet worksheet 2557'!I109</f>
        <v>184.69113422474038</v>
      </c>
      <c r="J22" s="28"/>
      <c r="K22" s="99">
        <f>'[5]templet worksheet 2557'!K109</f>
        <v>20</v>
      </c>
      <c r="L22" s="98">
        <f>'[5]templet worksheet 2557'!L109</f>
        <v>279.65142109315934</v>
      </c>
    </row>
    <row r="23" spans="1:12" x14ac:dyDescent="0.2">
      <c r="A23" s="27" t="str">
        <f>'[5]templet worksheet 2557'!A110</f>
        <v>25-34</v>
      </c>
      <c r="B23" s="28">
        <f>'[5]templet worksheet 2557'!B110</f>
        <v>4883263</v>
      </c>
      <c r="C23" s="46">
        <f>'[5]templet worksheet 2557'!C110</f>
        <v>603.2171981596066</v>
      </c>
      <c r="D23" s="42">
        <f>'[5]templet worksheet 2557'!D110</f>
        <v>12.352748524083315</v>
      </c>
      <c r="E23" s="128">
        <f>'[5]templet worksheet 2557'!E110</f>
        <v>5.9</v>
      </c>
      <c r="F23" s="28"/>
      <c r="G23" s="28">
        <f>'[5]templet worksheet 2557'!G110</f>
        <v>0.28999999999999998</v>
      </c>
      <c r="H23" s="46">
        <f>'[5]templet worksheet 2557'!H110</f>
        <v>1032.1046260510868</v>
      </c>
      <c r="I23" s="98">
        <f>'[5]templet worksheet 2557'!I110</f>
        <v>945.92223069391071</v>
      </c>
      <c r="K23" s="99">
        <f>'[5]templet worksheet 2557'!K110</f>
        <v>30</v>
      </c>
      <c r="L23" s="98">
        <f>'[5]templet worksheet 2557'!L110</f>
        <v>1382.7179681254702</v>
      </c>
    </row>
    <row r="24" spans="1:12" x14ac:dyDescent="0.2">
      <c r="A24" s="27" t="str">
        <f>'[5]templet worksheet 2557'!A111</f>
        <v>35-44</v>
      </c>
      <c r="B24" s="28">
        <f>'[5]templet worksheet 2557'!B111</f>
        <v>5443392</v>
      </c>
      <c r="C24" s="46">
        <f>'[5]templet worksheet 2557'!C111</f>
        <v>750.73520545771851</v>
      </c>
      <c r="D24" s="42">
        <f>'[5]templet worksheet 2557'!D111</f>
        <v>13.791679993976523</v>
      </c>
      <c r="E24" s="128">
        <f>'[5]templet worksheet 2557'!E111</f>
        <v>5.4</v>
      </c>
      <c r="F24" s="28"/>
      <c r="G24" s="28">
        <f>'[5]templet worksheet 2557'!G111</f>
        <v>0.28999999999999998</v>
      </c>
      <c r="H24" s="46">
        <f>'[5]templet worksheet 2557'!H111</f>
        <v>1175.6513317467873</v>
      </c>
      <c r="I24" s="98">
        <f>'[5]templet worksheet 2557'!I111</f>
        <v>1085.3641793624718</v>
      </c>
      <c r="K24" s="99">
        <f>'[5]templet worksheet 2557'!K111</f>
        <v>40</v>
      </c>
      <c r="L24" s="98">
        <f>'[5]templet worksheet 2557'!L111</f>
        <v>1393.7703541284341</v>
      </c>
    </row>
    <row r="25" spans="1:12" x14ac:dyDescent="0.2">
      <c r="A25" s="27" t="str">
        <f>'[5]templet worksheet 2557'!A112</f>
        <v>45-54</v>
      </c>
      <c r="B25" s="28">
        <f>'[5]templet worksheet 2557'!B112</f>
        <v>5200726</v>
      </c>
      <c r="C25" s="46">
        <f>'[5]templet worksheet 2557'!C112</f>
        <v>1537.9847691575442</v>
      </c>
      <c r="D25" s="42">
        <f>'[5]templet worksheet 2557'!D112</f>
        <v>29.572501399949626</v>
      </c>
      <c r="E25" s="128">
        <f>'[5]templet worksheet 2557'!E112</f>
        <v>5.0999999999999996</v>
      </c>
      <c r="F25" s="28"/>
      <c r="G25" s="28">
        <f>'[5]templet worksheet 2557'!G112</f>
        <v>0.28999999999999998</v>
      </c>
      <c r="H25" s="46">
        <f>'[5]templet worksheet 2557'!H112</f>
        <v>2274.6794735840076</v>
      </c>
      <c r="I25" s="98">
        <f>'[5]templet worksheet 2557'!I112</f>
        <v>2109.2118281521275</v>
      </c>
      <c r="K25" s="99">
        <f>'[5]templet worksheet 2557'!K112</f>
        <v>50</v>
      </c>
      <c r="L25" s="98">
        <f>'[5]templet worksheet 2557'!L112</f>
        <v>2249.146171482791</v>
      </c>
    </row>
    <row r="26" spans="1:12" x14ac:dyDescent="0.2">
      <c r="A26" s="27" t="str">
        <f>'[5]templet worksheet 2557'!A113</f>
        <v>55-64</v>
      </c>
      <c r="B26" s="28">
        <f>'[5]templet worksheet 2557'!B113</f>
        <v>3562058</v>
      </c>
      <c r="C26" s="46">
        <f>'[5]templet worksheet 2557'!C113</f>
        <v>2160.1894336030464</v>
      </c>
      <c r="D26" s="42">
        <f>'[5]templet worksheet 2557'!D113</f>
        <v>60.644420545736381</v>
      </c>
      <c r="E26" s="128">
        <f>'[5]templet worksheet 2557'!E113</f>
        <v>5.0999999999999996</v>
      </c>
      <c r="F26" s="28"/>
      <c r="G26" s="28">
        <f>'[5]templet worksheet 2557'!G113</f>
        <v>0.28999999999999998</v>
      </c>
      <c r="H26" s="46">
        <f>'[5]templet worksheet 2557'!H113</f>
        <v>3194.9201722989051</v>
      </c>
      <c r="I26" s="98">
        <f>'[5]templet worksheet 2557'!I113</f>
        <v>2962.511200225068</v>
      </c>
      <c r="K26" s="99">
        <f>'[5]templet worksheet 2557'!K113</f>
        <v>59.9</v>
      </c>
      <c r="L26" s="98">
        <f>'[5]templet worksheet 2557'!L113</f>
        <v>2527.7579064243732</v>
      </c>
    </row>
    <row r="27" spans="1:12" x14ac:dyDescent="0.2">
      <c r="A27" s="27" t="str">
        <f>'[5]templet worksheet 2557'!A114</f>
        <v>65-74</v>
      </c>
      <c r="B27" s="28">
        <f>'[5]templet worksheet 2557'!B114</f>
        <v>1977869.5356088658</v>
      </c>
      <c r="C27" s="46">
        <f>'[5]templet worksheet 2557'!C114</f>
        <v>2139.7413929874665</v>
      </c>
      <c r="D27" s="42">
        <f>'[5]templet worksheet 2557'!D114</f>
        <v>108.18415241573405</v>
      </c>
      <c r="E27" s="128">
        <f>'[5]templet worksheet 2557'!E114</f>
        <v>5.5</v>
      </c>
      <c r="F27" s="28"/>
      <c r="G27" s="28">
        <f>'[5]templet worksheet 2557'!G114</f>
        <v>0.28999999999999998</v>
      </c>
      <c r="H27" s="46">
        <f>'[5]templet worksheet 2557'!H114</f>
        <v>3412.8875218150088</v>
      </c>
      <c r="I27" s="98">
        <f>'[5]templet worksheet 2557'!I114</f>
        <v>3146.1919958051717</v>
      </c>
      <c r="K27" s="99">
        <f>'[5]templet worksheet 2557'!K114</f>
        <v>69.900000000000006</v>
      </c>
      <c r="L27" s="98">
        <f>'[5]templet worksheet 2557'!L114</f>
        <v>2078.1574393962474</v>
      </c>
    </row>
    <row r="28" spans="1:12" x14ac:dyDescent="0.2">
      <c r="A28" s="27" t="str">
        <f>'[5]templet worksheet 2557'!A115</f>
        <v>75+</v>
      </c>
      <c r="B28" s="28">
        <f>'[5]templet worksheet 2557'!B115</f>
        <v>1458962.4462073003</v>
      </c>
      <c r="C28" s="46">
        <f>'[5]templet worksheet 2557'!C115</f>
        <v>1505.8521339044898</v>
      </c>
      <c r="D28" s="42">
        <f>'[5]templet worksheet 2557'!D115</f>
        <v>103.21390641815924</v>
      </c>
      <c r="E28" s="128">
        <f>'[5]templet worksheet 2557'!E115</f>
        <v>4</v>
      </c>
      <c r="F28" s="28"/>
      <c r="G28" s="28">
        <f>'[5]templet worksheet 2557'!G115</f>
        <v>0.28999999999999998</v>
      </c>
      <c r="H28" s="46">
        <f>'[5]templet worksheet 2557'!H115</f>
        <v>1746.788475329208</v>
      </c>
      <c r="I28" s="98">
        <f>'[5]templet worksheet 2557'!I115</f>
        <v>1646.0506494810766</v>
      </c>
      <c r="K28" s="99">
        <f>'[5]templet worksheet 2557'!K115</f>
        <v>81.3</v>
      </c>
      <c r="L28" s="98">
        <f>'[5]templet worksheet 2557'!L115</f>
        <v>813.34441831320112</v>
      </c>
    </row>
    <row r="29" spans="1:12" x14ac:dyDescent="0.2">
      <c r="A29" s="27" t="str">
        <f>'[5]templet worksheet 2557'!A116</f>
        <v>Total</v>
      </c>
      <c r="B29" s="28">
        <f>'[5]templet worksheet 2557'!B116</f>
        <v>33032823.157106262</v>
      </c>
      <c r="C29" s="46">
        <f>'[5]templet worksheet 2557'!C116</f>
        <v>8843.7775662382992</v>
      </c>
      <c r="D29" s="42">
        <f>'[5]templet worksheet 2557'!D116</f>
        <v>26.772696733115168</v>
      </c>
      <c r="E29" s="128">
        <f>'[5]templet worksheet 2557'!E116</f>
        <v>5.1729404301103523</v>
      </c>
      <c r="F29" s="28"/>
      <c r="G29" s="28">
        <f>'[5]templet worksheet 2557'!G116</f>
        <v>0.28999999999999998</v>
      </c>
      <c r="H29" s="46">
        <f>'[5]templet worksheet 2557'!H116</f>
        <v>13052.203411074091</v>
      </c>
      <c r="I29" s="98">
        <f>'[5]templet worksheet 2557'!I116</f>
        <v>12094.225757832073</v>
      </c>
      <c r="K29" s="99">
        <f>'[5]templet worksheet 2557'!K116</f>
        <v>0</v>
      </c>
      <c r="L29" s="98">
        <f>'[5]templet worksheet 2557'!L116</f>
        <v>10741.495036063134</v>
      </c>
    </row>
    <row r="30" spans="1:12" x14ac:dyDescent="0.2">
      <c r="A30" s="30"/>
      <c r="B30" s="31"/>
      <c r="C30" s="31"/>
      <c r="D30" s="31"/>
      <c r="E30" s="218"/>
      <c r="F30" s="31"/>
      <c r="G30" s="31"/>
      <c r="H30" s="31"/>
      <c r="I30" s="32"/>
      <c r="K30" s="30"/>
      <c r="L30" s="32"/>
    </row>
    <row r="32" spans="1:12" s="22" customFormat="1" x14ac:dyDescent="0.2">
      <c r="A32" s="23" t="s">
        <v>193</v>
      </c>
      <c r="J32" s="28"/>
    </row>
    <row r="33" spans="1:14" s="22" customFormat="1" x14ac:dyDescent="0.2">
      <c r="J33" s="28"/>
      <c r="L33" s="28"/>
    </row>
    <row r="34" spans="1:14" s="22" customFormat="1" x14ac:dyDescent="0.2">
      <c r="A34" s="24" t="str">
        <f>'[5]templet worksheet 2557'!A122</f>
        <v>Thailand</v>
      </c>
      <c r="B34" s="25" t="str">
        <f>'[5]templet worksheet 2557'!B122</f>
        <v>Population</v>
      </c>
      <c r="C34" s="25" t="str">
        <f>'[5]templet worksheet 2557'!C122</f>
        <v>Incidence</v>
      </c>
      <c r="D34" s="25" t="str">
        <f>'[5]templet worksheet 2557'!D122</f>
        <v>Incidence rate</v>
      </c>
      <c r="E34" s="410" t="str">
        <f>'[5]templet worksheet 2557'!E122</f>
        <v>Duration</v>
      </c>
      <c r="F34" s="410"/>
      <c r="G34" s="25" t="str">
        <f>'[5]templet worksheet 2557'!G122</f>
        <v>Disability weight</v>
      </c>
      <c r="H34" s="410">
        <f>'[5]templet worksheet 2557'!H122</f>
        <v>0</v>
      </c>
      <c r="I34" s="410"/>
      <c r="J34" s="25" t="str">
        <f>'[5]templet worksheet 2557'!J122</f>
        <v>YLD</v>
      </c>
      <c r="K34" s="26">
        <f>'[5]templet worksheet 2557'!K122</f>
        <v>0</v>
      </c>
      <c r="L34" s="28"/>
      <c r="M34" s="182" t="str">
        <f>'[5]templet worksheet 2557'!M122</f>
        <v>YLDs</v>
      </c>
      <c r="N34" s="183">
        <f>'[5]templet worksheet 2557'!N122</f>
        <v>0</v>
      </c>
    </row>
    <row r="35" spans="1:14" s="22" customFormat="1" x14ac:dyDescent="0.2">
      <c r="A35" s="30"/>
      <c r="B35" s="31">
        <f>'[5]templet worksheet 2557'!B123</f>
        <v>2014</v>
      </c>
      <c r="C35" s="31"/>
      <c r="D35" s="31" t="str">
        <f>'[5]templet worksheet 2557'!D123</f>
        <v>(per 100,000)</v>
      </c>
      <c r="E35" s="219" t="str">
        <f>'[5]templet worksheet 2557'!E123</f>
        <v>first 1/2 yr</v>
      </c>
      <c r="F35" s="219" t="str">
        <f>'[5]templet worksheet 2557'!F123</f>
        <v>there after</v>
      </c>
      <c r="G35" s="31"/>
      <c r="H35" s="219" t="str">
        <f>'[5]templet worksheet 2557'!H123</f>
        <v>there after</v>
      </c>
      <c r="I35" s="219" t="str">
        <f>'[5]templet worksheet 2557'!I123</f>
        <v>(0,0)</v>
      </c>
      <c r="J35" s="31" t="str">
        <f>'[5]templet worksheet 2557'!J123</f>
        <v>(3,0)</v>
      </c>
      <c r="K35" s="32">
        <f>'[5]templet worksheet 2557'!K123</f>
        <v>0</v>
      </c>
      <c r="L35" s="28"/>
      <c r="M35" s="184" t="str">
        <f>'[5]templet worksheet 2557'!M123</f>
        <v>(3,1)</v>
      </c>
      <c r="N35" s="185">
        <f>'[5]templet worksheet 2557'!N123</f>
        <v>0</v>
      </c>
    </row>
    <row r="36" spans="1:14" s="22" customFormat="1" x14ac:dyDescent="0.2">
      <c r="A36" s="27"/>
      <c r="B36" s="28"/>
      <c r="C36" s="28"/>
      <c r="D36" s="28"/>
      <c r="E36" s="28"/>
      <c r="F36" s="28"/>
      <c r="G36" s="28"/>
      <c r="H36" s="28"/>
      <c r="I36" s="28"/>
      <c r="J36" s="28"/>
      <c r="K36" s="29"/>
      <c r="L36" s="28"/>
      <c r="M36" s="27"/>
      <c r="N36" s="29"/>
    </row>
    <row r="37" spans="1:14" s="22" customFormat="1" x14ac:dyDescent="0.2">
      <c r="A37" s="27"/>
      <c r="B37" s="28"/>
      <c r="C37" s="28"/>
      <c r="D37" s="28"/>
      <c r="E37" s="28"/>
      <c r="F37" s="28"/>
      <c r="G37" s="28"/>
      <c r="H37" s="28"/>
      <c r="I37" s="28"/>
      <c r="J37" s="28"/>
      <c r="K37" s="29"/>
      <c r="L37" s="28"/>
      <c r="M37" s="27"/>
      <c r="N37" s="29"/>
    </row>
    <row r="38" spans="1:14" s="22" customFormat="1" x14ac:dyDescent="0.2">
      <c r="A38" s="48" t="str">
        <f>'[5]templet worksheet 2557'!A126</f>
        <v>Males</v>
      </c>
      <c r="B38" s="28"/>
      <c r="C38" s="28"/>
      <c r="D38" s="28"/>
      <c r="E38" s="28"/>
      <c r="F38" s="28"/>
      <c r="G38" s="28"/>
      <c r="H38" s="28"/>
      <c r="I38" s="28"/>
      <c r="J38" s="28"/>
      <c r="K38" s="29"/>
      <c r="L38" s="28"/>
      <c r="M38" s="27"/>
      <c r="N38" s="29"/>
    </row>
    <row r="39" spans="1:14" s="22" customFormat="1" x14ac:dyDescent="0.2">
      <c r="A39" s="27" t="str">
        <f>'[5]templet worksheet 2557'!A127</f>
        <v>0-4</v>
      </c>
      <c r="B39" s="28">
        <f>'[5]templet worksheet 2557'!B127</f>
        <v>1966319</v>
      </c>
      <c r="C39" s="46">
        <f>'[5]templet worksheet 2557'!C127</f>
        <v>0</v>
      </c>
      <c r="D39" s="42">
        <f>'[5]templet worksheet 2557'!D127</f>
        <v>0</v>
      </c>
      <c r="E39" s="28">
        <f>'[5]templet worksheet 2557'!E127</f>
        <v>0.5</v>
      </c>
      <c r="F39" s="128">
        <f>'[5]templet worksheet 2557'!F127</f>
        <v>13.1</v>
      </c>
      <c r="G39" s="28"/>
      <c r="H39" s="28">
        <f>'[5]templet worksheet 2557'!H127</f>
        <v>0.11</v>
      </c>
      <c r="I39" s="28">
        <f>'[5]templet worksheet 2557'!I127</f>
        <v>0</v>
      </c>
      <c r="J39" s="46">
        <f>'[5]templet worksheet 2557'!J127</f>
        <v>0</v>
      </c>
      <c r="K39" s="98">
        <f>'[5]templet worksheet 2557'!K127</f>
        <v>0</v>
      </c>
      <c r="L39" s="28"/>
      <c r="M39" s="99">
        <f>'[5]templet worksheet 2557'!M127</f>
        <v>0</v>
      </c>
      <c r="N39" s="98">
        <f>'[5]templet worksheet 2557'!N127</f>
        <v>0</v>
      </c>
    </row>
    <row r="40" spans="1:14" s="22" customFormat="1" x14ac:dyDescent="0.2">
      <c r="A40" s="27" t="str">
        <f>'[5]templet worksheet 2557'!A128</f>
        <v>5-14</v>
      </c>
      <c r="B40" s="28">
        <f>'[5]templet worksheet 2557'!B128</f>
        <v>4179206</v>
      </c>
      <c r="C40" s="46">
        <f>'[5]templet worksheet 2557'!C128</f>
        <v>3.0330275229357797</v>
      </c>
      <c r="D40" s="42">
        <f>'[5]templet worksheet 2557'!D128</f>
        <v>7.2574252691438981E-2</v>
      </c>
      <c r="E40" s="28">
        <f>'[5]templet worksheet 2557'!E128</f>
        <v>0.5</v>
      </c>
      <c r="F40" s="128">
        <f>'[5]templet worksheet 2557'!F128</f>
        <v>16.5</v>
      </c>
      <c r="G40" s="28"/>
      <c r="H40" s="28">
        <f>'[5]templet worksheet 2557'!H128</f>
        <v>0.11</v>
      </c>
      <c r="I40" s="28">
        <f>'[5]templet worksheet 2557'!I128</f>
        <v>5.9447339449541285</v>
      </c>
      <c r="J40" s="46">
        <f>'[5]templet worksheet 2557'!J128</f>
        <v>4.3420013410588432</v>
      </c>
      <c r="K40" s="98">
        <f>'[5]templet worksheet 2557'!K128</f>
        <v>0</v>
      </c>
      <c r="L40" s="28"/>
      <c r="M40" s="99">
        <f>'[5]templet worksheet 2557'!M128</f>
        <v>6.3632283941767476</v>
      </c>
      <c r="N40" s="98">
        <f>'[5]templet worksheet 2557'!N128</f>
        <v>0</v>
      </c>
    </row>
    <row r="41" spans="1:14" s="22" customFormat="1" x14ac:dyDescent="0.2">
      <c r="A41" s="27" t="str">
        <f>'[5]templet worksheet 2557'!A129</f>
        <v>15-24</v>
      </c>
      <c r="B41" s="28">
        <f>'[5]templet worksheet 2557'!B129</f>
        <v>4935213</v>
      </c>
      <c r="C41" s="46">
        <f>'[5]templet worksheet 2557'!C129</f>
        <v>17.187155963302754</v>
      </c>
      <c r="D41" s="42">
        <f>'[5]templet worksheet 2557'!D129</f>
        <v>0.34825560646121562</v>
      </c>
      <c r="E41" s="28">
        <f>'[5]templet worksheet 2557'!E129</f>
        <v>0.5</v>
      </c>
      <c r="F41" s="128">
        <f>'[5]templet worksheet 2557'!F129</f>
        <v>18.25</v>
      </c>
      <c r="G41" s="28"/>
      <c r="H41" s="28">
        <f>'[5]templet worksheet 2557'!H129</f>
        <v>0.11</v>
      </c>
      <c r="I41" s="28">
        <f>'[5]templet worksheet 2557'!I129</f>
        <v>36.995353211009174</v>
      </c>
      <c r="J41" s="46">
        <f>'[5]templet worksheet 2557'!J129</f>
        <v>26.56943028529551</v>
      </c>
      <c r="K41" s="98">
        <f>'[5]templet worksheet 2557'!K129</f>
        <v>0</v>
      </c>
      <c r="L41" s="28"/>
      <c r="M41" s="99">
        <f>'[5]templet worksheet 2557'!M129</f>
        <v>41.815057570154856</v>
      </c>
      <c r="N41" s="98">
        <f>'[5]templet worksheet 2557'!N129</f>
        <v>0</v>
      </c>
    </row>
    <row r="42" spans="1:14" s="22" customFormat="1" x14ac:dyDescent="0.2">
      <c r="A42" s="27" t="str">
        <f>'[5]templet worksheet 2557'!A130</f>
        <v>25-34</v>
      </c>
      <c r="B42" s="28">
        <f>'[5]templet worksheet 2557'!B130</f>
        <v>4969108</v>
      </c>
      <c r="C42" s="46">
        <f>'[5]templet worksheet 2557'!C130</f>
        <v>44.48440366972477</v>
      </c>
      <c r="D42" s="42">
        <f>'[5]templet worksheet 2557'!D130</f>
        <v>0.89521909505136066</v>
      </c>
      <c r="E42" s="28">
        <f>'[5]templet worksheet 2557'!E130</f>
        <v>0.5</v>
      </c>
      <c r="F42" s="128">
        <f>'[5]templet worksheet 2557'!F130</f>
        <v>18.45</v>
      </c>
      <c r="G42" s="28"/>
      <c r="H42" s="28">
        <f>'[5]templet worksheet 2557'!H130</f>
        <v>0.11</v>
      </c>
      <c r="I42" s="28">
        <f>'[5]templet worksheet 2557'!I130</f>
        <v>96.731335779816519</v>
      </c>
      <c r="J42" s="46">
        <f>'[5]templet worksheet 2557'!J130</f>
        <v>69.332291709914855</v>
      </c>
      <c r="K42" s="98">
        <f>'[5]templet worksheet 2557'!K130</f>
        <v>0</v>
      </c>
      <c r="L42" s="28"/>
      <c r="M42" s="99">
        <f>'[5]templet worksheet 2557'!M130</f>
        <v>100.34412322591605</v>
      </c>
      <c r="N42" s="98">
        <f>'[5]templet worksheet 2557'!N130</f>
        <v>0</v>
      </c>
    </row>
    <row r="43" spans="1:14" s="22" customFormat="1" x14ac:dyDescent="0.2">
      <c r="A43" s="27" t="str">
        <f>'[5]templet worksheet 2557'!A131</f>
        <v>35-44</v>
      </c>
      <c r="B43" s="28">
        <f>'[5]templet worksheet 2557'!B131</f>
        <v>5294266</v>
      </c>
      <c r="C43" s="46">
        <f>'[5]templet worksheet 2557'!C131</f>
        <v>89.979816513761463</v>
      </c>
      <c r="D43" s="42">
        <f>'[5]templet worksheet 2557'!D131</f>
        <v>1.6995711306111454</v>
      </c>
      <c r="E43" s="28">
        <f>'[5]templet worksheet 2557'!E131</f>
        <v>0.5</v>
      </c>
      <c r="F43" s="128">
        <f>'[5]templet worksheet 2557'!F131</f>
        <v>16.239999999999998</v>
      </c>
      <c r="G43" s="28"/>
      <c r="H43" s="28">
        <f>'[5]templet worksheet 2557'!H131</f>
        <v>0.11</v>
      </c>
      <c r="I43" s="28">
        <f>'[5]templet worksheet 2557'!I131</f>
        <v>173.78701761467886</v>
      </c>
      <c r="J43" s="46">
        <f>'[5]templet worksheet 2557'!J131</f>
        <v>127.23788900571789</v>
      </c>
      <c r="K43" s="98">
        <f>'[5]templet worksheet 2557'!K131</f>
        <v>0</v>
      </c>
      <c r="L43" s="28"/>
      <c r="M43" s="99">
        <f>'[5]templet worksheet 2557'!M131</f>
        <v>160.56476788575264</v>
      </c>
      <c r="N43" s="98">
        <f>'[5]templet worksheet 2557'!N131</f>
        <v>0</v>
      </c>
    </row>
    <row r="44" spans="1:14" s="22" customFormat="1" x14ac:dyDescent="0.2">
      <c r="A44" s="27" t="str">
        <f>'[5]templet worksheet 2557'!A132</f>
        <v>45-54</v>
      </c>
      <c r="B44" s="28">
        <f>'[5]templet worksheet 2557'!B132</f>
        <v>4801101</v>
      </c>
      <c r="C44" s="46">
        <f>'[5]templet worksheet 2557'!C132</f>
        <v>107.16697247706422</v>
      </c>
      <c r="D44" s="42">
        <f>'[5]templet worksheet 2557'!D132</f>
        <v>2.2321332643713228</v>
      </c>
      <c r="E44" s="28">
        <f>'[5]templet worksheet 2557'!E132</f>
        <v>0.5</v>
      </c>
      <c r="F44" s="128">
        <f>'[5]templet worksheet 2557'!F132</f>
        <v>12.92</v>
      </c>
      <c r="G44" s="28"/>
      <c r="H44" s="28">
        <f>'[5]templet worksheet 2557'!H132</f>
        <v>0.11</v>
      </c>
      <c r="I44" s="28">
        <f>'[5]templet worksheet 2557'!I132</f>
        <v>167.84491229357798</v>
      </c>
      <c r="J44" s="46">
        <f>'[5]templet worksheet 2557'!J132</f>
        <v>126.25979073606993</v>
      </c>
      <c r="K44" s="98">
        <f>'[5]templet worksheet 2557'!K132</f>
        <v>0</v>
      </c>
      <c r="L44" s="28"/>
      <c r="M44" s="99">
        <f>'[5]templet worksheet 2557'!M132</f>
        <v>135.51490390978438</v>
      </c>
      <c r="N44" s="98">
        <f>'[5]templet worksheet 2557'!N132</f>
        <v>0</v>
      </c>
    </row>
    <row r="45" spans="1:14" s="22" customFormat="1" x14ac:dyDescent="0.2">
      <c r="A45" s="27" t="str">
        <f>'[5]templet worksheet 2557'!A133</f>
        <v>55-64</v>
      </c>
      <c r="B45" s="28">
        <f>'[5]templet worksheet 2557'!B133</f>
        <v>3135377</v>
      </c>
      <c r="C45" s="46">
        <f>'[5]templet worksheet 2557'!C133</f>
        <v>84.924770642201835</v>
      </c>
      <c r="D45" s="42">
        <f>'[5]templet worksheet 2557'!D133</f>
        <v>2.708598380424486</v>
      </c>
      <c r="E45" s="28">
        <f>'[5]templet worksheet 2557'!E133</f>
        <v>0.5</v>
      </c>
      <c r="F45" s="128">
        <f>'[5]templet worksheet 2557'!F133</f>
        <v>9.5500000000000007</v>
      </c>
      <c r="G45" s="28"/>
      <c r="H45" s="28">
        <f>'[5]templet worksheet 2557'!H133</f>
        <v>0.11</v>
      </c>
      <c r="I45" s="28">
        <f>'[5]templet worksheet 2557'!I133</f>
        <v>101.5275633027523</v>
      </c>
      <c r="J45" s="46">
        <f>'[5]templet worksheet 2557'!J133</f>
        <v>77.571478305772033</v>
      </c>
      <c r="K45" s="98">
        <f>'[5]templet worksheet 2557'!K133</f>
        <v>0</v>
      </c>
      <c r="L45" s="28"/>
      <c r="M45" s="99">
        <f>'[5]templet worksheet 2557'!M133</f>
        <v>69.847746961927882</v>
      </c>
      <c r="N45" s="98">
        <f>'[5]templet worksheet 2557'!N133</f>
        <v>0</v>
      </c>
    </row>
    <row r="46" spans="1:14" s="22" customFormat="1" x14ac:dyDescent="0.2">
      <c r="A46" s="27" t="str">
        <f>'[5]templet worksheet 2557'!A134</f>
        <v>65-74</v>
      </c>
      <c r="B46" s="28">
        <f>'[5]templet worksheet 2557'!B134</f>
        <v>1636415</v>
      </c>
      <c r="C46" s="46">
        <f>'[5]templet worksheet 2557'!C134</f>
        <v>18.19816513761468</v>
      </c>
      <c r="D46" s="42">
        <f>'[5]templet worksheet 2557'!D134</f>
        <v>1.1120751849387032</v>
      </c>
      <c r="E46" s="28">
        <f>'[5]templet worksheet 2557'!E134</f>
        <v>0.5</v>
      </c>
      <c r="F46" s="128">
        <f>'[5]templet worksheet 2557'!F134</f>
        <v>6.37</v>
      </c>
      <c r="G46" s="28"/>
      <c r="H46" s="28">
        <f>'[5]templet worksheet 2557'!H134</f>
        <v>0.11</v>
      </c>
      <c r="I46" s="28">
        <f>'[5]templet worksheet 2557'!I134</f>
        <v>15.390188256880736</v>
      </c>
      <c r="J46" s="46">
        <f>'[5]templet worksheet 2557'!J134</f>
        <v>11.607094427253346</v>
      </c>
      <c r="K46" s="98">
        <f>'[5]templet worksheet 2557'!K134</f>
        <v>0</v>
      </c>
      <c r="L46" s="28"/>
      <c r="M46" s="99">
        <f>'[5]templet worksheet 2557'!M134</f>
        <v>8.7523913462047709</v>
      </c>
      <c r="N46" s="98">
        <f>'[5]templet worksheet 2557'!N134</f>
        <v>0</v>
      </c>
    </row>
    <row r="47" spans="1:14" s="22" customFormat="1" x14ac:dyDescent="0.2">
      <c r="A47" s="27" t="str">
        <f>'[5]templet worksheet 2557'!A135</f>
        <v>75+</v>
      </c>
      <c r="B47" s="28">
        <f>'[5]templet worksheet 2557'!B135</f>
        <v>1005485</v>
      </c>
      <c r="C47" s="46">
        <f>'[5]templet worksheet 2557'!C135</f>
        <v>0</v>
      </c>
      <c r="D47" s="42">
        <f>'[5]templet worksheet 2557'!D135</f>
        <v>0</v>
      </c>
      <c r="E47" s="28">
        <f>'[5]templet worksheet 2557'!E135</f>
        <v>0.5</v>
      </c>
      <c r="F47" s="128">
        <f>'[5]templet worksheet 2557'!F135</f>
        <v>0</v>
      </c>
      <c r="G47" s="28"/>
      <c r="H47" s="28">
        <f>'[5]templet worksheet 2557'!H135</f>
        <v>0.11</v>
      </c>
      <c r="I47" s="28">
        <f>'[5]templet worksheet 2557'!I135</f>
        <v>0</v>
      </c>
      <c r="J47" s="46">
        <f>'[5]templet worksheet 2557'!J135</f>
        <v>0</v>
      </c>
      <c r="K47" s="98">
        <f>'[5]templet worksheet 2557'!K135</f>
        <v>0</v>
      </c>
      <c r="L47" s="28"/>
      <c r="M47" s="99">
        <f>'[5]templet worksheet 2557'!M135</f>
        <v>0</v>
      </c>
      <c r="N47" s="98">
        <f>'[5]templet worksheet 2557'!N135</f>
        <v>0</v>
      </c>
    </row>
    <row r="48" spans="1:14" s="22" customFormat="1" x14ac:dyDescent="0.2">
      <c r="A48" s="27" t="str">
        <f>'[5]templet worksheet 2557'!A136</f>
        <v>Total</v>
      </c>
      <c r="B48" s="28">
        <f>'[5]templet worksheet 2557'!B136</f>
        <v>31922490</v>
      </c>
      <c r="C48" s="46">
        <f>'[5]templet worksheet 2557'!C136</f>
        <v>364.97431192660554</v>
      </c>
      <c r="D48" s="42">
        <f>'[5]templet worksheet 2557'!D136</f>
        <v>1.1433140457608588</v>
      </c>
      <c r="E48" s="28">
        <f>'[5]templet worksheet 2557'!E136</f>
        <v>0.5</v>
      </c>
      <c r="F48" s="128">
        <f>'[5]templet worksheet 2557'!F136</f>
        <v>0</v>
      </c>
      <c r="G48" s="28"/>
      <c r="H48" s="28">
        <f>'[5]templet worksheet 2557'!H136</f>
        <v>0.11</v>
      </c>
      <c r="I48" s="28">
        <f>'[5]templet worksheet 2557'!I136</f>
        <v>598.22110440366964</v>
      </c>
      <c r="J48" s="46">
        <f>'[5]templet worksheet 2557'!J136</f>
        <v>442.9199758110824</v>
      </c>
      <c r="K48" s="98">
        <f>'[5]templet worksheet 2557'!K136</f>
        <v>0</v>
      </c>
      <c r="L48" s="28"/>
      <c r="M48" s="99">
        <f>'[5]templet worksheet 2557'!M136</f>
        <v>523.20221929391732</v>
      </c>
      <c r="N48" s="98">
        <f>'[5]templet worksheet 2557'!N136</f>
        <v>0</v>
      </c>
    </row>
    <row r="49" spans="1:14" s="22" customFormat="1" x14ac:dyDescent="0.2">
      <c r="A49" s="27"/>
      <c r="B49" s="28"/>
      <c r="C49" s="46"/>
      <c r="D49" s="42"/>
      <c r="E49" s="28"/>
      <c r="F49" s="128"/>
      <c r="G49" s="28"/>
      <c r="H49" s="28"/>
      <c r="I49" s="28"/>
      <c r="J49" s="46"/>
      <c r="K49" s="98"/>
      <c r="L49" s="28"/>
      <c r="M49" s="99"/>
      <c r="N49" s="98"/>
    </row>
    <row r="50" spans="1:14" s="22" customFormat="1" x14ac:dyDescent="0.2">
      <c r="A50" s="48" t="str">
        <f>'[5]templet worksheet 2557'!A138</f>
        <v>Females</v>
      </c>
      <c r="B50" s="28"/>
      <c r="C50" s="46"/>
      <c r="D50" s="42"/>
      <c r="E50" s="28"/>
      <c r="F50" s="128"/>
      <c r="G50" s="28"/>
      <c r="H50" s="28"/>
      <c r="I50" s="28"/>
      <c r="J50" s="46"/>
      <c r="K50" s="98"/>
      <c r="L50" s="28"/>
      <c r="M50" s="99"/>
      <c r="N50" s="98"/>
    </row>
    <row r="51" spans="1:14" s="22" customFormat="1" x14ac:dyDescent="0.2">
      <c r="A51" s="27" t="str">
        <f>'[5]templet worksheet 2557'!A139</f>
        <v>0-4</v>
      </c>
      <c r="B51" s="28">
        <f>'[5]templet worksheet 2557'!B139</f>
        <v>1849075</v>
      </c>
      <c r="C51" s="46">
        <f>'[5]templet worksheet 2557'!C139</f>
        <v>0</v>
      </c>
      <c r="D51" s="42">
        <f>'[5]templet worksheet 2557'!D139</f>
        <v>0</v>
      </c>
      <c r="E51" s="28">
        <f>'[5]templet worksheet 2557'!E139</f>
        <v>0.5</v>
      </c>
      <c r="F51" s="128">
        <f>'[5]templet worksheet 2557'!F139</f>
        <v>13.1</v>
      </c>
      <c r="G51" s="28"/>
      <c r="H51" s="28">
        <f>'[5]templet worksheet 2557'!H139</f>
        <v>0.11</v>
      </c>
      <c r="I51" s="28">
        <f>'[5]templet worksheet 2557'!I139</f>
        <v>0</v>
      </c>
      <c r="J51" s="46">
        <f>'[5]templet worksheet 2557'!J139</f>
        <v>0</v>
      </c>
      <c r="K51" s="98">
        <f>'[5]templet worksheet 2557'!K139</f>
        <v>0</v>
      </c>
      <c r="L51" s="28"/>
      <c r="M51" s="99">
        <f>'[5]templet worksheet 2557'!M139</f>
        <v>0</v>
      </c>
      <c r="N51" s="98">
        <f>'[5]templet worksheet 2557'!N139</f>
        <v>0</v>
      </c>
    </row>
    <row r="52" spans="1:14" s="22" customFormat="1" x14ac:dyDescent="0.2">
      <c r="A52" s="27" t="str">
        <f>'[5]templet worksheet 2557'!A140</f>
        <v>5-14</v>
      </c>
      <c r="B52" s="28">
        <f>'[5]templet worksheet 2557'!B140</f>
        <v>3940160</v>
      </c>
      <c r="C52" s="46">
        <f>'[5]templet worksheet 2557'!C140</f>
        <v>8.0880733944954137</v>
      </c>
      <c r="D52" s="42">
        <f>'[5]templet worksheet 2557'!D140</f>
        <v>0.20527271467390701</v>
      </c>
      <c r="E52" s="28">
        <f>'[5]templet worksheet 2557'!E140</f>
        <v>0.5</v>
      </c>
      <c r="F52" s="128">
        <f>'[5]templet worksheet 2557'!F140</f>
        <v>16.5</v>
      </c>
      <c r="G52" s="28"/>
      <c r="H52" s="28">
        <f>'[5]templet worksheet 2557'!H140</f>
        <v>0.11</v>
      </c>
      <c r="I52" s="28">
        <f>'[5]templet worksheet 2557'!I140</f>
        <v>15.852623853211011</v>
      </c>
      <c r="J52" s="46">
        <f>'[5]templet worksheet 2557'!J140</f>
        <v>11.578670242823584</v>
      </c>
      <c r="K52" s="98">
        <f>'[5]templet worksheet 2557'!K140</f>
        <v>0</v>
      </c>
      <c r="L52" s="28"/>
      <c r="M52" s="99">
        <f>'[5]templet worksheet 2557'!M140</f>
        <v>16.968609051137992</v>
      </c>
      <c r="N52" s="98">
        <f>'[5]templet worksheet 2557'!N140</f>
        <v>0</v>
      </c>
    </row>
    <row r="53" spans="1:14" s="22" customFormat="1" x14ac:dyDescent="0.2">
      <c r="A53" s="27" t="str">
        <f>'[5]templet worksheet 2557'!A141</f>
        <v>15-24</v>
      </c>
      <c r="B53" s="28">
        <f>'[5]templet worksheet 2557'!B141</f>
        <v>4717317.1752900956</v>
      </c>
      <c r="C53" s="46">
        <f>'[5]templet worksheet 2557'!C141</f>
        <v>11.121100917431193</v>
      </c>
      <c r="D53" s="42">
        <f>'[5]templet worksheet 2557'!D141</f>
        <v>0.23575054430694053</v>
      </c>
      <c r="E53" s="28">
        <f>'[5]templet worksheet 2557'!E141</f>
        <v>0.5</v>
      </c>
      <c r="F53" s="128">
        <f>'[5]templet worksheet 2557'!F141</f>
        <v>18.25</v>
      </c>
      <c r="G53" s="28"/>
      <c r="H53" s="28">
        <f>'[5]templet worksheet 2557'!H141</f>
        <v>0.11</v>
      </c>
      <c r="I53" s="28">
        <f>'[5]templet worksheet 2557'!I141</f>
        <v>23.938169724770642</v>
      </c>
      <c r="J53" s="46">
        <f>'[5]templet worksheet 2557'!J141</f>
        <v>17.191984302250034</v>
      </c>
      <c r="K53" s="98">
        <f>'[5]templet worksheet 2557'!K141</f>
        <v>0</v>
      </c>
      <c r="L53" s="28"/>
      <c r="M53" s="99">
        <f>'[5]templet worksheet 2557'!M141</f>
        <v>27.056801957159024</v>
      </c>
      <c r="N53" s="98">
        <f>'[5]templet worksheet 2557'!N141</f>
        <v>0</v>
      </c>
    </row>
    <row r="54" spans="1:14" s="22" customFormat="1" x14ac:dyDescent="0.2">
      <c r="A54" s="27" t="str">
        <f>'[5]templet worksheet 2557'!A142</f>
        <v>25-34</v>
      </c>
      <c r="B54" s="28">
        <f>'[5]templet worksheet 2557'!B142</f>
        <v>4883263</v>
      </c>
      <c r="C54" s="46">
        <f>'[5]templet worksheet 2557'!C142</f>
        <v>32.352293577981655</v>
      </c>
      <c r="D54" s="42">
        <f>'[5]templet worksheet 2557'!D142</f>
        <v>0.66251384735947372</v>
      </c>
      <c r="E54" s="28">
        <f>'[5]templet worksheet 2557'!E142</f>
        <v>0.5</v>
      </c>
      <c r="F54" s="128">
        <f>'[5]templet worksheet 2557'!F142</f>
        <v>18.45</v>
      </c>
      <c r="G54" s="28"/>
      <c r="H54" s="28">
        <f>'[5]templet worksheet 2557'!H142</f>
        <v>0.11</v>
      </c>
      <c r="I54" s="28">
        <f>'[5]templet worksheet 2557'!I142</f>
        <v>70.35006238532111</v>
      </c>
      <c r="J54" s="46">
        <f>'[5]templet worksheet 2557'!J142</f>
        <v>50.42348487993808</v>
      </c>
      <c r="K54" s="98">
        <f>'[5]templet worksheet 2557'!K142</f>
        <v>0</v>
      </c>
      <c r="L54" s="28"/>
      <c r="M54" s="99">
        <f>'[5]templet worksheet 2557'!M142</f>
        <v>72.977544164302586</v>
      </c>
      <c r="N54" s="98">
        <f>'[5]templet worksheet 2557'!N142</f>
        <v>0</v>
      </c>
    </row>
    <row r="55" spans="1:14" s="22" customFormat="1" x14ac:dyDescent="0.2">
      <c r="A55" s="27" t="str">
        <f>'[5]templet worksheet 2557'!A143</f>
        <v>35-44</v>
      </c>
      <c r="B55" s="28">
        <f>'[5]templet worksheet 2557'!B143</f>
        <v>5443392</v>
      </c>
      <c r="C55" s="46">
        <f>'[5]templet worksheet 2557'!C143</f>
        <v>62.68256880733945</v>
      </c>
      <c r="D55" s="42">
        <f>'[5]templet worksheet 2557'!D143</f>
        <v>1.1515350870806191</v>
      </c>
      <c r="E55" s="28">
        <f>'[5]templet worksheet 2557'!E143</f>
        <v>0.5</v>
      </c>
      <c r="F55" s="128">
        <f>'[5]templet worksheet 2557'!F143</f>
        <v>16.239999999999998</v>
      </c>
      <c r="G55" s="28"/>
      <c r="H55" s="28">
        <f>'[5]templet worksheet 2557'!H143</f>
        <v>0.11</v>
      </c>
      <c r="I55" s="28">
        <f>'[5]templet worksheet 2557'!I143</f>
        <v>121.0651133944954</v>
      </c>
      <c r="J55" s="46">
        <f>'[5]templet worksheet 2557'!J143</f>
        <v>88.637630543309101</v>
      </c>
      <c r="K55" s="98">
        <f>'[5]templet worksheet 2557'!K143</f>
        <v>0</v>
      </c>
      <c r="L55" s="28"/>
      <c r="M55" s="99">
        <f>'[5]templet worksheet 2557'!M143</f>
        <v>111.85410796535578</v>
      </c>
      <c r="N55" s="98">
        <f>'[5]templet worksheet 2557'!N143</f>
        <v>0</v>
      </c>
    </row>
    <row r="56" spans="1:14" s="22" customFormat="1" x14ac:dyDescent="0.2">
      <c r="A56" s="27" t="str">
        <f>'[5]templet worksheet 2557'!A144</f>
        <v>45-54</v>
      </c>
      <c r="B56" s="28">
        <f>'[5]templet worksheet 2557'!B144</f>
        <v>5200726</v>
      </c>
      <c r="C56" s="46">
        <f>'[5]templet worksheet 2557'!C144</f>
        <v>42.462385321100918</v>
      </c>
      <c r="D56" s="42">
        <f>'[5]templet worksheet 2557'!D144</f>
        <v>0.81647034127737006</v>
      </c>
      <c r="E56" s="28">
        <f>'[5]templet worksheet 2557'!E144</f>
        <v>0.5</v>
      </c>
      <c r="F56" s="128">
        <f>'[5]templet worksheet 2557'!F144</f>
        <v>12.92</v>
      </c>
      <c r="G56" s="28"/>
      <c r="H56" s="28">
        <f>'[5]templet worksheet 2557'!H144</f>
        <v>0.11</v>
      </c>
      <c r="I56" s="28">
        <f>'[5]templet worksheet 2557'!I144</f>
        <v>66.504587889908265</v>
      </c>
      <c r="J56" s="46">
        <f>'[5]templet worksheet 2557'!J144</f>
        <v>50.027464253914495</v>
      </c>
      <c r="K56" s="98">
        <f>'[5]templet worksheet 2557'!K144</f>
        <v>0</v>
      </c>
      <c r="L56" s="28"/>
      <c r="M56" s="99">
        <f>'[5]templet worksheet 2557'!M144</f>
        <v>53.694584568027771</v>
      </c>
      <c r="N56" s="98">
        <f>'[5]templet worksheet 2557'!N144</f>
        <v>0</v>
      </c>
    </row>
    <row r="57" spans="1:14" s="22" customFormat="1" x14ac:dyDescent="0.2">
      <c r="A57" s="27" t="str">
        <f>'[5]templet worksheet 2557'!A145</f>
        <v>55-64</v>
      </c>
      <c r="B57" s="28">
        <f>'[5]templet worksheet 2557'!B145</f>
        <v>3562058</v>
      </c>
      <c r="C57" s="46">
        <f>'[5]templet worksheet 2557'!C145</f>
        <v>21.231192660550459</v>
      </c>
      <c r="D57" s="42">
        <f>'[5]templet worksheet 2557'!D145</f>
        <v>0.59603725319886591</v>
      </c>
      <c r="E57" s="28">
        <f>'[5]templet worksheet 2557'!E145</f>
        <v>0.5</v>
      </c>
      <c r="F57" s="128">
        <f>'[5]templet worksheet 2557'!F145</f>
        <v>9.5500000000000007</v>
      </c>
      <c r="G57" s="28"/>
      <c r="H57" s="28">
        <f>'[5]templet worksheet 2557'!H145</f>
        <v>0.11</v>
      </c>
      <c r="I57" s="28">
        <f>'[5]templet worksheet 2557'!I145</f>
        <v>25.381890825688075</v>
      </c>
      <c r="J57" s="46">
        <f>'[5]templet worksheet 2557'!J145</f>
        <v>19.392869576443008</v>
      </c>
      <c r="K57" s="98">
        <f>'[5]templet worksheet 2557'!K145</f>
        <v>0</v>
      </c>
      <c r="L57" s="28"/>
      <c r="M57" s="99">
        <f>'[5]templet worksheet 2557'!M145</f>
        <v>17.461936740481971</v>
      </c>
      <c r="N57" s="98">
        <f>'[5]templet worksheet 2557'!N145</f>
        <v>0</v>
      </c>
    </row>
    <row r="58" spans="1:14" s="22" customFormat="1" x14ac:dyDescent="0.2">
      <c r="A58" s="27" t="str">
        <f>'[5]templet worksheet 2557'!A146</f>
        <v>65-74</v>
      </c>
      <c r="B58" s="28">
        <f>'[5]templet worksheet 2557'!B146</f>
        <v>1977869.5356088658</v>
      </c>
      <c r="C58" s="46">
        <f>'[5]templet worksheet 2557'!C146</f>
        <v>8.0880733944954137</v>
      </c>
      <c r="D58" s="42">
        <f>'[5]templet worksheet 2557'!D146</f>
        <v>0.40892855918353521</v>
      </c>
      <c r="E58" s="28">
        <f>'[5]templet worksheet 2557'!E146</f>
        <v>0.5</v>
      </c>
      <c r="F58" s="128">
        <f>'[5]templet worksheet 2557'!F146</f>
        <v>6.37</v>
      </c>
      <c r="G58" s="28"/>
      <c r="H58" s="28">
        <f>'[5]templet worksheet 2557'!H146</f>
        <v>0.11</v>
      </c>
      <c r="I58" s="28">
        <f>'[5]templet worksheet 2557'!I146</f>
        <v>6.8400836697247716</v>
      </c>
      <c r="J58" s="46">
        <f>'[5]templet worksheet 2557'!J146</f>
        <v>5.158708634334821</v>
      </c>
      <c r="K58" s="98">
        <f>'[5]templet worksheet 2557'!K146</f>
        <v>0</v>
      </c>
      <c r="L58" s="28"/>
      <c r="M58" s="99">
        <f>'[5]templet worksheet 2557'!M146</f>
        <v>3.8797755953136526</v>
      </c>
      <c r="N58" s="98">
        <f>'[5]templet worksheet 2557'!N146</f>
        <v>0</v>
      </c>
    </row>
    <row r="59" spans="1:14" s="22" customFormat="1" x14ac:dyDescent="0.2">
      <c r="A59" s="27" t="str">
        <f>'[5]templet worksheet 2557'!A147</f>
        <v>75+</v>
      </c>
      <c r="B59" s="28">
        <f>'[5]templet worksheet 2557'!B147</f>
        <v>1458962.4462073003</v>
      </c>
      <c r="C59" s="46">
        <f>'[5]templet worksheet 2557'!C147</f>
        <v>0</v>
      </c>
      <c r="D59" s="42">
        <f>'[5]templet worksheet 2557'!D147</f>
        <v>0</v>
      </c>
      <c r="E59" s="28">
        <f>'[5]templet worksheet 2557'!E147</f>
        <v>0.5</v>
      </c>
      <c r="F59" s="128">
        <f>'[5]templet worksheet 2557'!F147</f>
        <v>0</v>
      </c>
      <c r="G59" s="28"/>
      <c r="H59" s="28">
        <f>'[5]templet worksheet 2557'!H147</f>
        <v>0.11</v>
      </c>
      <c r="I59" s="28">
        <f>'[5]templet worksheet 2557'!I147</f>
        <v>0</v>
      </c>
      <c r="J59" s="46">
        <f>'[5]templet worksheet 2557'!J147</f>
        <v>0</v>
      </c>
      <c r="K59" s="98">
        <f>'[5]templet worksheet 2557'!K147</f>
        <v>0</v>
      </c>
      <c r="L59" s="28"/>
      <c r="M59" s="99">
        <f>'[5]templet worksheet 2557'!M147</f>
        <v>0</v>
      </c>
      <c r="N59" s="98">
        <f>'[5]templet worksheet 2557'!N147</f>
        <v>0</v>
      </c>
    </row>
    <row r="60" spans="1:14" s="22" customFormat="1" x14ac:dyDescent="0.2">
      <c r="A60" s="27" t="str">
        <f>'[5]templet worksheet 2557'!A148</f>
        <v>Total</v>
      </c>
      <c r="B60" s="28">
        <f>'[5]templet worksheet 2557'!B148</f>
        <v>33032823.157106262</v>
      </c>
      <c r="C60" s="46">
        <f>'[5]templet worksheet 2557'!C148</f>
        <v>186.02568807339449</v>
      </c>
      <c r="D60" s="42">
        <f>'[5]templet worksheet 2557'!D148</f>
        <v>0.56315407008551521</v>
      </c>
      <c r="E60" s="28">
        <f>'[5]templet worksheet 2557'!E148</f>
        <v>0.5</v>
      </c>
      <c r="F60" s="128">
        <f>'[5]templet worksheet 2557'!F148</f>
        <v>0</v>
      </c>
      <c r="G60" s="28"/>
      <c r="H60" s="28">
        <f>'[5]templet worksheet 2557'!H148</f>
        <v>0.11</v>
      </c>
      <c r="I60" s="28">
        <f>'[5]templet worksheet 2557'!I148</f>
        <v>329.93253174311928</v>
      </c>
      <c r="J60" s="46">
        <f>'[5]templet worksheet 2557'!J148</f>
        <v>242.41081243301315</v>
      </c>
      <c r="K60" s="98">
        <f>'[5]templet worksheet 2557'!K148</f>
        <v>0</v>
      </c>
      <c r="L60" s="28"/>
      <c r="M60" s="99">
        <f>'[5]templet worksheet 2557'!M148</f>
        <v>303.89336004177881</v>
      </c>
      <c r="N60" s="98">
        <f>'[5]templet worksheet 2557'!N148</f>
        <v>0</v>
      </c>
    </row>
    <row r="61" spans="1:14" s="22" customFormat="1" x14ac:dyDescent="0.2">
      <c r="A61" s="30"/>
      <c r="B61" s="31"/>
      <c r="C61" s="31"/>
      <c r="D61" s="31"/>
      <c r="E61" s="31"/>
      <c r="F61" s="218"/>
      <c r="G61" s="31"/>
      <c r="H61" s="31"/>
      <c r="I61" s="31"/>
      <c r="J61" s="31"/>
      <c r="K61" s="32"/>
      <c r="L61" s="28"/>
      <c r="M61" s="30"/>
      <c r="N61" s="32"/>
    </row>
    <row r="62" spans="1:14" s="22" customFormat="1" x14ac:dyDescent="0.2">
      <c r="J62" s="28"/>
      <c r="L62" s="28"/>
    </row>
    <row r="63" spans="1:14" s="22" customFormat="1" x14ac:dyDescent="0.2">
      <c r="A63" s="23" t="s">
        <v>194</v>
      </c>
      <c r="J63" s="28"/>
    </row>
    <row r="64" spans="1:14" s="22" customFormat="1" x14ac:dyDescent="0.2">
      <c r="J64" s="28"/>
    </row>
    <row r="65" spans="1:12" s="22" customFormat="1" x14ac:dyDescent="0.2">
      <c r="A65" s="24" t="str">
        <f>'[5]templet worksheet 2557'!A155</f>
        <v>Thailand</v>
      </c>
      <c r="B65" s="25" t="str">
        <f>'[5]templet worksheet 2557'!B155</f>
        <v>Population</v>
      </c>
      <c r="C65" s="25" t="str">
        <f>'[5]templet worksheet 2557'!C155</f>
        <v>Incidence</v>
      </c>
      <c r="D65" s="25" t="str">
        <f>'[5]templet worksheet 2557'!D155</f>
        <v>Incidence rate</v>
      </c>
      <c r="E65" s="25" t="str">
        <f>'[5]templet worksheet 2557'!E155</f>
        <v>Duration</v>
      </c>
      <c r="F65" s="25" t="str">
        <f>'[5]templet worksheet 2557'!F155</f>
        <v>Age at onset</v>
      </c>
      <c r="G65" s="25" t="str">
        <f>'[5]templet worksheet 2557'!G155</f>
        <v>Disability weight</v>
      </c>
      <c r="H65" s="25" t="str">
        <f>'[5]templet worksheet 2557'!H155</f>
        <v>YLD</v>
      </c>
      <c r="I65" s="26" t="str">
        <f>'[5]templet worksheet 2557'!I155</f>
        <v>YLD</v>
      </c>
      <c r="J65" s="28"/>
      <c r="K65" s="182" t="str">
        <f>'[5]templet worksheet 2557'!K155</f>
        <v>age at onset</v>
      </c>
      <c r="L65" s="183" t="str">
        <f>'[5]templet worksheet 2557'!L155</f>
        <v>YLDs</v>
      </c>
    </row>
    <row r="66" spans="1:12" s="22" customFormat="1" x14ac:dyDescent="0.2">
      <c r="A66" s="30"/>
      <c r="B66" s="31">
        <f>'[5]templet worksheet 2557'!B156</f>
        <v>2014</v>
      </c>
      <c r="C66" s="31"/>
      <c r="D66" s="31" t="str">
        <f>'[5]templet worksheet 2557'!D156</f>
        <v>(per 100,000)</v>
      </c>
      <c r="E66" s="31"/>
      <c r="F66" s="31"/>
      <c r="G66" s="31"/>
      <c r="H66" s="31" t="str">
        <f>'[5]templet worksheet 2557'!H156</f>
        <v>(0,0)</v>
      </c>
      <c r="I66" s="32" t="str">
        <f>'[5]templet worksheet 2557'!I156</f>
        <v>(3,0)</v>
      </c>
      <c r="J66" s="28"/>
      <c r="K66" s="184">
        <f>'[5]templet worksheet 2557'!K156</f>
        <v>0</v>
      </c>
      <c r="L66" s="185" t="str">
        <f>'[5]templet worksheet 2557'!L156</f>
        <v>(3,1)</v>
      </c>
    </row>
    <row r="67" spans="1:12" s="22" customFormat="1" x14ac:dyDescent="0.2">
      <c r="A67" s="27"/>
      <c r="B67" s="28"/>
      <c r="C67" s="28"/>
      <c r="D67" s="28"/>
      <c r="E67" s="28"/>
      <c r="F67" s="28"/>
      <c r="G67" s="28"/>
      <c r="H67" s="28"/>
      <c r="I67" s="29"/>
      <c r="J67" s="28"/>
      <c r="K67" s="27"/>
      <c r="L67" s="29"/>
    </row>
    <row r="68" spans="1:12" s="22" customFormat="1" x14ac:dyDescent="0.2">
      <c r="A68" s="27"/>
      <c r="B68" s="28"/>
      <c r="C68" s="28"/>
      <c r="D68" s="28"/>
      <c r="E68" s="28"/>
      <c r="F68" s="28"/>
      <c r="G68" s="28"/>
      <c r="H68" s="28"/>
      <c r="I68" s="29"/>
      <c r="J68" s="28"/>
      <c r="K68" s="27"/>
      <c r="L68" s="29"/>
    </row>
    <row r="69" spans="1:12" s="22" customFormat="1" x14ac:dyDescent="0.2">
      <c r="A69" s="48" t="str">
        <f>'[5]templet worksheet 2557'!A159</f>
        <v>Males</v>
      </c>
      <c r="B69" s="28"/>
      <c r="C69" s="28"/>
      <c r="D69" s="28"/>
      <c r="E69" s="28"/>
      <c r="F69" s="28"/>
      <c r="G69" s="28"/>
      <c r="H69" s="28"/>
      <c r="I69" s="29"/>
      <c r="J69" s="28"/>
      <c r="K69" s="27"/>
      <c r="L69" s="29"/>
    </row>
    <row r="70" spans="1:12" s="22" customFormat="1" x14ac:dyDescent="0.2">
      <c r="A70" s="27" t="str">
        <f>'[5]templet worksheet 2557'!A160</f>
        <v>0-4</v>
      </c>
      <c r="B70" s="28">
        <f>'[5]templet worksheet 2557'!B160</f>
        <v>1966319</v>
      </c>
      <c r="C70" s="46">
        <f>'[5]templet worksheet 2557'!C160</f>
        <v>0</v>
      </c>
      <c r="D70" s="42">
        <f>'[5]templet worksheet 2557'!D160</f>
        <v>0</v>
      </c>
      <c r="E70" s="28">
        <f>'[5]templet worksheet 2557'!E160</f>
        <v>1</v>
      </c>
      <c r="F70" s="28"/>
      <c r="G70" s="28">
        <f>'[5]templet worksheet 2557'!G160</f>
        <v>0.104</v>
      </c>
      <c r="H70" s="46">
        <f>'[5]templet worksheet 2557'!H160</f>
        <v>0</v>
      </c>
      <c r="I70" s="98">
        <f>'[5]templet worksheet 2557'!I160</f>
        <v>0</v>
      </c>
      <c r="J70" s="28"/>
      <c r="K70" s="99">
        <f>'[5]templet worksheet 2557'!K160</f>
        <v>2.5</v>
      </c>
      <c r="L70" s="98">
        <f>'[5]templet worksheet 2557'!L160</f>
        <v>0</v>
      </c>
    </row>
    <row r="71" spans="1:12" s="22" customFormat="1" x14ac:dyDescent="0.2">
      <c r="A71" s="27" t="str">
        <f>'[5]templet worksheet 2557'!A161</f>
        <v>5-14</v>
      </c>
      <c r="B71" s="28">
        <f>'[5]templet worksheet 2557'!B161</f>
        <v>4179206</v>
      </c>
      <c r="C71" s="46">
        <f>'[5]templet worksheet 2557'!C161</f>
        <v>14.223945843848099</v>
      </c>
      <c r="D71" s="42">
        <f>'[5]templet worksheet 2557'!D161</f>
        <v>0.34035043603612986</v>
      </c>
      <c r="E71" s="28">
        <f>'[5]templet worksheet 2557'!E161</f>
        <v>1</v>
      </c>
      <c r="F71" s="28"/>
      <c r="G71" s="28">
        <f>'[5]templet worksheet 2557'!G161</f>
        <v>0.104</v>
      </c>
      <c r="H71" s="46">
        <f>'[5]templet worksheet 2557'!H161</f>
        <v>1.4792903677602023</v>
      </c>
      <c r="I71" s="98">
        <f>'[5]templet worksheet 2557'!I161</f>
        <v>1.4573212515327978</v>
      </c>
      <c r="J71" s="28"/>
      <c r="K71" s="99">
        <f>'[5]templet worksheet 2557'!K161</f>
        <v>10</v>
      </c>
      <c r="L71" s="98">
        <f>'[5]templet worksheet 2557'!L161</f>
        <v>1.6663126750127757</v>
      </c>
    </row>
    <row r="72" spans="1:12" s="22" customFormat="1" x14ac:dyDescent="0.2">
      <c r="A72" s="27" t="str">
        <f>'[5]templet worksheet 2557'!A162</f>
        <v>15-24</v>
      </c>
      <c r="B72" s="28">
        <f>'[5]templet worksheet 2557'!B162</f>
        <v>4935213</v>
      </c>
      <c r="C72" s="46">
        <f>'[5]templet worksheet 2557'!C162</f>
        <v>60.451769836354437</v>
      </c>
      <c r="D72" s="42">
        <f>'[5]templet worksheet 2557'!D162</f>
        <v>1.2249070067766972</v>
      </c>
      <c r="E72" s="28">
        <f>'[5]templet worksheet 2557'!E162</f>
        <v>1</v>
      </c>
      <c r="F72" s="28"/>
      <c r="G72" s="28">
        <f>'[5]templet worksheet 2557'!G162</f>
        <v>0.104</v>
      </c>
      <c r="H72" s="46">
        <f>'[5]templet worksheet 2557'!H162</f>
        <v>6.2869840629808609</v>
      </c>
      <c r="I72" s="98">
        <f>'[5]templet worksheet 2557'!I162</f>
        <v>6.1936153190143912</v>
      </c>
      <c r="J72" s="28"/>
      <c r="K72" s="99">
        <f>'[5]templet worksheet 2557'!K162</f>
        <v>20</v>
      </c>
      <c r="L72" s="98">
        <f>'[5]templet worksheet 2557'!L162</f>
        <v>9.2706445933342216</v>
      </c>
    </row>
    <row r="73" spans="1:12" s="22" customFormat="1" x14ac:dyDescent="0.2">
      <c r="A73" s="27" t="str">
        <f>'[5]templet worksheet 2557'!A163</f>
        <v>25-34</v>
      </c>
      <c r="B73" s="28">
        <f>'[5]templet worksheet 2557'!B163</f>
        <v>4969108</v>
      </c>
      <c r="C73" s="46">
        <f>'[5]templet worksheet 2557'!C163</f>
        <v>353.46505421962536</v>
      </c>
      <c r="D73" s="42">
        <f>'[5]templet worksheet 2557'!D163</f>
        <v>7.1132495856323787</v>
      </c>
      <c r="E73" s="28">
        <f>'[5]templet worksheet 2557'!E163</f>
        <v>1</v>
      </c>
      <c r="F73" s="28"/>
      <c r="G73" s="28">
        <f>'[5]templet worksheet 2557'!G163</f>
        <v>0.104</v>
      </c>
      <c r="H73" s="46">
        <f>'[5]templet worksheet 2557'!H163</f>
        <v>36.760365638841037</v>
      </c>
      <c r="I73" s="98">
        <f>'[5]templet worksheet 2557'!I163</f>
        <v>36.214433100590036</v>
      </c>
      <c r="J73" s="28"/>
      <c r="K73" s="99">
        <f>'[5]templet worksheet 2557'!K163</f>
        <v>30</v>
      </c>
      <c r="L73" s="98">
        <f>'[5]templet worksheet 2557'!L163</f>
        <v>54.064987232608814</v>
      </c>
    </row>
    <row r="74" spans="1:12" s="22" customFormat="1" x14ac:dyDescent="0.2">
      <c r="A74" s="27" t="str">
        <f>'[5]templet worksheet 2557'!A164</f>
        <v>35-44</v>
      </c>
      <c r="B74" s="28">
        <f>'[5]templet worksheet 2557'!B164</f>
        <v>5294266</v>
      </c>
      <c r="C74" s="46">
        <f>'[5]templet worksheet 2557'!C164</f>
        <v>414.62802134817213</v>
      </c>
      <c r="D74" s="42">
        <f>'[5]templet worksheet 2557'!D164</f>
        <v>7.8316431654203269</v>
      </c>
      <c r="E74" s="28">
        <f>'[5]templet worksheet 2557'!E164</f>
        <v>1</v>
      </c>
      <c r="F74" s="28"/>
      <c r="G74" s="28">
        <f>'[5]templet worksheet 2557'!G164</f>
        <v>0.104</v>
      </c>
      <c r="H74" s="46">
        <f>'[5]templet worksheet 2557'!H164</f>
        <v>43.121314220209896</v>
      </c>
      <c r="I74" s="98">
        <f>'[5]templet worksheet 2557'!I164</f>
        <v>42.480914482181056</v>
      </c>
      <c r="J74" s="28"/>
      <c r="K74" s="99">
        <f>'[5]templet worksheet 2557'!K164</f>
        <v>40</v>
      </c>
      <c r="L74" s="98">
        <f>'[5]templet worksheet 2557'!L164</f>
        <v>56.452889093219277</v>
      </c>
    </row>
    <row r="75" spans="1:12" s="22" customFormat="1" x14ac:dyDescent="0.2">
      <c r="A75" s="27" t="str">
        <f>'[5]templet worksheet 2557'!A165</f>
        <v>45-54</v>
      </c>
      <c r="B75" s="28">
        <f>'[5]templet worksheet 2557'!B165</f>
        <v>4801101</v>
      </c>
      <c r="C75" s="46">
        <f>'[5]templet worksheet 2557'!C165</f>
        <v>834.23442374169099</v>
      </c>
      <c r="D75" s="42">
        <f>'[5]templet worksheet 2557'!D165</f>
        <v>17.375898231295093</v>
      </c>
      <c r="E75" s="28">
        <f>'[5]templet worksheet 2557'!E165</f>
        <v>1</v>
      </c>
      <c r="F75" s="28"/>
      <c r="G75" s="28">
        <f>'[5]templet worksheet 2557'!G165</f>
        <v>0.104</v>
      </c>
      <c r="H75" s="46">
        <f>'[5]templet worksheet 2557'!H165</f>
        <v>86.760380069135863</v>
      </c>
      <c r="I75" s="98">
        <f>'[5]templet worksheet 2557'!I165</f>
        <v>85.471891402398597</v>
      </c>
      <c r="J75" s="28"/>
      <c r="K75" s="99">
        <f>'[5]templet worksheet 2557'!K165</f>
        <v>50</v>
      </c>
      <c r="L75" s="98">
        <f>'[5]templet worksheet 2557'!L165</f>
        <v>94.939421158520219</v>
      </c>
    </row>
    <row r="76" spans="1:12" s="22" customFormat="1" x14ac:dyDescent="0.2">
      <c r="A76" s="27" t="str">
        <f>'[5]templet worksheet 2557'!A166</f>
        <v>55-64</v>
      </c>
      <c r="B76" s="28">
        <f>'[5]templet worksheet 2557'!B166</f>
        <v>3135377</v>
      </c>
      <c r="C76" s="46">
        <f>'[5]templet worksheet 2557'!C166</f>
        <v>1345.5852768280304</v>
      </c>
      <c r="D76" s="42">
        <f>'[5]templet worksheet 2557'!D166</f>
        <v>42.916219543232927</v>
      </c>
      <c r="E76" s="28">
        <f>'[5]templet worksheet 2557'!E166</f>
        <v>1</v>
      </c>
      <c r="F76" s="28"/>
      <c r="G76" s="28">
        <f>'[5]templet worksheet 2557'!G166</f>
        <v>0.104</v>
      </c>
      <c r="H76" s="46">
        <f>'[5]templet worksheet 2557'!H166</f>
        <v>139.94086879011516</v>
      </c>
      <c r="I76" s="98">
        <f>'[5]templet worksheet 2557'!I166</f>
        <v>137.86259039500271</v>
      </c>
      <c r="J76" s="28"/>
      <c r="K76" s="99">
        <f>'[5]templet worksheet 2557'!K166</f>
        <v>59.9</v>
      </c>
      <c r="L76" s="98">
        <f>'[5]templet worksheet 2557'!L166</f>
        <v>123.26587642692782</v>
      </c>
    </row>
    <row r="77" spans="1:12" s="22" customFormat="1" x14ac:dyDescent="0.2">
      <c r="A77" s="27" t="str">
        <f>'[5]templet worksheet 2557'!A167</f>
        <v>65-74</v>
      </c>
      <c r="B77" s="28">
        <f>'[5]templet worksheet 2557'!B167</f>
        <v>1636415</v>
      </c>
      <c r="C77" s="46">
        <f>'[5]templet worksheet 2557'!C167</f>
        <v>1009.9001549132153</v>
      </c>
      <c r="D77" s="42">
        <f>'[5]templet worksheet 2557'!D167</f>
        <v>61.714183438383003</v>
      </c>
      <c r="E77" s="28">
        <f>'[5]templet worksheet 2557'!E167</f>
        <v>1</v>
      </c>
      <c r="F77" s="28"/>
      <c r="G77" s="28">
        <f>'[5]templet worksheet 2557'!G167</f>
        <v>0.104</v>
      </c>
      <c r="H77" s="46">
        <f>'[5]templet worksheet 2557'!H167</f>
        <v>105.02961611097439</v>
      </c>
      <c r="I77" s="98">
        <f>'[5]templet worksheet 2557'!I167</f>
        <v>103.46980885882867</v>
      </c>
      <c r="J77" s="28"/>
      <c r="K77" s="99">
        <f>'[5]templet worksheet 2557'!K167</f>
        <v>69.8</v>
      </c>
      <c r="L77" s="98">
        <f>'[5]templet worksheet 2557'!L167</f>
        <v>72.469248631328284</v>
      </c>
    </row>
    <row r="78" spans="1:12" s="22" customFormat="1" x14ac:dyDescent="0.2">
      <c r="A78" s="27" t="str">
        <f>'[5]templet worksheet 2557'!A168</f>
        <v>75+</v>
      </c>
      <c r="B78" s="28">
        <f>'[5]templet worksheet 2557'!B168</f>
        <v>1005485</v>
      </c>
      <c r="C78" s="46">
        <f>'[5]templet worksheet 2557'!C168</f>
        <v>626.56481442150891</v>
      </c>
      <c r="D78" s="42">
        <f>'[5]templet worksheet 2557'!D168</f>
        <v>62.314685392771544</v>
      </c>
      <c r="E78" s="28">
        <f>'[5]templet worksheet 2557'!E168</f>
        <v>1</v>
      </c>
      <c r="F78" s="28"/>
      <c r="G78" s="28">
        <f>'[5]templet worksheet 2557'!G168</f>
        <v>0.104</v>
      </c>
      <c r="H78" s="46">
        <f>'[5]templet worksheet 2557'!H168</f>
        <v>65.162740699836931</v>
      </c>
      <c r="I78" s="98">
        <f>'[5]templet worksheet 2557'!I168</f>
        <v>64.195001130019762</v>
      </c>
      <c r="J78" s="28"/>
      <c r="K78" s="99">
        <f>'[5]templet worksheet 2557'!K168</f>
        <v>80.7</v>
      </c>
      <c r="L78" s="98">
        <f>'[5]templet worksheet 2557'!L168</f>
        <v>33.581065365925703</v>
      </c>
    </row>
    <row r="79" spans="1:12" s="22" customFormat="1" x14ac:dyDescent="0.2">
      <c r="A79" s="27" t="str">
        <f>'[5]templet worksheet 2557'!A169</f>
        <v>Total</v>
      </c>
      <c r="B79" s="28">
        <f>'[5]templet worksheet 2557'!B169</f>
        <v>31922490</v>
      </c>
      <c r="C79" s="46">
        <f>'[5]templet worksheet 2557'!C169</f>
        <v>4659.0534611524463</v>
      </c>
      <c r="D79" s="42">
        <f>'[5]templet worksheet 2557'!D169</f>
        <v>0</v>
      </c>
      <c r="E79" s="28">
        <f>'[5]templet worksheet 2557'!E169</f>
        <v>1</v>
      </c>
      <c r="F79" s="28"/>
      <c r="G79" s="28">
        <f>'[5]templet worksheet 2557'!G169</f>
        <v>0.104</v>
      </c>
      <c r="H79" s="46">
        <f>'[5]templet worksheet 2557'!H169</f>
        <v>484.54155995985434</v>
      </c>
      <c r="I79" s="98">
        <f>'[5]templet worksheet 2557'!I169</f>
        <v>477.34557593956805</v>
      </c>
      <c r="J79" s="28"/>
      <c r="K79" s="99">
        <f>'[5]templet worksheet 2557'!K169</f>
        <v>0</v>
      </c>
      <c r="L79" s="98">
        <f>'[5]templet worksheet 2557'!L169</f>
        <v>445.71044517687716</v>
      </c>
    </row>
    <row r="80" spans="1:12" s="22" customFormat="1" x14ac:dyDescent="0.2">
      <c r="A80" s="27"/>
      <c r="B80" s="28"/>
      <c r="C80" s="46"/>
      <c r="D80" s="42"/>
      <c r="E80" s="28"/>
      <c r="F80" s="28"/>
      <c r="G80" s="28"/>
      <c r="H80" s="46"/>
      <c r="I80" s="98"/>
      <c r="J80" s="28"/>
      <c r="K80" s="99"/>
      <c r="L80" s="98"/>
    </row>
    <row r="81" spans="1:12" s="22" customFormat="1" x14ac:dyDescent="0.2">
      <c r="A81" s="48" t="str">
        <f>'[5]templet worksheet 2557'!A171</f>
        <v>Females</v>
      </c>
      <c r="B81" s="28"/>
      <c r="C81" s="46"/>
      <c r="D81" s="42"/>
      <c r="E81" s="28"/>
      <c r="F81" s="28"/>
      <c r="G81" s="28"/>
      <c r="H81" s="46"/>
      <c r="I81" s="98"/>
      <c r="J81" s="28"/>
      <c r="K81" s="99"/>
      <c r="L81" s="98"/>
    </row>
    <row r="82" spans="1:12" s="22" customFormat="1" x14ac:dyDescent="0.2">
      <c r="A82" s="27" t="str">
        <f>'[5]templet worksheet 2557'!A172</f>
        <v>0-4</v>
      </c>
      <c r="B82" s="28">
        <f>'[5]templet worksheet 2557'!B172</f>
        <v>1849075</v>
      </c>
      <c r="C82" s="46">
        <f>'[5]templet worksheet 2557'!C172</f>
        <v>0</v>
      </c>
      <c r="D82" s="42">
        <f>'[5]templet worksheet 2557'!D172</f>
        <v>0</v>
      </c>
      <c r="E82" s="28">
        <f>'[5]templet worksheet 2557'!E172</f>
        <v>1</v>
      </c>
      <c r="F82" s="28"/>
      <c r="G82" s="28">
        <f>'[5]templet worksheet 2557'!G172</f>
        <v>0.104</v>
      </c>
      <c r="H82" s="46">
        <f>'[5]templet worksheet 2557'!H172</f>
        <v>0</v>
      </c>
      <c r="I82" s="98">
        <f>'[5]templet worksheet 2557'!I172</f>
        <v>0</v>
      </c>
      <c r="J82" s="28"/>
      <c r="K82" s="99">
        <f>'[5]templet worksheet 2557'!K172</f>
        <v>2.5</v>
      </c>
      <c r="L82" s="98">
        <f>'[5]templet worksheet 2557'!L172</f>
        <v>0</v>
      </c>
    </row>
    <row r="83" spans="1:12" s="22" customFormat="1" x14ac:dyDescent="0.2">
      <c r="A83" s="27" t="str">
        <f>'[5]templet worksheet 2557'!A173</f>
        <v>5-14</v>
      </c>
      <c r="B83" s="28">
        <f>'[5]templet worksheet 2557'!B173</f>
        <v>3940160</v>
      </c>
      <c r="C83" s="46">
        <f>'[5]templet worksheet 2557'!C173</f>
        <v>14.736803784693542</v>
      </c>
      <c r="D83" s="42">
        <f>'[5]templet worksheet 2557'!D173</f>
        <v>0.37401536446980688</v>
      </c>
      <c r="E83" s="28">
        <f>'[5]templet worksheet 2557'!E173</f>
        <v>1</v>
      </c>
      <c r="F83" s="28"/>
      <c r="G83" s="28">
        <f>'[5]templet worksheet 2557'!G173</f>
        <v>0.104</v>
      </c>
      <c r="H83" s="46">
        <f>'[5]templet worksheet 2557'!H173</f>
        <v>1.5326275936081284</v>
      </c>
      <c r="I83" s="98">
        <f>'[5]templet worksheet 2557'!I173</f>
        <v>1.5098663599307371</v>
      </c>
      <c r="J83" s="28"/>
      <c r="K83" s="99">
        <f>'[5]templet worksheet 2557'!K173</f>
        <v>10</v>
      </c>
      <c r="L83" s="98">
        <f>'[5]templet worksheet 2557'!L173</f>
        <v>1.7263931686179539</v>
      </c>
    </row>
    <row r="84" spans="1:12" s="22" customFormat="1" x14ac:dyDescent="0.2">
      <c r="A84" s="27" t="str">
        <f>'[5]templet worksheet 2557'!A174</f>
        <v>15-24</v>
      </c>
      <c r="B84" s="28">
        <f>'[5]templet worksheet 2557'!B174</f>
        <v>4717317.1752900956</v>
      </c>
      <c r="C84" s="46">
        <f>'[5]templet worksheet 2557'!C174</f>
        <v>90.526080391688893</v>
      </c>
      <c r="D84" s="42">
        <f>'[5]templet worksheet 2557'!D174</f>
        <v>1.9190161913613943</v>
      </c>
      <c r="E84" s="28">
        <f>'[5]templet worksheet 2557'!E174</f>
        <v>1</v>
      </c>
      <c r="F84" s="28"/>
      <c r="G84" s="28">
        <f>'[5]templet worksheet 2557'!G174</f>
        <v>0.104</v>
      </c>
      <c r="H84" s="46">
        <f>'[5]templet worksheet 2557'!H174</f>
        <v>9.4147123607356438</v>
      </c>
      <c r="I84" s="98">
        <f>'[5]templet worksheet 2557'!I174</f>
        <v>9.2748933538602412</v>
      </c>
      <c r="J84" s="28"/>
      <c r="K84" s="99">
        <f>'[5]templet worksheet 2557'!K174</f>
        <v>20</v>
      </c>
      <c r="L84" s="98">
        <f>'[5]templet worksheet 2557'!L174</f>
        <v>13.88272204454552</v>
      </c>
    </row>
    <row r="85" spans="1:12" s="22" customFormat="1" x14ac:dyDescent="0.2">
      <c r="A85" s="27" t="str">
        <f>'[5]templet worksheet 2557'!A175</f>
        <v>25-34</v>
      </c>
      <c r="B85" s="28">
        <f>'[5]templet worksheet 2557'!B175</f>
        <v>4883263</v>
      </c>
      <c r="C85" s="46">
        <f>'[5]templet worksheet 2557'!C175</f>
        <v>434.73571164845947</v>
      </c>
      <c r="D85" s="42">
        <f>'[5]templet worksheet 2557'!D175</f>
        <v>8.902566002454904</v>
      </c>
      <c r="E85" s="28">
        <f>'[5]templet worksheet 2557'!E175</f>
        <v>1</v>
      </c>
      <c r="F85" s="28"/>
      <c r="G85" s="28">
        <f>'[5]templet worksheet 2557'!G175</f>
        <v>0.104</v>
      </c>
      <c r="H85" s="46">
        <f>'[5]templet worksheet 2557'!H175</f>
        <v>45.212514011439779</v>
      </c>
      <c r="I85" s="98">
        <f>'[5]templet worksheet 2557'!I175</f>
        <v>44.541057617956731</v>
      </c>
      <c r="J85" s="28"/>
      <c r="K85" s="99">
        <f>'[5]templet worksheet 2557'!K175</f>
        <v>30</v>
      </c>
      <c r="L85" s="98">
        <f>'[5]templet worksheet 2557'!L175</f>
        <v>66.495910753397638</v>
      </c>
    </row>
    <row r="86" spans="1:12" s="22" customFormat="1" x14ac:dyDescent="0.2">
      <c r="A86" s="27" t="str">
        <f>'[5]templet worksheet 2557'!A176</f>
        <v>35-44</v>
      </c>
      <c r="B86" s="28">
        <f>'[5]templet worksheet 2557'!B176</f>
        <v>5443392</v>
      </c>
      <c r="C86" s="46">
        <f>'[5]templet worksheet 2557'!C176</f>
        <v>541.05122466660566</v>
      </c>
      <c r="D86" s="42">
        <f>'[5]templet worksheet 2557'!D176</f>
        <v>9.9395969400441064</v>
      </c>
      <c r="E86" s="28">
        <f>'[5]templet worksheet 2557'!E176</f>
        <v>1</v>
      </c>
      <c r="F86" s="28"/>
      <c r="G86" s="28">
        <f>'[5]templet worksheet 2557'!G176</f>
        <v>0.104</v>
      </c>
      <c r="H86" s="46">
        <f>'[5]templet worksheet 2557'!H176</f>
        <v>56.269327365326987</v>
      </c>
      <c r="I86" s="98">
        <f>'[5]templet worksheet 2557'!I176</f>
        <v>55.433664928885619</v>
      </c>
      <c r="J86" s="28"/>
      <c r="K86" s="99">
        <f>'[5]templet worksheet 2557'!K176</f>
        <v>40</v>
      </c>
      <c r="L86" s="98">
        <f>'[5]templet worksheet 2557'!L176</f>
        <v>73.665799722218907</v>
      </c>
    </row>
    <row r="87" spans="1:12" s="22" customFormat="1" x14ac:dyDescent="0.2">
      <c r="A87" s="27" t="str">
        <f>'[5]templet worksheet 2557'!A177</f>
        <v>45-54</v>
      </c>
      <c r="B87" s="28">
        <f>'[5]templet worksheet 2557'!B177</f>
        <v>5200726</v>
      </c>
      <c r="C87" s="46">
        <f>'[5]templet worksheet 2557'!C177</f>
        <v>1108.4181703773072</v>
      </c>
      <c r="D87" s="42">
        <f>'[5]templet worksheet 2557'!D177</f>
        <v>21.312758456748291</v>
      </c>
      <c r="E87" s="28">
        <f>'[5]templet worksheet 2557'!E177</f>
        <v>1</v>
      </c>
      <c r="F87" s="28"/>
      <c r="G87" s="28">
        <f>'[5]templet worksheet 2557'!G177</f>
        <v>0.104</v>
      </c>
      <c r="H87" s="46">
        <f>'[5]templet worksheet 2557'!H177</f>
        <v>115.27548971923994</v>
      </c>
      <c r="I87" s="98">
        <f>'[5]templet worksheet 2557'!I177</f>
        <v>113.563519786219</v>
      </c>
      <c r="J87" s="28"/>
      <c r="K87" s="99">
        <f>'[5]templet worksheet 2557'!K177</f>
        <v>50</v>
      </c>
      <c r="L87" s="98">
        <f>'[5]templet worksheet 2557'!L177</f>
        <v>126.14269622826231</v>
      </c>
    </row>
    <row r="88" spans="1:12" s="22" customFormat="1" x14ac:dyDescent="0.2">
      <c r="A88" s="27" t="str">
        <f>'[5]templet worksheet 2557'!A178</f>
        <v>55-64</v>
      </c>
      <c r="B88" s="28">
        <f>'[5]templet worksheet 2557'!B178</f>
        <v>3562058</v>
      </c>
      <c r="C88" s="46">
        <f>'[5]templet worksheet 2557'!C178</f>
        <v>1556.8380569686963</v>
      </c>
      <c r="D88" s="42">
        <f>'[5]templet worksheet 2557'!D178</f>
        <v>43.706140017054643</v>
      </c>
      <c r="E88" s="28">
        <f>'[5]templet worksheet 2557'!E178</f>
        <v>1</v>
      </c>
      <c r="F88" s="28"/>
      <c r="G88" s="28">
        <f>'[5]templet worksheet 2557'!G178</f>
        <v>0.104</v>
      </c>
      <c r="H88" s="46">
        <f>'[5]templet worksheet 2557'!H178</f>
        <v>161.9111579247444</v>
      </c>
      <c r="I88" s="98">
        <f>'[5]templet worksheet 2557'!I178</f>
        <v>159.50659616696856</v>
      </c>
      <c r="J88" s="28"/>
      <c r="K88" s="99">
        <f>'[5]templet worksheet 2557'!K178</f>
        <v>59.9</v>
      </c>
      <c r="L88" s="98">
        <f>'[5]templet worksheet 2557'!L178</f>
        <v>142.61824267238003</v>
      </c>
    </row>
    <row r="89" spans="1:12" s="22" customFormat="1" x14ac:dyDescent="0.2">
      <c r="A89" s="27" t="str">
        <f>'[5]templet worksheet 2557'!A179</f>
        <v>65-74</v>
      </c>
      <c r="B89" s="28">
        <f>'[5]templet worksheet 2557'!B179</f>
        <v>1977869.5356088658</v>
      </c>
      <c r="C89" s="46">
        <f>'[5]templet worksheet 2557'!C179</f>
        <v>1542.1012531840029</v>
      </c>
      <c r="D89" s="42">
        <f>'[5]templet worksheet 2557'!D179</f>
        <v>77.967794408102023</v>
      </c>
      <c r="E89" s="28">
        <f>'[5]templet worksheet 2557'!E179</f>
        <v>1</v>
      </c>
      <c r="F89" s="28"/>
      <c r="G89" s="28">
        <f>'[5]templet worksheet 2557'!G179</f>
        <v>0.104</v>
      </c>
      <c r="H89" s="46">
        <f>'[5]templet worksheet 2557'!H179</f>
        <v>160.37853033113629</v>
      </c>
      <c r="I89" s="98">
        <f>'[5]templet worksheet 2557'!I179</f>
        <v>157.99672980703784</v>
      </c>
      <c r="J89" s="28"/>
      <c r="K89" s="99">
        <f>'[5]templet worksheet 2557'!K179</f>
        <v>69.900000000000006</v>
      </c>
      <c r="L89" s="98">
        <f>'[5]templet worksheet 2557'!L179</f>
        <v>110.3744156150122</v>
      </c>
    </row>
    <row r="90" spans="1:12" s="22" customFormat="1" x14ac:dyDescent="0.2">
      <c r="A90" s="27" t="str">
        <f>'[5]templet worksheet 2557'!A180</f>
        <v>75+</v>
      </c>
      <c r="B90" s="28">
        <f>'[5]templet worksheet 2557'!B180</f>
        <v>1458962.4462073003</v>
      </c>
      <c r="C90" s="46">
        <f>'[5]templet worksheet 2557'!C180</f>
        <v>1085.2603358585029</v>
      </c>
      <c r="D90" s="42">
        <f>'[5]templet worksheet 2557'!D180</f>
        <v>74.385762202428964</v>
      </c>
      <c r="E90" s="28">
        <f>'[5]templet worksheet 2557'!E180</f>
        <v>1</v>
      </c>
      <c r="F90" s="28"/>
      <c r="G90" s="28">
        <f>'[5]templet worksheet 2557'!G180</f>
        <v>0.104</v>
      </c>
      <c r="H90" s="46">
        <f>'[5]templet worksheet 2557'!H180</f>
        <v>112.8670749292843</v>
      </c>
      <c r="I90" s="98">
        <f>'[5]templet worksheet 2557'!I180</f>
        <v>111.19087264918498</v>
      </c>
      <c r="J90" s="28"/>
      <c r="K90" s="99">
        <f>'[5]templet worksheet 2557'!K180</f>
        <v>81.3</v>
      </c>
      <c r="L90" s="98">
        <f>'[5]templet worksheet 2557'!L180</f>
        <v>57.205374572623981</v>
      </c>
    </row>
    <row r="91" spans="1:12" s="22" customFormat="1" x14ac:dyDescent="0.2">
      <c r="A91" s="27" t="str">
        <f>'[5]templet worksheet 2557'!A181</f>
        <v>Total</v>
      </c>
      <c r="B91" s="28">
        <f>'[5]templet worksheet 2557'!B181</f>
        <v>33032823.157106262</v>
      </c>
      <c r="C91" s="46">
        <f>'[5]templet worksheet 2557'!C181</f>
        <v>6373.6676368799572</v>
      </c>
      <c r="D91" s="42">
        <f>'[5]templet worksheet 2557'!D181</f>
        <v>0</v>
      </c>
      <c r="E91" s="28">
        <f>'[5]templet worksheet 2557'!E181</f>
        <v>1</v>
      </c>
      <c r="F91" s="28"/>
      <c r="G91" s="28">
        <f>'[5]templet worksheet 2557'!G181</f>
        <v>0.104</v>
      </c>
      <c r="H91" s="46">
        <f>'[5]templet worksheet 2557'!H181</f>
        <v>662.8614342355155</v>
      </c>
      <c r="I91" s="98">
        <f>'[5]templet worksheet 2557'!I181</f>
        <v>653.01720067004362</v>
      </c>
      <c r="J91" s="28"/>
      <c r="K91" s="99">
        <f>'[5]templet worksheet 2557'!K181</f>
        <v>0</v>
      </c>
      <c r="L91" s="98">
        <f>'[5]templet worksheet 2557'!L181</f>
        <v>592.11155477705859</v>
      </c>
    </row>
    <row r="92" spans="1:12" s="22" customFormat="1" x14ac:dyDescent="0.2">
      <c r="A92" s="30"/>
      <c r="B92" s="31"/>
      <c r="C92" s="31"/>
      <c r="D92" s="31"/>
      <c r="E92" s="31"/>
      <c r="F92" s="31"/>
      <c r="G92" s="31"/>
      <c r="H92" s="31"/>
      <c r="I92" s="32"/>
      <c r="J92" s="28"/>
      <c r="K92" s="30"/>
      <c r="L92" s="32"/>
    </row>
    <row r="93" spans="1:12" s="22" customFormat="1" x14ac:dyDescent="0.2">
      <c r="J93" s="28"/>
    </row>
    <row r="95" spans="1:12" x14ac:dyDescent="0.2">
      <c r="A95" s="23" t="s">
        <v>195</v>
      </c>
    </row>
    <row r="96" spans="1:12" s="22" customFormat="1" x14ac:dyDescent="0.2">
      <c r="J96" s="28"/>
    </row>
    <row r="97" spans="1:13" x14ac:dyDescent="0.2">
      <c r="A97" s="374" t="s">
        <v>339</v>
      </c>
      <c r="B97" s="375"/>
      <c r="C97" s="375"/>
      <c r="D97" s="375"/>
      <c r="E97" s="375"/>
      <c r="F97" s="375"/>
      <c r="G97" s="375"/>
      <c r="H97" s="375"/>
      <c r="I97" s="375"/>
      <c r="K97" s="23" t="s">
        <v>204</v>
      </c>
    </row>
    <row r="98" spans="1:13" s="22" customFormat="1" x14ac:dyDescent="0.2">
      <c r="A98" s="450" t="s">
        <v>108</v>
      </c>
      <c r="B98" s="452" t="s">
        <v>200</v>
      </c>
      <c r="C98" s="448"/>
      <c r="D98" s="452" t="s">
        <v>201</v>
      </c>
      <c r="E98" s="449"/>
      <c r="F98" s="452" t="s">
        <v>202</v>
      </c>
      <c r="G98" s="449"/>
      <c r="H98" s="448" t="s">
        <v>203</v>
      </c>
      <c r="I98" s="449"/>
      <c r="J98" s="28"/>
      <c r="K98" s="197" t="str">
        <f t="shared" ref="K98:K107" si="0">A98</f>
        <v>Male</v>
      </c>
      <c r="L98" s="198" t="s">
        <v>205</v>
      </c>
      <c r="M98" s="199" t="s">
        <v>206</v>
      </c>
    </row>
    <row r="99" spans="1:13" s="22" customFormat="1" x14ac:dyDescent="0.2">
      <c r="A99" s="451"/>
      <c r="B99" s="376" t="s">
        <v>198</v>
      </c>
      <c r="C99" s="377" t="s">
        <v>199</v>
      </c>
      <c r="D99" s="376" t="s">
        <v>198</v>
      </c>
      <c r="E99" s="378" t="s">
        <v>199</v>
      </c>
      <c r="F99" s="376" t="s">
        <v>198</v>
      </c>
      <c r="G99" s="378" t="s">
        <v>199</v>
      </c>
      <c r="H99" s="377" t="s">
        <v>198</v>
      </c>
      <c r="I99" s="378" t="s">
        <v>199</v>
      </c>
      <c r="J99" s="28"/>
      <c r="K99" s="200"/>
      <c r="L99" s="201"/>
      <c r="M99" s="202"/>
    </row>
    <row r="100" spans="1:13" x14ac:dyDescent="0.2">
      <c r="A100" s="379" t="str">
        <f>[6]YLD!E117</f>
        <v>0-4</v>
      </c>
      <c r="B100" s="380">
        <f>[6]YLD!F117</f>
        <v>0</v>
      </c>
      <c r="C100" s="380">
        <f>[6]YLD!G117</f>
        <v>1</v>
      </c>
      <c r="D100" s="381">
        <f>B100/$B$110</f>
        <v>0</v>
      </c>
      <c r="E100" s="382">
        <f>C100/$C$110</f>
        <v>1.548467017652524E-4</v>
      </c>
      <c r="F100" s="383">
        <f t="shared" ref="F100:F110" si="1">D100*$B$111</f>
        <v>0</v>
      </c>
      <c r="G100" s="384">
        <f t="shared" ref="G100:G110" si="2">E100*$C$111</f>
        <v>9.7553422112109014E-3</v>
      </c>
      <c r="H100" s="385">
        <f>B100+F100</f>
        <v>0</v>
      </c>
      <c r="I100" s="386">
        <f>C100+G100</f>
        <v>1.0097553422112109</v>
      </c>
      <c r="K100" s="200" t="str">
        <f t="shared" si="0"/>
        <v>0-4</v>
      </c>
      <c r="L100" s="373">
        <f>'[5]templet worksheet 2557'!C193</f>
        <v>7.1428571428571425E-2</v>
      </c>
      <c r="M100" s="373">
        <f>'[5]templet worksheet 2557'!D193</f>
        <v>0.9285714285714286</v>
      </c>
    </row>
    <row r="101" spans="1:13" x14ac:dyDescent="0.2">
      <c r="A101" s="379" t="str">
        <f>[6]YLD!E118</f>
        <v>5-14</v>
      </c>
      <c r="B101" s="380">
        <f>[6]YLD!F118</f>
        <v>8</v>
      </c>
      <c r="C101" s="380">
        <f>[6]YLD!G118</f>
        <v>20</v>
      </c>
      <c r="D101" s="381">
        <f t="shared" ref="D101:D110" si="3">B101/$B$110</f>
        <v>2.5173064820641915E-3</v>
      </c>
      <c r="E101" s="382">
        <f t="shared" ref="E101:E110" si="4">C101/$C$110</f>
        <v>3.0969340353050479E-3</v>
      </c>
      <c r="F101" s="383">
        <f t="shared" si="1"/>
        <v>9.8174952800503465E-2</v>
      </c>
      <c r="G101" s="384">
        <f t="shared" si="2"/>
        <v>0.19510684422421801</v>
      </c>
      <c r="H101" s="385">
        <f t="shared" ref="H101:H110" si="5">B101+F101</f>
        <v>8.0981749528005036</v>
      </c>
      <c r="I101" s="386">
        <f t="shared" ref="I101:I110" si="6">C101+G101</f>
        <v>20.195106844224217</v>
      </c>
      <c r="K101" s="200" t="str">
        <f t="shared" si="0"/>
        <v>5-14</v>
      </c>
      <c r="L101" s="373">
        <f>'[5]templet worksheet 2557'!C194</f>
        <v>1.9607843137254902E-2</v>
      </c>
      <c r="M101" s="373">
        <f>'[5]templet worksheet 2557'!D194</f>
        <v>0.98039215686274506</v>
      </c>
    </row>
    <row r="102" spans="1:13" x14ac:dyDescent="0.2">
      <c r="A102" s="379" t="str">
        <f>[6]YLD!E119</f>
        <v>15-24</v>
      </c>
      <c r="B102" s="380">
        <f>[6]YLD!F119</f>
        <v>13</v>
      </c>
      <c r="C102" s="380">
        <f>[6]YLD!G119</f>
        <v>210</v>
      </c>
      <c r="D102" s="381">
        <f t="shared" si="3"/>
        <v>4.0906230333543105E-3</v>
      </c>
      <c r="E102" s="382">
        <f t="shared" si="4"/>
        <v>3.2517807370703006E-2</v>
      </c>
      <c r="F102" s="383">
        <f t="shared" si="1"/>
        <v>0.15953429830081811</v>
      </c>
      <c r="G102" s="384">
        <f t="shared" si="2"/>
        <v>2.0486218643542893</v>
      </c>
      <c r="H102" s="385">
        <f t="shared" si="5"/>
        <v>13.159534298300818</v>
      </c>
      <c r="I102" s="386">
        <f t="shared" si="6"/>
        <v>212.04862186435429</v>
      </c>
      <c r="K102" s="200" t="str">
        <f t="shared" si="0"/>
        <v>15-24</v>
      </c>
      <c r="L102" s="373">
        <f>'[5]templet worksheet 2557'!C195</f>
        <v>4.1860465116279069E-2</v>
      </c>
      <c r="M102" s="373">
        <f>'[5]templet worksheet 2557'!D195</f>
        <v>0.95813953488372094</v>
      </c>
    </row>
    <row r="103" spans="1:13" x14ac:dyDescent="0.2">
      <c r="A103" s="379" t="str">
        <f>[6]YLD!E120</f>
        <v>25-34</v>
      </c>
      <c r="B103" s="380">
        <f>[6]YLD!F120</f>
        <v>64</v>
      </c>
      <c r="C103" s="380">
        <f>[6]YLD!G120</f>
        <v>729</v>
      </c>
      <c r="D103" s="381">
        <f t="shared" si="3"/>
        <v>2.0138451856513532E-2</v>
      </c>
      <c r="E103" s="382">
        <f t="shared" si="4"/>
        <v>0.112883245586869</v>
      </c>
      <c r="F103" s="383">
        <f t="shared" si="1"/>
        <v>0.78539962240402772</v>
      </c>
      <c r="G103" s="384">
        <f t="shared" si="2"/>
        <v>7.1116444719727472</v>
      </c>
      <c r="H103" s="385">
        <f t="shared" si="5"/>
        <v>64.785399622404029</v>
      </c>
      <c r="I103" s="386">
        <f t="shared" si="6"/>
        <v>736.1116444719728</v>
      </c>
      <c r="K103" s="200" t="str">
        <f t="shared" si="0"/>
        <v>25-34</v>
      </c>
      <c r="L103" s="373">
        <f>'[5]templet worksheet 2557'!C196</f>
        <v>9.6456692913385822E-2</v>
      </c>
      <c r="M103" s="373">
        <f>'[5]templet worksheet 2557'!D196</f>
        <v>0.90354330708661412</v>
      </c>
    </row>
    <row r="104" spans="1:13" x14ac:dyDescent="0.2">
      <c r="A104" s="379" t="str">
        <f>[6]YLD!E121</f>
        <v>35-44</v>
      </c>
      <c r="B104" s="380">
        <f>[6]YLD!F121</f>
        <v>165</v>
      </c>
      <c r="C104" s="380">
        <f>[6]YLD!G121</f>
        <v>1018</v>
      </c>
      <c r="D104" s="381">
        <f t="shared" si="3"/>
        <v>5.1919446192573944E-2</v>
      </c>
      <c r="E104" s="382">
        <f t="shared" si="4"/>
        <v>0.15763394239702694</v>
      </c>
      <c r="F104" s="383">
        <f t="shared" si="1"/>
        <v>2.0248584015103837</v>
      </c>
      <c r="G104" s="384">
        <f t="shared" si="2"/>
        <v>9.9309383710126973</v>
      </c>
      <c r="H104" s="385">
        <f t="shared" si="5"/>
        <v>167.02485840151039</v>
      </c>
      <c r="I104" s="386">
        <f t="shared" si="6"/>
        <v>1027.9309383710126</v>
      </c>
      <c r="K104" s="200" t="str">
        <f t="shared" si="0"/>
        <v>35-44</v>
      </c>
      <c r="L104" s="373">
        <f>'[5]templet worksheet 2557'!C197</f>
        <v>0.22694394213381555</v>
      </c>
      <c r="M104" s="373">
        <f>'[5]templet worksheet 2557'!D197</f>
        <v>0.77305605786618448</v>
      </c>
    </row>
    <row r="105" spans="1:13" x14ac:dyDescent="0.2">
      <c r="A105" s="379" t="str">
        <f>[6]YLD!E122</f>
        <v>45-54</v>
      </c>
      <c r="B105" s="380">
        <f>[6]YLD!F122</f>
        <v>677</v>
      </c>
      <c r="C105" s="380">
        <f>[6]YLD!G122</f>
        <v>1401</v>
      </c>
      <c r="D105" s="381">
        <f t="shared" si="3"/>
        <v>0.21302706104468219</v>
      </c>
      <c r="E105" s="382">
        <f t="shared" si="4"/>
        <v>0.21694022917311861</v>
      </c>
      <c r="F105" s="383">
        <f t="shared" si="1"/>
        <v>8.308055380742605</v>
      </c>
      <c r="G105" s="384">
        <f t="shared" si="2"/>
        <v>13.667234437906473</v>
      </c>
      <c r="H105" s="385">
        <f t="shared" si="5"/>
        <v>685.30805538074264</v>
      </c>
      <c r="I105" s="386">
        <f t="shared" si="6"/>
        <v>1414.6672344379065</v>
      </c>
      <c r="K105" s="200" t="str">
        <f t="shared" si="0"/>
        <v>45-54</v>
      </c>
      <c r="L105" s="373">
        <f>'[5]templet worksheet 2557'!C198</f>
        <v>0.37408568443051204</v>
      </c>
      <c r="M105" s="373">
        <f>'[5]templet worksheet 2557'!D198</f>
        <v>0.62591431556948796</v>
      </c>
    </row>
    <row r="106" spans="1:13" x14ac:dyDescent="0.2">
      <c r="A106" s="379" t="str">
        <f>[6]YLD!E123</f>
        <v>55-64</v>
      </c>
      <c r="B106" s="380">
        <f>[6]YLD!F123</f>
        <v>955</v>
      </c>
      <c r="C106" s="380">
        <f>[6]YLD!G123</f>
        <v>1328</v>
      </c>
      <c r="D106" s="381">
        <f t="shared" si="3"/>
        <v>0.30050346129641287</v>
      </c>
      <c r="E106" s="382">
        <f t="shared" si="4"/>
        <v>0.20563641994425519</v>
      </c>
      <c r="F106" s="383">
        <f t="shared" si="1"/>
        <v>11.719634990560102</v>
      </c>
      <c r="G106" s="384">
        <f t="shared" si="2"/>
        <v>12.955094456488077</v>
      </c>
      <c r="H106" s="385">
        <f t="shared" si="5"/>
        <v>966.71963499056005</v>
      </c>
      <c r="I106" s="386">
        <f t="shared" si="6"/>
        <v>1340.955094456488</v>
      </c>
      <c r="K106" s="200" t="str">
        <f t="shared" si="0"/>
        <v>55-64</v>
      </c>
      <c r="L106" s="373">
        <f>'[5]templet worksheet 2557'!C199</f>
        <v>0.45993413830954993</v>
      </c>
      <c r="M106" s="373">
        <f>'[5]templet worksheet 2557'!D199</f>
        <v>0.54006586169045012</v>
      </c>
    </row>
    <row r="107" spans="1:13" x14ac:dyDescent="0.2">
      <c r="A107" s="379" t="str">
        <f>[6]YLD!E124</f>
        <v>65-74</v>
      </c>
      <c r="B107" s="380">
        <f>[6]YLD!F124</f>
        <v>861</v>
      </c>
      <c r="C107" s="380">
        <f>[6]YLD!G124</f>
        <v>1044</v>
      </c>
      <c r="D107" s="381">
        <f t="shared" si="3"/>
        <v>0.27092511013215859</v>
      </c>
      <c r="E107" s="382">
        <f t="shared" si="4"/>
        <v>0.16165995664292351</v>
      </c>
      <c r="F107" s="383">
        <f t="shared" si="1"/>
        <v>10.566079295154186</v>
      </c>
      <c r="G107" s="384">
        <f t="shared" si="2"/>
        <v>10.184577268504182</v>
      </c>
      <c r="H107" s="385">
        <f t="shared" si="5"/>
        <v>871.56607929515417</v>
      </c>
      <c r="I107" s="386">
        <f t="shared" si="6"/>
        <v>1054.1845772685042</v>
      </c>
      <c r="K107" s="200" t="str">
        <f t="shared" si="0"/>
        <v>65-74</v>
      </c>
      <c r="L107" s="373">
        <f>'[5]templet worksheet 2557'!C200</f>
        <v>0.45807962529274004</v>
      </c>
      <c r="M107" s="373">
        <f>'[5]templet worksheet 2557'!D200</f>
        <v>0.54192037470725996</v>
      </c>
    </row>
    <row r="108" spans="1:13" x14ac:dyDescent="0.2">
      <c r="A108" s="379" t="str">
        <f>[6]YLD!E125</f>
        <v>75-79</v>
      </c>
      <c r="B108" s="380">
        <f>[6]YLD!F125</f>
        <v>283</v>
      </c>
      <c r="C108" s="380">
        <f>[6]YLD!G125</f>
        <v>401</v>
      </c>
      <c r="D108" s="381">
        <f t="shared" si="3"/>
        <v>8.9049716803020762E-2</v>
      </c>
      <c r="E108" s="382">
        <f t="shared" si="4"/>
        <v>6.2093527407866216E-2</v>
      </c>
      <c r="F108" s="383">
        <f t="shared" si="1"/>
        <v>3.4729389553178098</v>
      </c>
      <c r="G108" s="384">
        <f t="shared" si="2"/>
        <v>3.9118922266955716</v>
      </c>
      <c r="H108" s="385">
        <f t="shared" si="5"/>
        <v>286.47293895531783</v>
      </c>
      <c r="I108" s="386">
        <f t="shared" si="6"/>
        <v>404.91189222669556</v>
      </c>
      <c r="K108" s="200" t="s">
        <v>207</v>
      </c>
      <c r="L108" s="373">
        <f>'[5]templet worksheet 2557'!C201</f>
        <v>0.3425655976676385</v>
      </c>
      <c r="M108" s="373">
        <f>'[5]templet worksheet 2557'!D201</f>
        <v>0.6574344023323615</v>
      </c>
    </row>
    <row r="109" spans="1:13" s="22" customFormat="1" x14ac:dyDescent="0.2">
      <c r="A109" s="379" t="str">
        <f>[6]YLD!E126</f>
        <v>80+</v>
      </c>
      <c r="B109" s="380">
        <f>[6]YLD!F126</f>
        <v>152</v>
      </c>
      <c r="C109" s="380">
        <f>[6]YLD!G126</f>
        <v>306</v>
      </c>
      <c r="D109" s="381">
        <f t="shared" si="3"/>
        <v>4.7828823159219637E-2</v>
      </c>
      <c r="E109" s="382">
        <f t="shared" si="4"/>
        <v>4.7383090740167236E-2</v>
      </c>
      <c r="F109" s="383">
        <f t="shared" si="1"/>
        <v>1.8653241032095658</v>
      </c>
      <c r="G109" s="384">
        <f t="shared" si="2"/>
        <v>2.9851347166305358</v>
      </c>
      <c r="H109" s="385">
        <f t="shared" si="5"/>
        <v>153.86532410320956</v>
      </c>
      <c r="I109" s="386">
        <f t="shared" si="6"/>
        <v>308.98513471663051</v>
      </c>
      <c r="J109" s="28"/>
      <c r="K109" s="200"/>
      <c r="L109" s="206"/>
      <c r="M109" s="207"/>
    </row>
    <row r="110" spans="1:13" s="22" customFormat="1" x14ac:dyDescent="0.2">
      <c r="A110" s="379" t="s">
        <v>138</v>
      </c>
      <c r="B110" s="380">
        <f>SUM(B100:B109)</f>
        <v>3178</v>
      </c>
      <c r="C110" s="380">
        <f>SUM(C100:C109)</f>
        <v>6458</v>
      </c>
      <c r="D110" s="381">
        <f t="shared" si="3"/>
        <v>1</v>
      </c>
      <c r="E110" s="382">
        <f t="shared" si="4"/>
        <v>1</v>
      </c>
      <c r="F110" s="383">
        <f t="shared" si="1"/>
        <v>39</v>
      </c>
      <c r="G110" s="384">
        <f t="shared" si="2"/>
        <v>63</v>
      </c>
      <c r="H110" s="385">
        <f t="shared" si="5"/>
        <v>3217</v>
      </c>
      <c r="I110" s="386">
        <f t="shared" si="6"/>
        <v>6521</v>
      </c>
      <c r="J110" s="28"/>
      <c r="K110" s="200"/>
      <c r="L110" s="201"/>
      <c r="M110" s="202"/>
    </row>
    <row r="111" spans="1:13" s="22" customFormat="1" x14ac:dyDescent="0.2">
      <c r="A111" s="379" t="s">
        <v>197</v>
      </c>
      <c r="B111" s="380">
        <f>[6]YLD!F127</f>
        <v>39</v>
      </c>
      <c r="C111" s="380">
        <f>[6]YLD!G127</f>
        <v>63</v>
      </c>
      <c r="D111" s="379"/>
      <c r="E111" s="387"/>
      <c r="F111" s="379"/>
      <c r="G111" s="387"/>
      <c r="H111" s="380"/>
      <c r="I111" s="387"/>
      <c r="J111" s="28"/>
      <c r="K111" s="200"/>
      <c r="L111" s="201"/>
      <c r="M111" s="202"/>
    </row>
    <row r="112" spans="1:13" x14ac:dyDescent="0.2">
      <c r="A112" s="379"/>
      <c r="B112" s="380"/>
      <c r="C112" s="380"/>
      <c r="D112" s="379"/>
      <c r="E112" s="387"/>
      <c r="F112" s="379"/>
      <c r="G112" s="387"/>
      <c r="H112" s="380"/>
      <c r="I112" s="387"/>
      <c r="K112" s="200"/>
      <c r="L112" s="201"/>
      <c r="M112" s="202"/>
    </row>
    <row r="113" spans="1:13" x14ac:dyDescent="0.2">
      <c r="A113" s="388" t="s">
        <v>109</v>
      </c>
      <c r="B113" s="389"/>
      <c r="C113" s="389"/>
      <c r="D113" s="379"/>
      <c r="E113" s="387"/>
      <c r="F113" s="379"/>
      <c r="G113" s="387"/>
      <c r="H113" s="380"/>
      <c r="I113" s="387"/>
      <c r="K113" s="200" t="str">
        <f t="shared" ref="K113" si="7">A113</f>
        <v>Female</v>
      </c>
      <c r="L113" s="201" t="s">
        <v>205</v>
      </c>
      <c r="M113" s="202" t="s">
        <v>206</v>
      </c>
    </row>
    <row r="114" spans="1:13" x14ac:dyDescent="0.2">
      <c r="A114" s="379" t="str">
        <f t="shared" ref="A114:A123" si="8">A100</f>
        <v>0-4</v>
      </c>
      <c r="B114" s="380">
        <f>[6]YLD!F129</f>
        <v>1</v>
      </c>
      <c r="C114" s="380">
        <f>[6]YLD!G129</f>
        <v>1</v>
      </c>
      <c r="D114" s="381">
        <f>B114/$B$124</f>
        <v>2.6780931976432779E-4</v>
      </c>
      <c r="E114" s="382">
        <f>C114/$C$124</f>
        <v>1.8552875695732838E-4</v>
      </c>
      <c r="F114" s="390">
        <f>D114*$B$125</f>
        <v>1.205141938939475E-2</v>
      </c>
      <c r="G114" s="391">
        <f>E114*$C$125</f>
        <v>1.2801484230055659E-2</v>
      </c>
      <c r="H114" s="385">
        <f>B114+F114</f>
        <v>1.0120514193893948</v>
      </c>
      <c r="I114" s="386">
        <f>C114+G114</f>
        <v>1.0128014842300557</v>
      </c>
      <c r="K114" s="200" t="str">
        <f t="shared" ref="K114:K121" si="9">K100</f>
        <v>0-4</v>
      </c>
      <c r="L114" s="373">
        <f>'[5]templet worksheet 2557'!C205</f>
        <v>0.26666666666666666</v>
      </c>
      <c r="M114" s="373">
        <f>'[5]templet worksheet 2557'!D205</f>
        <v>0.73333333333333339</v>
      </c>
    </row>
    <row r="115" spans="1:13" x14ac:dyDescent="0.2">
      <c r="A115" s="379" t="str">
        <f t="shared" si="8"/>
        <v>5-14</v>
      </c>
      <c r="B115" s="380">
        <f>[6]YLD!F130</f>
        <v>4</v>
      </c>
      <c r="C115" s="380">
        <f>[6]YLD!G130</f>
        <v>17</v>
      </c>
      <c r="D115" s="381">
        <f t="shared" ref="D115:D124" si="10">B115/$B$124</f>
        <v>1.0712372790573112E-3</v>
      </c>
      <c r="E115" s="382">
        <f t="shared" ref="E115:E124" si="11">C115/$C$124</f>
        <v>3.1539888682745824E-3</v>
      </c>
      <c r="F115" s="390">
        <f t="shared" ref="F115:F124" si="12">D115*$B$125</f>
        <v>4.8205677557578999E-2</v>
      </c>
      <c r="G115" s="391">
        <f t="shared" ref="G115:G124" si="13">E115*$C$125</f>
        <v>0.21762523191094618</v>
      </c>
      <c r="H115" s="385">
        <f t="shared" ref="H115:H124" si="14">B115+F115</f>
        <v>4.0482056775575792</v>
      </c>
      <c r="I115" s="386">
        <f t="shared" ref="I115:I124" si="15">C115+G115</f>
        <v>17.217625231910947</v>
      </c>
      <c r="K115" s="200" t="str">
        <f t="shared" si="9"/>
        <v>5-14</v>
      </c>
      <c r="L115" s="373">
        <f>'[5]templet worksheet 2557'!C206</f>
        <v>5.128205128205128E-2</v>
      </c>
      <c r="M115" s="373">
        <f>'[5]templet worksheet 2557'!D206</f>
        <v>0.94871794871794868</v>
      </c>
    </row>
    <row r="116" spans="1:13" x14ac:dyDescent="0.2">
      <c r="A116" s="379" t="str">
        <f t="shared" si="8"/>
        <v>15-24</v>
      </c>
      <c r="B116" s="380">
        <f>[6]YLD!F131</f>
        <v>12</v>
      </c>
      <c r="C116" s="380">
        <f>[6]YLD!G131</f>
        <v>146</v>
      </c>
      <c r="D116" s="381">
        <f t="shared" si="10"/>
        <v>3.2137118371719335E-3</v>
      </c>
      <c r="E116" s="382">
        <f t="shared" si="11"/>
        <v>2.7087198515769944E-2</v>
      </c>
      <c r="F116" s="390">
        <f t="shared" si="12"/>
        <v>0.14461703267273701</v>
      </c>
      <c r="G116" s="391">
        <f t="shared" si="13"/>
        <v>1.8690166975881262</v>
      </c>
      <c r="H116" s="385">
        <f t="shared" si="14"/>
        <v>12.144617032672738</v>
      </c>
      <c r="I116" s="386">
        <f t="shared" si="15"/>
        <v>147.86901669758814</v>
      </c>
      <c r="K116" s="200" t="str">
        <f t="shared" si="9"/>
        <v>15-24</v>
      </c>
      <c r="L116" s="373">
        <f>'[5]templet worksheet 2557'!C207</f>
        <v>4.716981132075472E-2</v>
      </c>
      <c r="M116" s="373">
        <f>'[5]templet worksheet 2557'!D207</f>
        <v>0.95283018867924529</v>
      </c>
    </row>
    <row r="117" spans="1:13" x14ac:dyDescent="0.2">
      <c r="A117" s="379" t="str">
        <f t="shared" si="8"/>
        <v>25-34</v>
      </c>
      <c r="B117" s="380">
        <f>[6]YLD!F132</f>
        <v>61</v>
      </c>
      <c r="C117" s="380">
        <f>[6]YLD!G132</f>
        <v>507</v>
      </c>
      <c r="D117" s="381">
        <f t="shared" si="10"/>
        <v>1.6336368505623994E-2</v>
      </c>
      <c r="E117" s="382">
        <f t="shared" si="11"/>
        <v>9.4063079777365485E-2</v>
      </c>
      <c r="F117" s="390">
        <f t="shared" si="12"/>
        <v>0.7351365827530798</v>
      </c>
      <c r="G117" s="391">
        <f t="shared" si="13"/>
        <v>6.4903525046382189</v>
      </c>
      <c r="H117" s="385">
        <f t="shared" si="14"/>
        <v>61.735136582753078</v>
      </c>
      <c r="I117" s="386">
        <f t="shared" si="15"/>
        <v>513.49035250463817</v>
      </c>
      <c r="K117" s="200" t="str">
        <f t="shared" si="9"/>
        <v>25-34</v>
      </c>
      <c r="L117" s="373">
        <f>'[5]templet worksheet 2557'!C208</f>
        <v>0.1425233644859813</v>
      </c>
      <c r="M117" s="373">
        <f>'[5]templet worksheet 2557'!D208</f>
        <v>0.85747663551401865</v>
      </c>
    </row>
    <row r="118" spans="1:13" x14ac:dyDescent="0.2">
      <c r="A118" s="379" t="str">
        <f t="shared" si="8"/>
        <v>35-44</v>
      </c>
      <c r="B118" s="380">
        <f>[6]YLD!F133</f>
        <v>208</v>
      </c>
      <c r="C118" s="380">
        <f>[6]YLD!G133</f>
        <v>812</v>
      </c>
      <c r="D118" s="381">
        <f t="shared" si="10"/>
        <v>5.5704338510980181E-2</v>
      </c>
      <c r="E118" s="382">
        <f t="shared" si="11"/>
        <v>0.15064935064935064</v>
      </c>
      <c r="F118" s="390">
        <f t="shared" si="12"/>
        <v>2.5066952329941081</v>
      </c>
      <c r="G118" s="391">
        <f t="shared" si="13"/>
        <v>10.394805194805194</v>
      </c>
      <c r="H118" s="385">
        <f t="shared" si="14"/>
        <v>210.5066952329941</v>
      </c>
      <c r="I118" s="386">
        <f t="shared" si="15"/>
        <v>822.39480519480514</v>
      </c>
      <c r="K118" s="200" t="str">
        <f t="shared" si="9"/>
        <v>35-44</v>
      </c>
      <c r="L118" s="373">
        <f>'[5]templet worksheet 2557'!C209</f>
        <v>0.27446300715990452</v>
      </c>
      <c r="M118" s="373">
        <f>'[5]templet worksheet 2557'!D209</f>
        <v>0.72553699284009543</v>
      </c>
    </row>
    <row r="119" spans="1:13" x14ac:dyDescent="0.2">
      <c r="A119" s="379" t="str">
        <f t="shared" si="8"/>
        <v>45-54</v>
      </c>
      <c r="B119" s="380">
        <f>[6]YLD!F134</f>
        <v>557</v>
      </c>
      <c r="C119" s="380">
        <f>[6]YLD!G134</f>
        <v>1054</v>
      </c>
      <c r="D119" s="381">
        <f t="shared" si="10"/>
        <v>0.14916979110873058</v>
      </c>
      <c r="E119" s="382">
        <f t="shared" si="11"/>
        <v>0.19554730983302412</v>
      </c>
      <c r="F119" s="390">
        <f t="shared" si="12"/>
        <v>6.7126405998928762</v>
      </c>
      <c r="G119" s="391">
        <f t="shared" si="13"/>
        <v>13.492764378478665</v>
      </c>
      <c r="H119" s="385">
        <f t="shared" si="14"/>
        <v>563.71264059989289</v>
      </c>
      <c r="I119" s="386">
        <f t="shared" si="15"/>
        <v>1067.4927643784786</v>
      </c>
      <c r="K119" s="200" t="str">
        <f t="shared" si="9"/>
        <v>45-54</v>
      </c>
      <c r="L119" s="373">
        <f>'[5]templet worksheet 2557'!C210</f>
        <v>0.45136681500317866</v>
      </c>
      <c r="M119" s="373">
        <f>'[5]templet worksheet 2557'!D210</f>
        <v>0.54863318499682134</v>
      </c>
    </row>
    <row r="120" spans="1:13" x14ac:dyDescent="0.2">
      <c r="A120" s="379" t="str">
        <f t="shared" si="8"/>
        <v>55-64</v>
      </c>
      <c r="B120" s="380">
        <f>[6]YLD!F135</f>
        <v>1105</v>
      </c>
      <c r="C120" s="380">
        <f>[6]YLD!G135</f>
        <v>1040</v>
      </c>
      <c r="D120" s="381">
        <f t="shared" si="10"/>
        <v>0.2959292983395822</v>
      </c>
      <c r="E120" s="382">
        <f t="shared" si="11"/>
        <v>0.19294990723562153</v>
      </c>
      <c r="F120" s="390">
        <f t="shared" si="12"/>
        <v>13.316818425281198</v>
      </c>
      <c r="G120" s="391">
        <f t="shared" si="13"/>
        <v>13.313543599257885</v>
      </c>
      <c r="H120" s="385">
        <f t="shared" si="14"/>
        <v>1118.3168184252811</v>
      </c>
      <c r="I120" s="386">
        <f t="shared" si="15"/>
        <v>1053.3135435992579</v>
      </c>
      <c r="K120" s="200" t="str">
        <f t="shared" si="9"/>
        <v>55-64</v>
      </c>
      <c r="L120" s="373">
        <f>'[5]templet worksheet 2557'!C211</f>
        <v>0.53933072577140373</v>
      </c>
      <c r="M120" s="373">
        <f>'[5]templet worksheet 2557'!D211</f>
        <v>0.46066927422859627</v>
      </c>
    </row>
    <row r="121" spans="1:13" x14ac:dyDescent="0.2">
      <c r="A121" s="379" t="str">
        <f t="shared" si="8"/>
        <v>65-74</v>
      </c>
      <c r="B121" s="380">
        <f>[6]YLD!F136</f>
        <v>1138</v>
      </c>
      <c r="C121" s="380">
        <f>[6]YLD!G136</f>
        <v>1104</v>
      </c>
      <c r="D121" s="381">
        <f t="shared" si="10"/>
        <v>0.30476700589180505</v>
      </c>
      <c r="E121" s="382">
        <f t="shared" si="11"/>
        <v>0.20482374768089054</v>
      </c>
      <c r="F121" s="390">
        <f t="shared" si="12"/>
        <v>13.714515265131228</v>
      </c>
      <c r="G121" s="391">
        <f t="shared" si="13"/>
        <v>14.132838589981446</v>
      </c>
      <c r="H121" s="385">
        <f t="shared" si="14"/>
        <v>1151.7145152651312</v>
      </c>
      <c r="I121" s="386">
        <f t="shared" si="15"/>
        <v>1118.1328385899815</v>
      </c>
      <c r="K121" s="200" t="str">
        <f t="shared" si="9"/>
        <v>65-74</v>
      </c>
      <c r="L121" s="373">
        <f>'[5]templet worksheet 2557'!C212</f>
        <v>0.53465346534653468</v>
      </c>
      <c r="M121" s="373">
        <f>'[5]templet worksheet 2557'!D212</f>
        <v>0.46534653465346532</v>
      </c>
    </row>
    <row r="122" spans="1:13" x14ac:dyDescent="0.2">
      <c r="A122" s="379" t="str">
        <f t="shared" si="8"/>
        <v>75-79</v>
      </c>
      <c r="B122" s="380">
        <f>[6]YLD!F137</f>
        <v>404</v>
      </c>
      <c r="C122" s="380">
        <f>[6]YLD!G137</f>
        <v>393</v>
      </c>
      <c r="D122" s="381">
        <f t="shared" si="10"/>
        <v>0.10819496518478842</v>
      </c>
      <c r="E122" s="382">
        <f t="shared" si="11"/>
        <v>7.2912801484230058E-2</v>
      </c>
      <c r="F122" s="390">
        <f t="shared" si="12"/>
        <v>4.8687734333154795</v>
      </c>
      <c r="G122" s="391">
        <f t="shared" si="13"/>
        <v>5.0309833024118742</v>
      </c>
      <c r="H122" s="385">
        <f t="shared" si="14"/>
        <v>408.86877343331548</v>
      </c>
      <c r="I122" s="386">
        <f t="shared" si="15"/>
        <v>398.03098330241187</v>
      </c>
      <c r="K122" s="200" t="s">
        <v>196</v>
      </c>
      <c r="L122" s="373">
        <f>'[5]templet worksheet 2557'!C213</f>
        <v>0.45379222434671768</v>
      </c>
      <c r="M122" s="373">
        <f>'[5]templet worksheet 2557'!D213</f>
        <v>0.54620777565328238</v>
      </c>
    </row>
    <row r="123" spans="1:13" x14ac:dyDescent="0.2">
      <c r="A123" s="379" t="str">
        <f t="shared" si="8"/>
        <v>80+</v>
      </c>
      <c r="B123" s="380">
        <f>[6]YLD!F138</f>
        <v>244</v>
      </c>
      <c r="C123" s="380">
        <f>[6]YLD!G138</f>
        <v>316</v>
      </c>
      <c r="D123" s="381">
        <f t="shared" si="10"/>
        <v>6.5345474022495978E-2</v>
      </c>
      <c r="E123" s="382">
        <f t="shared" si="11"/>
        <v>5.8627087198515768E-2</v>
      </c>
      <c r="F123" s="390">
        <f t="shared" si="12"/>
        <v>2.9405463310123192</v>
      </c>
      <c r="G123" s="391">
        <f t="shared" si="13"/>
        <v>4.0452690166975875</v>
      </c>
      <c r="H123" s="385">
        <f t="shared" si="14"/>
        <v>246.94054633101231</v>
      </c>
      <c r="I123" s="386">
        <f t="shared" si="15"/>
        <v>320.0452690166976</v>
      </c>
      <c r="K123" s="200"/>
      <c r="L123" s="206"/>
      <c r="M123" s="207"/>
    </row>
    <row r="124" spans="1:13" s="22" customFormat="1" x14ac:dyDescent="0.2">
      <c r="A124" s="379" t="s">
        <v>138</v>
      </c>
      <c r="B124" s="380">
        <f>SUM(B114:B123)</f>
        <v>3734</v>
      </c>
      <c r="C124" s="380">
        <f>SUM(C114:C123)</f>
        <v>5390</v>
      </c>
      <c r="D124" s="381">
        <f t="shared" si="10"/>
        <v>1</v>
      </c>
      <c r="E124" s="382">
        <f t="shared" si="11"/>
        <v>1</v>
      </c>
      <c r="F124" s="390">
        <f t="shared" si="12"/>
        <v>45</v>
      </c>
      <c r="G124" s="391">
        <f t="shared" si="13"/>
        <v>69</v>
      </c>
      <c r="H124" s="385">
        <f t="shared" si="14"/>
        <v>3779</v>
      </c>
      <c r="I124" s="386">
        <f t="shared" si="15"/>
        <v>5459</v>
      </c>
      <c r="J124" s="28"/>
      <c r="K124" s="200"/>
      <c r="L124" s="201"/>
      <c r="M124" s="202"/>
    </row>
    <row r="125" spans="1:13" x14ac:dyDescent="0.2">
      <c r="A125" s="379" t="str">
        <f t="shared" ref="A125" si="16">A111</f>
        <v>unknown</v>
      </c>
      <c r="B125" s="380">
        <f>[6]YLD!F139</f>
        <v>45</v>
      </c>
      <c r="C125" s="380">
        <f>[6]YLD!G139</f>
        <v>69</v>
      </c>
      <c r="D125" s="379"/>
      <c r="E125" s="387"/>
      <c r="F125" s="379"/>
      <c r="G125" s="387"/>
      <c r="H125" s="380"/>
      <c r="I125" s="387"/>
      <c r="K125" s="200"/>
      <c r="L125" s="201"/>
      <c r="M125" s="202"/>
    </row>
    <row r="126" spans="1:13" x14ac:dyDescent="0.2">
      <c r="A126" s="392"/>
      <c r="B126" s="393"/>
      <c r="C126" s="393"/>
      <c r="D126" s="392"/>
      <c r="E126" s="394"/>
      <c r="F126" s="392"/>
      <c r="G126" s="394"/>
      <c r="H126" s="393"/>
      <c r="I126" s="394"/>
      <c r="K126" s="203"/>
      <c r="L126" s="204"/>
      <c r="M126" s="205"/>
    </row>
    <row r="128" spans="1:13" x14ac:dyDescent="0.2">
      <c r="A128" s="23" t="s">
        <v>338</v>
      </c>
      <c r="J128" s="395"/>
    </row>
    <row r="130" spans="1:11" x14ac:dyDescent="0.2">
      <c r="A130" s="23" t="s">
        <v>208</v>
      </c>
    </row>
    <row r="132" spans="1:11" x14ac:dyDescent="0.2">
      <c r="A132" s="24" t="s">
        <v>25</v>
      </c>
      <c r="B132" s="25" t="s">
        <v>26</v>
      </c>
      <c r="C132" s="25" t="s">
        <v>27</v>
      </c>
      <c r="D132" s="208" t="s">
        <v>27</v>
      </c>
      <c r="E132" s="208" t="s">
        <v>31</v>
      </c>
      <c r="F132" s="209" t="s">
        <v>31</v>
      </c>
      <c r="H132" s="37" t="s">
        <v>37</v>
      </c>
      <c r="I132" s="38" t="s">
        <v>38</v>
      </c>
    </row>
    <row r="133" spans="1:11" x14ac:dyDescent="0.2">
      <c r="A133" s="30"/>
      <c r="B133" s="31">
        <v>2014</v>
      </c>
      <c r="C133" s="31"/>
      <c r="D133" s="31" t="s">
        <v>209</v>
      </c>
      <c r="E133" s="31" t="s">
        <v>32</v>
      </c>
      <c r="F133" s="32" t="s">
        <v>33</v>
      </c>
      <c r="H133" s="39" t="s">
        <v>32</v>
      </c>
      <c r="I133" s="40" t="s">
        <v>39</v>
      </c>
    </row>
    <row r="134" spans="1:11" x14ac:dyDescent="0.2">
      <c r="A134" s="27"/>
      <c r="B134" s="28"/>
      <c r="C134" s="28"/>
      <c r="D134" s="28"/>
      <c r="E134" s="28"/>
      <c r="F134" s="29"/>
      <c r="H134" s="27"/>
      <c r="I134" s="29"/>
    </row>
    <row r="135" spans="1:11" x14ac:dyDescent="0.2">
      <c r="A135" s="48" t="s">
        <v>34</v>
      </c>
      <c r="B135" s="28"/>
      <c r="C135" s="28"/>
      <c r="D135" s="28"/>
      <c r="E135" s="28"/>
      <c r="F135" s="29"/>
      <c r="H135" s="27"/>
      <c r="I135" s="29"/>
    </row>
    <row r="136" spans="1:11" x14ac:dyDescent="0.2">
      <c r="A136" s="33" t="s">
        <v>7</v>
      </c>
      <c r="B136" s="28">
        <f>SUM('[2]Pop 57'!$C$5:$C$6)</f>
        <v>1966319</v>
      </c>
      <c r="C136" s="46">
        <f>L100*(C8+C39+C70)</f>
        <v>0</v>
      </c>
      <c r="D136" s="42">
        <f>C136/B136*100000</f>
        <v>0</v>
      </c>
      <c r="E136" s="234">
        <f>L100*(H8+J39+H70)</f>
        <v>0</v>
      </c>
      <c r="F136" s="236">
        <f>L100*(I8+K39+I70)</f>
        <v>0</v>
      </c>
      <c r="H136" s="239">
        <f>L100*(K8+M39+K70)</f>
        <v>0.3571428571428571</v>
      </c>
      <c r="I136" s="236">
        <f>L100*(L8+N39+L70)</f>
        <v>0</v>
      </c>
      <c r="K136" s="238"/>
    </row>
    <row r="137" spans="1:11" x14ac:dyDescent="0.2">
      <c r="A137" s="33" t="s">
        <v>11</v>
      </c>
      <c r="B137" s="28">
        <f>SUM('[2]Pop 57'!$C$7:$C$8)</f>
        <v>4179206</v>
      </c>
      <c r="C137" s="46">
        <f t="shared" ref="C137:C143" si="17">L101*(C9+C40+C71)</f>
        <v>0.91114627373469459</v>
      </c>
      <c r="D137" s="42">
        <f t="shared" ref="D137:D143" si="18">C137/B137*100000</f>
        <v>2.1801899062517966E-2</v>
      </c>
      <c r="E137" s="234">
        <f t="shared" ref="E137:E143" si="19">L101*(H9+J40+H71)</f>
        <v>0.52940430371060909</v>
      </c>
      <c r="F137" s="236">
        <f t="shared" ref="F137:F143" si="20">L101*(I9+K40+I71)</f>
        <v>0.42864607180899666</v>
      </c>
      <c r="H137" s="239">
        <f t="shared" ref="H137:H143" si="21">L101*(K9+M40+K71)</f>
        <v>0.51692604694464206</v>
      </c>
      <c r="I137" s="236">
        <f t="shared" ref="I137:I143" si="22">L101*(L9+N40+L71)</f>
        <v>0.50744470509707862</v>
      </c>
    </row>
    <row r="138" spans="1:11" x14ac:dyDescent="0.2">
      <c r="A138" s="33" t="s">
        <v>12</v>
      </c>
      <c r="B138" s="28">
        <f>SUM('[2]Pop 57'!$C$9:$C$11)</f>
        <v>7301822</v>
      </c>
      <c r="C138" s="46">
        <f t="shared" si="17"/>
        <v>8.4469288111878456</v>
      </c>
      <c r="D138" s="42">
        <f t="shared" si="18"/>
        <v>0.11568248049853647</v>
      </c>
      <c r="E138" s="234">
        <f t="shared" si="19"/>
        <v>9.6644837760790718</v>
      </c>
      <c r="F138" s="236">
        <f t="shared" si="20"/>
        <v>7.9006260648374012</v>
      </c>
      <c r="H138" s="239">
        <f t="shared" si="21"/>
        <v>3.4248163634018316</v>
      </c>
      <c r="I138" s="236">
        <f t="shared" si="22"/>
        <v>11.958291836209172</v>
      </c>
    </row>
    <row r="139" spans="1:11" x14ac:dyDescent="0.2">
      <c r="A139" s="33" t="s">
        <v>13</v>
      </c>
      <c r="B139" s="28">
        <f>SUM('[2]Pop 57'!$C$12:$C$14)</f>
        <v>7896765</v>
      </c>
      <c r="C139" s="46">
        <f t="shared" si="17"/>
        <v>108.40332694366015</v>
      </c>
      <c r="D139" s="42">
        <f t="shared" si="18"/>
        <v>1.3727561468988903</v>
      </c>
      <c r="E139" s="234">
        <f t="shared" si="19"/>
        <v>130.03489478269665</v>
      </c>
      <c r="F139" s="236">
        <f t="shared" si="20"/>
        <v>113.29105053643136</v>
      </c>
      <c r="H139" s="239">
        <f t="shared" si="21"/>
        <v>15.466263854468281</v>
      </c>
      <c r="I139" s="236">
        <f t="shared" si="22"/>
        <v>165.71392263439151</v>
      </c>
    </row>
    <row r="140" spans="1:11" x14ac:dyDescent="0.2">
      <c r="A140" s="33" t="s">
        <v>14</v>
      </c>
      <c r="B140" s="28">
        <f>SUM('[2]Pop 57'!$C$15:$C$17)</f>
        <v>6554289</v>
      </c>
      <c r="C140" s="46">
        <f t="shared" si="17"/>
        <v>307.76382521612544</v>
      </c>
      <c r="D140" s="42">
        <f t="shared" si="18"/>
        <v>4.6956096262481779</v>
      </c>
      <c r="E140" s="234">
        <f t="shared" si="19"/>
        <v>341.28543384421107</v>
      </c>
      <c r="F140" s="236">
        <f t="shared" si="20"/>
        <v>289.02348906856264</v>
      </c>
      <c r="H140" s="239">
        <f t="shared" si="21"/>
        <v>54.594716762499019</v>
      </c>
      <c r="I140" s="236">
        <f t="shared" si="22"/>
        <v>371.58092446603382</v>
      </c>
    </row>
    <row r="141" spans="1:11" x14ac:dyDescent="0.2">
      <c r="A141" s="33" t="s">
        <v>15</v>
      </c>
      <c r="B141" s="28">
        <f>SUM('[2]Pop 57'!$C$18:$C$19)</f>
        <v>2344057</v>
      </c>
      <c r="C141" s="46">
        <f t="shared" si="17"/>
        <v>993.06846437612512</v>
      </c>
      <c r="D141" s="42">
        <f t="shared" si="18"/>
        <v>42.365371847874222</v>
      </c>
      <c r="E141" s="234">
        <f t="shared" si="19"/>
        <v>1027.5843372611548</v>
      </c>
      <c r="F141" s="236">
        <f t="shared" si="20"/>
        <v>910.91724855665734</v>
      </c>
      <c r="H141" s="239">
        <f t="shared" si="21"/>
        <v>88.102754022677971</v>
      </c>
      <c r="I141" s="236">
        <f t="shared" si="22"/>
        <v>972.77187011808473</v>
      </c>
    </row>
    <row r="142" spans="1:11" x14ac:dyDescent="0.2">
      <c r="A142" s="33" t="s">
        <v>16</v>
      </c>
      <c r="B142" s="28">
        <f>SUM('[2]Pop 57'!$C$20:$C$21)</f>
        <v>1173067</v>
      </c>
      <c r="C142" s="46">
        <f t="shared" si="17"/>
        <v>1928.9254540050263</v>
      </c>
      <c r="D142" s="42">
        <f t="shared" si="18"/>
        <v>164.43438047486003</v>
      </c>
      <c r="E142" s="234">
        <f t="shared" si="19"/>
        <v>1979.8282398936599</v>
      </c>
      <c r="F142" s="236">
        <f t="shared" si="20"/>
        <v>1806.4527342445874</v>
      </c>
      <c r="H142" s="239">
        <f t="shared" si="21"/>
        <v>87.225473081281862</v>
      </c>
      <c r="I142" s="236">
        <f t="shared" si="22"/>
        <v>1543.9445405748188</v>
      </c>
    </row>
    <row r="143" spans="1:11" x14ac:dyDescent="0.2">
      <c r="A143" s="33" t="s">
        <v>17</v>
      </c>
      <c r="B143" s="28">
        <f>SUM('[2]Pop 57'!$C$22:$C$26)</f>
        <v>506965</v>
      </c>
      <c r="C143" s="46">
        <f t="shared" si="17"/>
        <v>1421.0151583616155</v>
      </c>
      <c r="D143" s="42">
        <f t="shared" si="18"/>
        <v>280.29847393047163</v>
      </c>
      <c r="E143" s="234">
        <f t="shared" si="19"/>
        <v>1568.7814035708031</v>
      </c>
      <c r="F143" s="236">
        <f t="shared" si="20"/>
        <v>1444.3347216897166</v>
      </c>
      <c r="H143" s="239">
        <f t="shared" si="21"/>
        <v>67.957207839151408</v>
      </c>
      <c r="I143" s="236">
        <f t="shared" si="22"/>
        <v>958.33712230155913</v>
      </c>
    </row>
    <row r="144" spans="1:11" x14ac:dyDescent="0.2">
      <c r="A144" s="34" t="s">
        <v>18</v>
      </c>
      <c r="B144" s="28">
        <f>SUM(B136:B143)</f>
        <v>31922490</v>
      </c>
      <c r="C144" s="46">
        <f>SUM(C136:C143)</f>
        <v>4768.5343039874751</v>
      </c>
      <c r="D144" s="161"/>
      <c r="E144" s="234">
        <f>SUM(E136:E143)</f>
        <v>5057.7081974323155</v>
      </c>
      <c r="F144" s="236">
        <f>SUM(F136:F143)</f>
        <v>4572.3485162326015</v>
      </c>
      <c r="H144" s="239">
        <f>SUM(H136:H143)</f>
        <v>317.64530082756789</v>
      </c>
      <c r="I144" s="239">
        <f>SUM(I136:I143)</f>
        <v>4024.8141166361943</v>
      </c>
    </row>
    <row r="145" spans="1:10" x14ac:dyDescent="0.2">
      <c r="A145" s="27"/>
      <c r="B145" s="28"/>
      <c r="C145" s="28"/>
      <c r="D145" s="28"/>
      <c r="E145" s="235"/>
      <c r="F145" s="237"/>
      <c r="H145" s="240"/>
      <c r="I145" s="237"/>
    </row>
    <row r="146" spans="1:10" x14ac:dyDescent="0.2">
      <c r="A146" s="48" t="s">
        <v>35</v>
      </c>
      <c r="B146" s="28"/>
      <c r="C146" s="28"/>
      <c r="D146" s="28"/>
      <c r="E146" s="235"/>
      <c r="F146" s="237"/>
      <c r="H146" s="240"/>
      <c r="I146" s="237"/>
    </row>
    <row r="147" spans="1:10" x14ac:dyDescent="0.2">
      <c r="A147" s="33" t="s">
        <v>7</v>
      </c>
      <c r="B147" s="28">
        <f>SUM('[2]Pop 57'!$D$5:$D$6)</f>
        <v>1849075</v>
      </c>
      <c r="C147" s="46">
        <f>L114*(C20+C51+C82)</f>
        <v>0</v>
      </c>
      <c r="D147" s="42">
        <f>C147/B147*100000</f>
        <v>0</v>
      </c>
      <c r="E147" s="234">
        <f>L114*(H20+J51+H82)</f>
        <v>0</v>
      </c>
      <c r="F147" s="236">
        <f>L114*(I20+K51+I82)</f>
        <v>0</v>
      </c>
      <c r="H147" s="239">
        <f>L114*(K20+M51+K82)</f>
        <v>1.3333333333333333</v>
      </c>
      <c r="I147" s="236">
        <f>L114*(L20+N51+L82)</f>
        <v>0</v>
      </c>
    </row>
    <row r="148" spans="1:10" x14ac:dyDescent="0.2">
      <c r="A148" s="33" t="s">
        <v>11</v>
      </c>
      <c r="B148" s="28">
        <f>SUM('[2]Pop 57'!$D$7:$D$8)</f>
        <v>3940160</v>
      </c>
      <c r="C148" s="46">
        <f t="shared" ref="C148:C154" si="23">L115*(C21+C52+C83)</f>
        <v>2.2191239894753254</v>
      </c>
      <c r="D148" s="42">
        <f t="shared" ref="D148:D154" si="24">C148/B148*100000</f>
        <v>5.6320656762043307E-2</v>
      </c>
      <c r="E148" s="234">
        <f t="shared" ref="E148:E154" si="25">L115*(H21+J52+H83)</f>
        <v>1.4326219119347245</v>
      </c>
      <c r="F148" s="236">
        <f t="shared" ref="F148:F154" si="26">L115*(I21+K52+I83)</f>
        <v>0.80986698704815185</v>
      </c>
      <c r="H148" s="239">
        <f t="shared" ref="H148:H154" si="27">L115*(K21+M52+K83)</f>
        <v>1.8958261051865635</v>
      </c>
      <c r="I148" s="236">
        <f t="shared" ref="I148:I154" si="28">L115*(L21+N52+L83)</f>
        <v>0.9577307829781907</v>
      </c>
    </row>
    <row r="149" spans="1:10" x14ac:dyDescent="0.2">
      <c r="A149" s="33" t="s">
        <v>12</v>
      </c>
      <c r="B149" s="46">
        <f>SUM('[2]Pop 57'!$D$9:$D$11)</f>
        <v>7026158.1752900956</v>
      </c>
      <c r="C149" s="46">
        <f t="shared" si="23"/>
        <v>10.719649701036223</v>
      </c>
      <c r="D149" s="42">
        <f t="shared" si="24"/>
        <v>0.15256772525753209</v>
      </c>
      <c r="E149" s="234">
        <f t="shared" si="25"/>
        <v>10.70536214461217</v>
      </c>
      <c r="F149" s="236">
        <f t="shared" si="26"/>
        <v>9.1493409235188992</v>
      </c>
      <c r="H149" s="239">
        <f t="shared" si="27"/>
        <v>3.1630566960924069</v>
      </c>
      <c r="I149" s="236">
        <f t="shared" si="28"/>
        <v>13.845950148004947</v>
      </c>
    </row>
    <row r="150" spans="1:10" x14ac:dyDescent="0.2">
      <c r="A150" s="33" t="s">
        <v>13</v>
      </c>
      <c r="B150" s="28">
        <f>SUM('[2]Pop 57'!$D$12:$D$14)</f>
        <v>8017814</v>
      </c>
      <c r="C150" s="46">
        <f t="shared" si="23"/>
        <v>152.54349861343201</v>
      </c>
      <c r="D150" s="42">
        <f t="shared" si="24"/>
        <v>1.9025572133929773</v>
      </c>
      <c r="E150" s="234">
        <f t="shared" si="25"/>
        <v>160.72938813432322</v>
      </c>
      <c r="F150" s="236">
        <f t="shared" si="26"/>
        <v>141.16416025005586</v>
      </c>
      <c r="H150" s="239">
        <f t="shared" si="27"/>
        <v>18.952406995379569</v>
      </c>
      <c r="I150" s="236">
        <f t="shared" si="28"/>
        <v>206.54683787759561</v>
      </c>
    </row>
    <row r="151" spans="1:10" x14ac:dyDescent="0.2">
      <c r="A151" s="33" t="s">
        <v>14</v>
      </c>
      <c r="B151" s="28">
        <f>SUM('[2]Pop 57'!$D$15:$D$17)</f>
        <v>7162204</v>
      </c>
      <c r="C151" s="46">
        <f t="shared" si="23"/>
        <v>371.75163455164983</v>
      </c>
      <c r="D151" s="42">
        <f t="shared" si="24"/>
        <v>5.1904642000095196</v>
      </c>
      <c r="E151" s="234">
        <f t="shared" si="25"/>
        <v>362.44439930876769</v>
      </c>
      <c r="F151" s="236">
        <f t="shared" si="26"/>
        <v>313.10680690574247</v>
      </c>
      <c r="H151" s="239">
        <f t="shared" si="27"/>
        <v>52.656855408152538</v>
      </c>
      <c r="I151" s="236">
        <f t="shared" si="28"/>
        <v>402.75693960101449</v>
      </c>
    </row>
    <row r="152" spans="1:10" x14ac:dyDescent="0.2">
      <c r="A152" s="33" t="s">
        <v>15</v>
      </c>
      <c r="B152" s="46">
        <f>SUM('[2]Pop 57'!$D$18:$D$19)</f>
        <v>2739970.5356088658</v>
      </c>
      <c r="C152" s="46">
        <f t="shared" si="23"/>
        <v>1213.6645776527184</v>
      </c>
      <c r="D152" s="42">
        <f t="shared" si="24"/>
        <v>44.294803972518729</v>
      </c>
      <c r="E152" s="234">
        <f t="shared" si="25"/>
        <v>1101.3270969902003</v>
      </c>
      <c r="F152" s="236">
        <f t="shared" si="26"/>
        <v>1003.2870292665136</v>
      </c>
      <c r="H152" s="239">
        <f t="shared" si="27"/>
        <v>69.372635119707397</v>
      </c>
      <c r="I152" s="236">
        <f t="shared" si="28"/>
        <v>1072.1265709312447</v>
      </c>
    </row>
    <row r="153" spans="1:10" x14ac:dyDescent="0.2">
      <c r="A153" s="33" t="s">
        <v>16</v>
      </c>
      <c r="B153" s="46">
        <f>SUM('[2]Pop 57'!$D$20:$D$21)</f>
        <v>1513246</v>
      </c>
      <c r="C153" s="46">
        <f t="shared" si="23"/>
        <v>2016.1577687489248</v>
      </c>
      <c r="D153" s="42">
        <f t="shared" si="24"/>
        <v>133.23397311137282</v>
      </c>
      <c r="E153" s="234">
        <f t="shared" si="25"/>
        <v>1820.9014480451606</v>
      </c>
      <c r="F153" s="236">
        <f t="shared" si="26"/>
        <v>1683.8001239993555</v>
      </c>
      <c r="H153" s="239">
        <f t="shared" si="27"/>
        <v>74.029579963032646</v>
      </c>
      <c r="I153" s="236">
        <f t="shared" si="28"/>
        <v>1440.2159065749981</v>
      </c>
    </row>
    <row r="154" spans="1:10" x14ac:dyDescent="0.2">
      <c r="A154" s="33" t="s">
        <v>17</v>
      </c>
      <c r="B154" s="46">
        <f>SUM('[2]Pop 57'!$D$22:$D$26)</f>
        <v>784195.44620730029</v>
      </c>
      <c r="C154" s="46">
        <f t="shared" si="23"/>
        <v>1972.8342461045754</v>
      </c>
      <c r="D154" s="42">
        <f t="shared" si="24"/>
        <v>251.5743053145786</v>
      </c>
      <c r="E154" s="234">
        <f t="shared" si="25"/>
        <v>1913.2171988331281</v>
      </c>
      <c r="F154" s="236">
        <f t="shared" si="26"/>
        <v>1766.595952307518</v>
      </c>
      <c r="H154" s="239">
        <f t="shared" si="27"/>
        <v>76.81888992224691</v>
      </c>
      <c r="I154" s="236">
        <f t="shared" si="28"/>
        <v>1170.1061403030499</v>
      </c>
    </row>
    <row r="155" spans="1:10" x14ac:dyDescent="0.2">
      <c r="A155" s="34" t="s">
        <v>18</v>
      </c>
      <c r="B155" s="46">
        <f>SUM(B147:B154)</f>
        <v>33032823.157106262</v>
      </c>
      <c r="C155" s="46">
        <f>SUM(C147:C154)</f>
        <v>5739.8904993618125</v>
      </c>
      <c r="D155" s="28"/>
      <c r="E155" s="234">
        <f>SUM(E147:E154)</f>
        <v>5370.7575153681264</v>
      </c>
      <c r="F155" s="236">
        <f>SUM(F147:F154)</f>
        <v>4917.913280639752</v>
      </c>
      <c r="H155" s="239">
        <f>SUM(H147:H154)</f>
        <v>298.22258354313135</v>
      </c>
      <c r="I155" s="236">
        <f>SUM(I147:I154)</f>
        <v>4306.5560762188861</v>
      </c>
    </row>
    <row r="156" spans="1:10" x14ac:dyDescent="0.2">
      <c r="A156" s="30"/>
      <c r="B156" s="31"/>
      <c r="C156" s="31"/>
      <c r="D156" s="31"/>
      <c r="E156" s="31"/>
      <c r="F156" s="32"/>
      <c r="H156" s="30"/>
      <c r="I156" s="32"/>
    </row>
    <row r="157" spans="1:10" x14ac:dyDescent="0.2">
      <c r="I157" s="196">
        <f>I144+I155</f>
        <v>8331.3701928550799</v>
      </c>
    </row>
    <row r="158" spans="1:10" x14ac:dyDescent="0.2">
      <c r="A158" s="23" t="s">
        <v>226</v>
      </c>
      <c r="G158" s="28"/>
      <c r="J158"/>
    </row>
    <row r="159" spans="1:10" x14ac:dyDescent="0.2">
      <c r="G159" s="28"/>
      <c r="J159"/>
    </row>
    <row r="160" spans="1:10" x14ac:dyDescent="0.2">
      <c r="A160" s="443" t="str">
        <f>'5. Cataract_DATA'!A33</f>
        <v>Age</v>
      </c>
      <c r="B160" s="426" t="str">
        <f>'5. Cataract_DATA'!B34</f>
        <v>Population</v>
      </c>
      <c r="C160" s="410" t="str">
        <f>'5. Cataract_DATA'!C33</f>
        <v>Prevalent cases</v>
      </c>
      <c r="D160" s="409"/>
      <c r="G160" s="28"/>
      <c r="J160"/>
    </row>
    <row r="161" spans="1:10" x14ac:dyDescent="0.2">
      <c r="A161" s="444"/>
      <c r="B161" s="428"/>
      <c r="C161" s="31" t="str">
        <f>'5. Cataract_DATA'!C34</f>
        <v>IDDM</v>
      </c>
      <c r="D161" s="32" t="str">
        <f>'5. Cataract_DATA'!D34</f>
        <v>NIDDM</v>
      </c>
      <c r="G161" s="28"/>
      <c r="J161"/>
    </row>
    <row r="162" spans="1:10" x14ac:dyDescent="0.2">
      <c r="A162" s="48" t="str">
        <f>'5. Cataract_DATA'!A35</f>
        <v>Male</v>
      </c>
      <c r="B162" s="41"/>
      <c r="C162" s="28"/>
      <c r="D162" s="29"/>
      <c r="G162" s="28" t="s">
        <v>23</v>
      </c>
      <c r="J162"/>
    </row>
    <row r="163" spans="1:10" x14ac:dyDescent="0.2">
      <c r="A163" s="27" t="str">
        <f>'5. Cataract_DATA'!A36</f>
        <v>0-4</v>
      </c>
      <c r="B163" s="41">
        <f>'5. Cataract_DATA'!B36</f>
        <v>1966319</v>
      </c>
      <c r="C163" s="46">
        <f>'1.Diabetes case'!L64</f>
        <v>499</v>
      </c>
      <c r="D163" s="98">
        <f>'1.Diabetes case'!L93</f>
        <v>0</v>
      </c>
      <c r="G163" s="28"/>
      <c r="J163"/>
    </row>
    <row r="164" spans="1:10" x14ac:dyDescent="0.2">
      <c r="A164" s="27" t="str">
        <f>'5. Cataract_DATA'!A37</f>
        <v>5-14</v>
      </c>
      <c r="B164" s="41">
        <f>'5. Cataract_DATA'!B37</f>
        <v>4179206</v>
      </c>
      <c r="C164" s="46">
        <f>'1.Diabetes case'!L65</f>
        <v>4170</v>
      </c>
      <c r="D164" s="98">
        <f>'1.Diabetes case'!L94</f>
        <v>0</v>
      </c>
      <c r="G164" s="28"/>
      <c r="J164"/>
    </row>
    <row r="165" spans="1:10" x14ac:dyDescent="0.2">
      <c r="A165" s="27" t="str">
        <f>'5. Cataract_DATA'!A38</f>
        <v>15-29</v>
      </c>
      <c r="B165" s="41">
        <f>'5. Cataract_DATA'!B38</f>
        <v>7301822</v>
      </c>
      <c r="C165" s="46">
        <f>'1.Diabetes case'!L66</f>
        <v>16107</v>
      </c>
      <c r="D165" s="98">
        <f>'1.Diabetes case'!L95</f>
        <v>101454</v>
      </c>
      <c r="G165" s="28"/>
      <c r="J165"/>
    </row>
    <row r="166" spans="1:10" x14ac:dyDescent="0.2">
      <c r="A166" s="27" t="str">
        <f>'5. Cataract_DATA'!A39</f>
        <v>30-44</v>
      </c>
      <c r="B166" s="41">
        <f>'5. Cataract_DATA'!B39</f>
        <v>7896765</v>
      </c>
      <c r="C166" s="46">
        <f>'1.Diabetes case'!L67</f>
        <v>22800</v>
      </c>
      <c r="D166" s="98">
        <f>'1.Diabetes case'!L96</f>
        <v>407737</v>
      </c>
      <c r="G166" s="28"/>
      <c r="J166"/>
    </row>
    <row r="167" spans="1:10" x14ac:dyDescent="0.2">
      <c r="A167" s="27" t="str">
        <f>'5. Cataract_DATA'!A40</f>
        <v>45-59</v>
      </c>
      <c r="B167" s="41">
        <f>'5. Cataract_DATA'!B40</f>
        <v>6554289</v>
      </c>
      <c r="C167" s="46">
        <f>'1.Diabetes case'!L68</f>
        <v>17844</v>
      </c>
      <c r="D167" s="98">
        <f>'1.Diabetes case'!L97</f>
        <v>716551</v>
      </c>
      <c r="G167" s="28"/>
      <c r="J167"/>
    </row>
    <row r="168" spans="1:10" x14ac:dyDescent="0.2">
      <c r="A168" s="27" t="str">
        <f>'5. Cataract_DATA'!A41</f>
        <v>60-69</v>
      </c>
      <c r="B168" s="41">
        <f>'5. Cataract_DATA'!B41</f>
        <v>2344057</v>
      </c>
      <c r="C168" s="46">
        <f>'1.Diabetes case'!L69</f>
        <v>5876</v>
      </c>
      <c r="D168" s="98">
        <f>'1.Diabetes case'!L98</f>
        <v>344390</v>
      </c>
      <c r="G168" s="28"/>
      <c r="J168"/>
    </row>
    <row r="169" spans="1:10" x14ac:dyDescent="0.2">
      <c r="A169" s="27" t="str">
        <f>'5. Cataract_DATA'!A42</f>
        <v>70-79</v>
      </c>
      <c r="B169" s="41">
        <f>'5. Cataract_DATA'!B42</f>
        <v>1173067</v>
      </c>
      <c r="C169" s="46">
        <f>'1.Diabetes case'!L70</f>
        <v>2511</v>
      </c>
      <c r="D169" s="98">
        <f>'1.Diabetes case'!L99</f>
        <v>178996</v>
      </c>
      <c r="G169" s="28"/>
      <c r="J169"/>
    </row>
    <row r="170" spans="1:10" x14ac:dyDescent="0.2">
      <c r="A170" s="27" t="str">
        <f>'5. Cataract_DATA'!A43</f>
        <v>80+</v>
      </c>
      <c r="B170" s="41">
        <f>'5. Cataract_DATA'!B43</f>
        <v>506965</v>
      </c>
      <c r="C170" s="46">
        <f>'1.Diabetes case'!L71</f>
        <v>752</v>
      </c>
      <c r="D170" s="98">
        <f>'1.Diabetes case'!L100</f>
        <v>70802</v>
      </c>
      <c r="G170" s="28"/>
      <c r="J170"/>
    </row>
    <row r="171" spans="1:10" x14ac:dyDescent="0.2">
      <c r="A171" s="27" t="str">
        <f>'5. Cataract_DATA'!A44</f>
        <v>all</v>
      </c>
      <c r="B171" s="41">
        <f>'5. Cataract_DATA'!B44</f>
        <v>31922490</v>
      </c>
      <c r="C171" s="46">
        <f>'1.Diabetes case'!L72</f>
        <v>70559</v>
      </c>
      <c r="D171" s="98">
        <f>'1.Diabetes case'!L101</f>
        <v>1819930</v>
      </c>
      <c r="G171" s="28"/>
      <c r="J171"/>
    </row>
    <row r="172" spans="1:10" x14ac:dyDescent="0.2">
      <c r="A172" s="27"/>
      <c r="B172" s="41"/>
      <c r="C172" s="28"/>
      <c r="D172" s="29"/>
      <c r="G172" s="28"/>
      <c r="J172"/>
    </row>
    <row r="173" spans="1:10" x14ac:dyDescent="0.2">
      <c r="A173" s="48" t="str">
        <f>'5. Cataract_DATA'!A46</f>
        <v>Female</v>
      </c>
      <c r="B173" s="41"/>
      <c r="C173" s="28"/>
      <c r="D173" s="29"/>
      <c r="G173" s="28"/>
      <c r="J173"/>
    </row>
    <row r="174" spans="1:10" x14ac:dyDescent="0.2">
      <c r="A174" s="27" t="str">
        <f>'5. Cataract_DATA'!A47</f>
        <v>0-4</v>
      </c>
      <c r="B174" s="41">
        <f>'5. Cataract_DATA'!B47</f>
        <v>1849075</v>
      </c>
      <c r="C174" s="46">
        <f>'1.Diabetes case'!L75</f>
        <v>469</v>
      </c>
      <c r="D174" s="98">
        <f>'1.Diabetes case'!L104</f>
        <v>0</v>
      </c>
      <c r="G174" s="28"/>
      <c r="J174"/>
    </row>
    <row r="175" spans="1:10" x14ac:dyDescent="0.2">
      <c r="A175" s="27" t="str">
        <f>'5. Cataract_DATA'!A48</f>
        <v>5-14</v>
      </c>
      <c r="B175" s="41">
        <f>'5. Cataract_DATA'!B48</f>
        <v>3940160</v>
      </c>
      <c r="C175" s="46">
        <f>'1.Diabetes case'!L76</f>
        <v>3929</v>
      </c>
      <c r="D175" s="98">
        <f>'1.Diabetes case'!L105</f>
        <v>0</v>
      </c>
      <c r="G175" s="28"/>
      <c r="J175"/>
    </row>
    <row r="176" spans="1:10" x14ac:dyDescent="0.2">
      <c r="A176" s="27" t="str">
        <f>'5. Cataract_DATA'!A49</f>
        <v>15-29</v>
      </c>
      <c r="B176" s="41">
        <f>'5. Cataract_DATA'!B49</f>
        <v>7026158.1752900956</v>
      </c>
      <c r="C176" s="46">
        <f>'1.Diabetes case'!L77</f>
        <v>15515</v>
      </c>
      <c r="D176" s="98">
        <f>'1.Diabetes case'!L106</f>
        <v>153923</v>
      </c>
      <c r="G176" s="28"/>
      <c r="J176"/>
    </row>
    <row r="177" spans="1:10" x14ac:dyDescent="0.2">
      <c r="A177" s="27" t="str">
        <f>'5. Cataract_DATA'!A50</f>
        <v>30-44</v>
      </c>
      <c r="B177" s="41">
        <f>'5. Cataract_DATA'!B50</f>
        <v>8017814</v>
      </c>
      <c r="C177" s="46">
        <f>'1.Diabetes case'!L78</f>
        <v>23335</v>
      </c>
      <c r="D177" s="98">
        <f>'1.Diabetes case'!L107</f>
        <v>465019</v>
      </c>
      <c r="G177" s="28"/>
      <c r="J177"/>
    </row>
    <row r="178" spans="1:10" x14ac:dyDescent="0.2">
      <c r="A178" s="27" t="str">
        <f>'5. Cataract_DATA'!A51</f>
        <v>45-59</v>
      </c>
      <c r="B178" s="41">
        <f>'5. Cataract_DATA'!B51</f>
        <v>7162204</v>
      </c>
      <c r="C178" s="46">
        <f>'1.Diabetes case'!L79</f>
        <v>19868</v>
      </c>
      <c r="D178" s="98">
        <f>'1.Diabetes case'!L108</f>
        <v>800798</v>
      </c>
      <c r="G178" s="28"/>
      <c r="J178"/>
    </row>
    <row r="179" spans="1:10" x14ac:dyDescent="0.2">
      <c r="A179" s="27" t="str">
        <f>'5. Cataract_DATA'!A52</f>
        <v>60-69</v>
      </c>
      <c r="B179" s="41">
        <f>'5. Cataract_DATA'!B52</f>
        <v>2739970.5356088658</v>
      </c>
      <c r="C179" s="46">
        <f>'1.Diabetes case'!L80</f>
        <v>6831</v>
      </c>
      <c r="D179" s="98">
        <f>'1.Diabetes case'!L109</f>
        <v>556682</v>
      </c>
      <c r="G179" s="28"/>
      <c r="J179"/>
    </row>
    <row r="180" spans="1:10" x14ac:dyDescent="0.2">
      <c r="A180" s="27" t="str">
        <f>'5. Cataract_DATA'!A53</f>
        <v>70-79</v>
      </c>
      <c r="B180" s="41">
        <f>'5. Cataract_DATA'!B53</f>
        <v>1513246</v>
      </c>
      <c r="C180" s="46">
        <f>'1.Diabetes case'!L81</f>
        <v>2988</v>
      </c>
      <c r="D180" s="98">
        <f>'1.Diabetes case'!L110</f>
        <v>326983</v>
      </c>
      <c r="G180" s="28"/>
      <c r="J180"/>
    </row>
    <row r="181" spans="1:10" x14ac:dyDescent="0.2">
      <c r="A181" s="27" t="str">
        <f>'5. Cataract_DATA'!A54</f>
        <v>80+</v>
      </c>
      <c r="B181" s="41">
        <f>'5. Cataract_DATA'!B54</f>
        <v>784195.44620730029</v>
      </c>
      <c r="C181" s="46">
        <f>'1.Diabetes case'!L82</f>
        <v>1020</v>
      </c>
      <c r="D181" s="98">
        <f>'1.Diabetes case'!L111</f>
        <v>100015</v>
      </c>
      <c r="G181" s="28"/>
      <c r="J181"/>
    </row>
    <row r="182" spans="1:10" x14ac:dyDescent="0.2">
      <c r="A182" s="27" t="str">
        <f>'5. Cataract_DATA'!A55</f>
        <v>all</v>
      </c>
      <c r="B182" s="41">
        <f>'5. Cataract_DATA'!B55</f>
        <v>33032823.157106262</v>
      </c>
      <c r="C182" s="46">
        <f>'1.Diabetes case'!L83</f>
        <v>73955</v>
      </c>
      <c r="D182" s="98">
        <f>'1.Diabetes case'!L112</f>
        <v>2403420</v>
      </c>
      <c r="G182" s="28"/>
      <c r="J182"/>
    </row>
    <row r="183" spans="1:10" x14ac:dyDescent="0.2">
      <c r="A183" s="30"/>
      <c r="B183" s="5"/>
      <c r="C183" s="31"/>
      <c r="D183" s="32"/>
      <c r="G183" s="28"/>
      <c r="J183"/>
    </row>
    <row r="184" spans="1:10" x14ac:dyDescent="0.2">
      <c r="G184" s="28"/>
      <c r="J184"/>
    </row>
    <row r="185" spans="1:10" x14ac:dyDescent="0.2">
      <c r="A185" s="23"/>
    </row>
    <row r="187" spans="1:10" x14ac:dyDescent="0.2">
      <c r="A187" s="22"/>
    </row>
  </sheetData>
  <mergeCells count="10">
    <mergeCell ref="E34:F34"/>
    <mergeCell ref="H34:I34"/>
    <mergeCell ref="H98:I98"/>
    <mergeCell ref="A160:A161"/>
    <mergeCell ref="C160:D160"/>
    <mergeCell ref="B160:B161"/>
    <mergeCell ref="A98:A99"/>
    <mergeCell ref="B98:C98"/>
    <mergeCell ref="D98:E98"/>
    <mergeCell ref="F98:G9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84"/>
  <sheetViews>
    <sheetView tabSelected="1" topLeftCell="A65" workbookViewId="0">
      <selection activeCell="K84" sqref="K84"/>
    </sheetView>
  </sheetViews>
  <sheetFormatPr baseColWidth="10" defaultColWidth="9" defaultRowHeight="15" x14ac:dyDescent="0.2"/>
  <cols>
    <col min="1" max="1" width="17.83203125" style="22" customWidth="1"/>
    <col min="2" max="2" width="19.5" style="22" customWidth="1"/>
    <col min="3" max="3" width="12.33203125" style="22" customWidth="1"/>
    <col min="4" max="4" width="12.6640625" style="22" customWidth="1"/>
    <col min="5" max="5" width="10.6640625" style="22" customWidth="1"/>
    <col min="6" max="6" width="11.83203125" style="22" customWidth="1"/>
    <col min="7" max="7" width="14.33203125" style="22" customWidth="1"/>
    <col min="8" max="8" width="11.5" style="22" customWidth="1"/>
    <col min="9" max="10" width="9" style="22"/>
    <col min="11" max="11" width="17.33203125" style="22" customWidth="1"/>
    <col min="12" max="12" width="17.5" style="22" customWidth="1"/>
    <col min="13" max="16384" width="9" style="22"/>
  </cols>
  <sheetData>
    <row r="1" spans="1:10" x14ac:dyDescent="0.2">
      <c r="A1" s="420" t="s">
        <v>119</v>
      </c>
      <c r="B1" s="420"/>
      <c r="C1" s="420"/>
      <c r="D1" s="420"/>
      <c r="E1" s="420"/>
    </row>
    <row r="2" spans="1:10" x14ac:dyDescent="0.2">
      <c r="A2" s="420" t="s">
        <v>0</v>
      </c>
      <c r="B2" s="420"/>
      <c r="C2" s="420"/>
      <c r="D2" s="420"/>
      <c r="E2" s="420"/>
    </row>
    <row r="3" spans="1:10" x14ac:dyDescent="0.2">
      <c r="A3" s="420" t="s">
        <v>50</v>
      </c>
      <c r="B3" s="420"/>
      <c r="C3" s="420"/>
      <c r="D3" s="420"/>
      <c r="E3" s="420"/>
    </row>
    <row r="4" spans="1:10" x14ac:dyDescent="0.2">
      <c r="A4" s="420" t="s">
        <v>167</v>
      </c>
      <c r="B4" s="420"/>
      <c r="C4" s="420"/>
      <c r="D4" s="420"/>
      <c r="E4" s="420"/>
    </row>
    <row r="5" spans="1:10" x14ac:dyDescent="0.2">
      <c r="A5" s="420" t="s">
        <v>46</v>
      </c>
      <c r="B5" s="420"/>
      <c r="C5" s="420"/>
      <c r="D5" s="420"/>
      <c r="E5" s="420"/>
    </row>
    <row r="6" spans="1:10" x14ac:dyDescent="0.2">
      <c r="A6" s="420" t="s">
        <v>1</v>
      </c>
      <c r="B6" s="420"/>
      <c r="C6" s="420"/>
      <c r="D6" s="420"/>
      <c r="E6" s="420"/>
    </row>
    <row r="7" spans="1:10" x14ac:dyDescent="0.2">
      <c r="A7" s="2"/>
      <c r="B7" s="2"/>
      <c r="C7" s="2"/>
      <c r="D7" s="2"/>
      <c r="E7" s="2"/>
    </row>
    <row r="8" spans="1:10" x14ac:dyDescent="0.2">
      <c r="A8" s="23" t="s">
        <v>2</v>
      </c>
    </row>
    <row r="10" spans="1:10" x14ac:dyDescent="0.2">
      <c r="A10" s="44" t="s">
        <v>3</v>
      </c>
      <c r="B10" s="65" t="s">
        <v>4</v>
      </c>
      <c r="C10" s="415" t="s">
        <v>41</v>
      </c>
      <c r="D10" s="416"/>
      <c r="E10" s="417"/>
      <c r="F10" s="49"/>
      <c r="G10" s="49"/>
    </row>
    <row r="11" spans="1:10" x14ac:dyDescent="0.2">
      <c r="A11" s="52"/>
      <c r="B11" s="66"/>
      <c r="C11" s="50"/>
      <c r="D11" s="49"/>
      <c r="E11" s="51"/>
      <c r="F11" s="49"/>
      <c r="G11" s="49"/>
    </row>
    <row r="12" spans="1:10" x14ac:dyDescent="0.2">
      <c r="A12" s="30"/>
      <c r="B12" s="68"/>
      <c r="C12" s="30"/>
      <c r="D12" s="31"/>
      <c r="E12" s="32"/>
      <c r="F12" s="28"/>
      <c r="G12" s="28"/>
    </row>
    <row r="14" spans="1:10" x14ac:dyDescent="0.2">
      <c r="A14" s="23" t="s">
        <v>5</v>
      </c>
      <c r="E14" s="28"/>
    </row>
    <row r="15" spans="1:10" x14ac:dyDescent="0.2">
      <c r="A15" s="23"/>
      <c r="B15" s="23"/>
      <c r="E15" s="28"/>
      <c r="F15" s="28"/>
      <c r="G15" s="28"/>
      <c r="H15" s="28"/>
      <c r="I15" s="28"/>
      <c r="J15" s="28"/>
    </row>
    <row r="16" spans="1:10" x14ac:dyDescent="0.2">
      <c r="A16" s="65" t="s">
        <v>4</v>
      </c>
      <c r="B16" s="43" t="s">
        <v>30</v>
      </c>
      <c r="C16" s="54" t="s">
        <v>6</v>
      </c>
    </row>
    <row r="17" spans="1:6" x14ac:dyDescent="0.2">
      <c r="A17" s="66" t="s">
        <v>246</v>
      </c>
      <c r="B17" s="55">
        <v>0.19</v>
      </c>
      <c r="C17" s="418" t="s">
        <v>161</v>
      </c>
    </row>
    <row r="18" spans="1:6" x14ac:dyDescent="0.2">
      <c r="A18" s="67" t="s">
        <v>247</v>
      </c>
      <c r="B18" s="41">
        <v>0.19</v>
      </c>
      <c r="C18" s="419"/>
      <c r="E18" s="160" t="s">
        <v>163</v>
      </c>
    </row>
    <row r="19" spans="1:6" x14ac:dyDescent="0.2">
      <c r="A19" s="53"/>
      <c r="B19" s="5"/>
      <c r="C19" s="32"/>
    </row>
    <row r="20" spans="1:6" x14ac:dyDescent="0.2">
      <c r="A20" s="92"/>
      <c r="B20" s="28"/>
      <c r="C20" s="28"/>
    </row>
    <row r="21" spans="1:6" x14ac:dyDescent="0.2">
      <c r="A21" s="92"/>
      <c r="B21" s="28"/>
      <c r="C21" s="28"/>
    </row>
    <row r="22" spans="1:6" x14ac:dyDescent="0.2">
      <c r="A22" s="92"/>
      <c r="B22" s="28"/>
      <c r="C22" s="28"/>
    </row>
    <row r="23" spans="1:6" x14ac:dyDescent="0.2">
      <c r="A23" s="92"/>
      <c r="B23" s="28"/>
      <c r="C23" s="28"/>
    </row>
    <row r="24" spans="1:6" x14ac:dyDescent="0.2">
      <c r="A24" s="92"/>
      <c r="B24" s="28"/>
      <c r="C24" s="28"/>
    </row>
    <row r="25" spans="1:6" x14ac:dyDescent="0.2">
      <c r="A25" s="92"/>
      <c r="B25" s="28"/>
      <c r="C25" s="28"/>
    </row>
    <row r="26" spans="1:6" x14ac:dyDescent="0.2">
      <c r="A26" s="92"/>
      <c r="B26" s="28"/>
      <c r="C26" s="28"/>
    </row>
    <row r="28" spans="1:6" x14ac:dyDescent="0.2">
      <c r="A28" s="23" t="s">
        <v>8</v>
      </c>
    </row>
    <row r="29" spans="1:6" x14ac:dyDescent="0.2">
      <c r="A29" s="23"/>
    </row>
    <row r="30" spans="1:6" x14ac:dyDescent="0.2">
      <c r="A30" s="436" t="s">
        <v>4</v>
      </c>
      <c r="B30" s="454" t="s">
        <v>159</v>
      </c>
      <c r="C30" s="411" t="s">
        <v>81</v>
      </c>
      <c r="D30" s="429" t="s">
        <v>9</v>
      </c>
      <c r="E30" s="430"/>
      <c r="F30" s="421" t="s">
        <v>6</v>
      </c>
    </row>
    <row r="31" spans="1:6" x14ac:dyDescent="0.2">
      <c r="A31" s="437"/>
      <c r="B31" s="455"/>
      <c r="C31" s="460"/>
      <c r="D31" s="155" t="s">
        <v>108</v>
      </c>
      <c r="E31" s="155" t="s">
        <v>109</v>
      </c>
      <c r="F31" s="453"/>
    </row>
    <row r="32" spans="1:6" ht="16" x14ac:dyDescent="0.2">
      <c r="A32" s="445" t="s">
        <v>246</v>
      </c>
      <c r="B32" s="149" t="s">
        <v>149</v>
      </c>
      <c r="C32" s="96" t="s">
        <v>160</v>
      </c>
      <c r="D32" s="156">
        <v>2</v>
      </c>
      <c r="E32" s="156">
        <v>2</v>
      </c>
      <c r="F32" s="153" t="s">
        <v>161</v>
      </c>
    </row>
    <row r="33" spans="1:10" x14ac:dyDescent="0.2">
      <c r="A33" s="446"/>
      <c r="B33" s="456" t="s">
        <v>148</v>
      </c>
      <c r="C33" s="33" t="s">
        <v>7</v>
      </c>
      <c r="D33" s="105">
        <f>'1.Diabetes case'!C26</f>
        <v>57.2334757</v>
      </c>
      <c r="E33" s="105">
        <f>'1.Diabetes case'!D26</f>
        <v>69.364647599999998</v>
      </c>
      <c r="F33" s="458" t="s">
        <v>162</v>
      </c>
    </row>
    <row r="34" spans="1:10" x14ac:dyDescent="0.2">
      <c r="A34" s="446"/>
      <c r="B34" s="456"/>
      <c r="C34" s="33" t="s">
        <v>11</v>
      </c>
      <c r="D34" s="105">
        <f>'1.Diabetes case'!C27</f>
        <v>50.264189100000003</v>
      </c>
      <c r="E34" s="105">
        <f>'1.Diabetes case'!D27</f>
        <v>62.355401100000002</v>
      </c>
      <c r="F34" s="458"/>
    </row>
    <row r="35" spans="1:10" x14ac:dyDescent="0.2">
      <c r="A35" s="446"/>
      <c r="B35" s="456"/>
      <c r="C35" s="33" t="s">
        <v>12</v>
      </c>
      <c r="D35" s="105">
        <f>'1.Diabetes case'!C28</f>
        <v>39.815991599999997</v>
      </c>
      <c r="E35" s="105">
        <f>'1.Diabetes case'!D28</f>
        <v>51.082296700000001</v>
      </c>
      <c r="F35" s="458"/>
    </row>
    <row r="36" spans="1:10" x14ac:dyDescent="0.2">
      <c r="A36" s="446"/>
      <c r="B36" s="456"/>
      <c r="C36" s="33" t="s">
        <v>13</v>
      </c>
      <c r="D36" s="105">
        <f>'1.Diabetes case'!C29</f>
        <v>32.651477</v>
      </c>
      <c r="E36" s="105">
        <f>'1.Diabetes case'!D29</f>
        <v>41.898612</v>
      </c>
      <c r="F36" s="458"/>
    </row>
    <row r="37" spans="1:10" x14ac:dyDescent="0.2">
      <c r="A37" s="446"/>
      <c r="B37" s="456"/>
      <c r="C37" s="33" t="s">
        <v>14</v>
      </c>
      <c r="D37" s="105">
        <f>'1.Diabetes case'!C30</f>
        <v>22.307461499999999</v>
      </c>
      <c r="E37" s="105">
        <f>'1.Diabetes case'!D30</f>
        <v>30.925864199999999</v>
      </c>
      <c r="F37" s="458"/>
    </row>
    <row r="38" spans="1:10" x14ac:dyDescent="0.2">
      <c r="A38" s="446"/>
      <c r="B38" s="456"/>
      <c r="C38" s="33" t="s">
        <v>15</v>
      </c>
      <c r="D38" s="105">
        <f>'1.Diabetes case'!C31</f>
        <v>14.7862112</v>
      </c>
      <c r="E38" s="105">
        <f>'1.Diabetes case'!D31</f>
        <v>18.924311199999998</v>
      </c>
      <c r="F38" s="458"/>
    </row>
    <row r="39" spans="1:10" x14ac:dyDescent="0.2">
      <c r="A39" s="446"/>
      <c r="B39" s="456"/>
      <c r="C39" s="33" t="s">
        <v>16</v>
      </c>
      <c r="D39" s="105">
        <f>'1.Diabetes case'!C32</f>
        <v>11.131687899999999</v>
      </c>
      <c r="E39" s="105">
        <f>'1.Diabetes case'!D32</f>
        <v>12.7368098</v>
      </c>
      <c r="F39" s="458"/>
      <c r="I39" s="22" t="s">
        <v>23</v>
      </c>
    </row>
    <row r="40" spans="1:10" x14ac:dyDescent="0.2">
      <c r="A40" s="447"/>
      <c r="B40" s="457"/>
      <c r="C40" s="33" t="s">
        <v>17</v>
      </c>
      <c r="D40" s="105">
        <f>'1.Diabetes case'!C33</f>
        <v>9.6427203000000006</v>
      </c>
      <c r="E40" s="105">
        <f>'1.Diabetes case'!D33</f>
        <v>9.9983436999999995</v>
      </c>
      <c r="F40" s="458"/>
    </row>
    <row r="41" spans="1:10" ht="16" x14ac:dyDescent="0.2">
      <c r="A41" s="445" t="s">
        <v>247</v>
      </c>
      <c r="B41" s="149" t="s">
        <v>149</v>
      </c>
      <c r="C41" s="96" t="s">
        <v>160</v>
      </c>
      <c r="D41" s="158">
        <v>2</v>
      </c>
      <c r="E41" s="158">
        <v>2</v>
      </c>
      <c r="F41" s="154" t="s">
        <v>161</v>
      </c>
      <c r="H41" s="22" t="s">
        <v>23</v>
      </c>
      <c r="I41" s="22" t="s">
        <v>23</v>
      </c>
    </row>
    <row r="42" spans="1:10" x14ac:dyDescent="0.2">
      <c r="A42" s="446"/>
      <c r="B42" s="456" t="s">
        <v>148</v>
      </c>
      <c r="C42" s="33" t="s">
        <v>7</v>
      </c>
      <c r="D42" s="157">
        <f>'1.Diabetes case'!C34</f>
        <v>54.167493999999998</v>
      </c>
      <c r="E42" s="157">
        <f>'1.Diabetes case'!D34</f>
        <v>64.091886000000002</v>
      </c>
      <c r="F42" s="458" t="s">
        <v>162</v>
      </c>
    </row>
    <row r="43" spans="1:10" x14ac:dyDescent="0.2">
      <c r="A43" s="446"/>
      <c r="B43" s="456"/>
      <c r="C43" s="33" t="s">
        <v>11</v>
      </c>
      <c r="D43" s="157">
        <f>'1.Diabetes case'!C35</f>
        <v>45.157583000000002</v>
      </c>
      <c r="E43" s="157">
        <f>'1.Diabetes case'!D35</f>
        <v>55.898117999999997</v>
      </c>
      <c r="F43" s="458"/>
    </row>
    <row r="44" spans="1:10" x14ac:dyDescent="0.2">
      <c r="A44" s="446"/>
      <c r="B44" s="456"/>
      <c r="C44" s="33" t="s">
        <v>12</v>
      </c>
      <c r="D44" s="157">
        <f>'1.Diabetes case'!C36</f>
        <v>37.063034999999999</v>
      </c>
      <c r="E44" s="157">
        <f>'1.Diabetes case'!D36</f>
        <v>47.189256999999998</v>
      </c>
      <c r="F44" s="458"/>
      <c r="I44" s="22" t="s">
        <v>23</v>
      </c>
    </row>
    <row r="45" spans="1:10" x14ac:dyDescent="0.2">
      <c r="A45" s="446"/>
      <c r="B45" s="456"/>
      <c r="C45" s="33" t="s">
        <v>13</v>
      </c>
      <c r="D45" s="157">
        <f>'1.Diabetes case'!C37</f>
        <v>28.429959</v>
      </c>
      <c r="E45" s="157">
        <f>'1.Diabetes case'!D37</f>
        <v>32.744303000000002</v>
      </c>
      <c r="F45" s="458"/>
      <c r="J45" s="22" t="s">
        <v>23</v>
      </c>
    </row>
    <row r="46" spans="1:10" x14ac:dyDescent="0.2">
      <c r="A46" s="446"/>
      <c r="B46" s="456"/>
      <c r="C46" s="33" t="s">
        <v>14</v>
      </c>
      <c r="D46" s="157">
        <f>'1.Diabetes case'!C38</f>
        <v>21.400614999999998</v>
      </c>
      <c r="E46" s="157">
        <f>'1.Diabetes case'!D38</f>
        <v>22.17709</v>
      </c>
      <c r="F46" s="458"/>
    </row>
    <row r="47" spans="1:10" x14ac:dyDescent="0.2">
      <c r="A47" s="446"/>
      <c r="B47" s="456"/>
      <c r="C47" s="33" t="s">
        <v>15</v>
      </c>
      <c r="D47" s="42">
        <f>'1.Diabetes case'!C39</f>
        <v>14.177087</v>
      </c>
      <c r="E47" s="42">
        <f>'1.Diabetes case'!D39</f>
        <v>13.955360000000001</v>
      </c>
      <c r="F47" s="458"/>
    </row>
    <row r="48" spans="1:10" x14ac:dyDescent="0.2">
      <c r="A48" s="446"/>
      <c r="B48" s="456"/>
      <c r="C48" s="33" t="s">
        <v>16</v>
      </c>
      <c r="D48" s="42">
        <f>'1.Diabetes case'!C40</f>
        <v>9.0248369999999998</v>
      </c>
      <c r="E48" s="42">
        <f>'1.Diabetes case'!D40</f>
        <v>7.9026259999999997</v>
      </c>
      <c r="F48" s="458"/>
    </row>
    <row r="49" spans="1:10" x14ac:dyDescent="0.2">
      <c r="A49" s="447"/>
      <c r="B49" s="457"/>
      <c r="C49" s="53" t="s">
        <v>17</v>
      </c>
      <c r="D49" s="159">
        <f>'1.Diabetes case'!C41</f>
        <v>6.344195</v>
      </c>
      <c r="E49" s="159">
        <f>'1.Diabetes case'!D41</f>
        <v>4.723509</v>
      </c>
      <c r="F49" s="459"/>
    </row>
    <row r="50" spans="1:10" x14ac:dyDescent="0.2">
      <c r="A50" s="23"/>
    </row>
    <row r="52" spans="1:10" x14ac:dyDescent="0.2">
      <c r="A52" s="9" t="s">
        <v>10</v>
      </c>
    </row>
    <row r="54" spans="1:10" x14ac:dyDescent="0.2">
      <c r="A54" s="24"/>
      <c r="B54" s="25" t="s">
        <v>7</v>
      </c>
      <c r="C54" s="25" t="s">
        <v>11</v>
      </c>
      <c r="D54" s="25" t="s">
        <v>12</v>
      </c>
      <c r="E54" s="25" t="s">
        <v>13</v>
      </c>
      <c r="F54" s="25" t="s">
        <v>14</v>
      </c>
      <c r="G54" s="25" t="s">
        <v>15</v>
      </c>
      <c r="H54" s="25" t="s">
        <v>16</v>
      </c>
      <c r="I54" s="25" t="s">
        <v>17</v>
      </c>
      <c r="J54" s="26" t="s">
        <v>18</v>
      </c>
    </row>
    <row r="55" spans="1:10" x14ac:dyDescent="0.2">
      <c r="A55" s="27" t="s">
        <v>19</v>
      </c>
      <c r="B55" s="28"/>
      <c r="C55" s="28"/>
      <c r="D55" s="28"/>
      <c r="E55" s="28"/>
      <c r="F55" s="28"/>
      <c r="G55" s="28"/>
      <c r="H55" s="28"/>
      <c r="I55" s="28"/>
      <c r="J55" s="29"/>
    </row>
    <row r="56" spans="1:10" x14ac:dyDescent="0.2">
      <c r="A56" s="21" t="s">
        <v>20</v>
      </c>
      <c r="B56" s="28"/>
      <c r="C56" s="28"/>
      <c r="D56" s="28"/>
      <c r="E56" s="28"/>
      <c r="F56" s="28"/>
      <c r="G56" s="28"/>
      <c r="H56" s="28"/>
      <c r="I56" s="28"/>
      <c r="J56" s="29"/>
    </row>
    <row r="57" spans="1:10" x14ac:dyDescent="0.2">
      <c r="A57" s="21" t="s">
        <v>21</v>
      </c>
      <c r="B57" s="28"/>
      <c r="C57" s="28"/>
      <c r="D57" s="28"/>
      <c r="E57" s="28"/>
      <c r="F57" s="28"/>
      <c r="G57" s="28"/>
      <c r="H57" s="28"/>
      <c r="I57" s="28"/>
      <c r="J57" s="29"/>
    </row>
    <row r="58" spans="1:10" x14ac:dyDescent="0.2">
      <c r="A58" s="27" t="s">
        <v>22</v>
      </c>
      <c r="B58" s="28"/>
      <c r="C58" s="28"/>
      <c r="D58" s="28"/>
      <c r="E58" s="28"/>
      <c r="F58" s="28"/>
      <c r="G58" s="28"/>
      <c r="H58" s="28"/>
      <c r="I58" s="28"/>
      <c r="J58" s="29"/>
    </row>
    <row r="59" spans="1:10" x14ac:dyDescent="0.2">
      <c r="A59" s="21" t="s">
        <v>20</v>
      </c>
      <c r="B59" s="28"/>
      <c r="C59" s="28"/>
      <c r="D59" s="28"/>
      <c r="E59" s="28"/>
      <c r="F59" s="28"/>
      <c r="G59" s="28"/>
      <c r="H59" s="28"/>
      <c r="I59" s="28"/>
      <c r="J59" s="29"/>
    </row>
    <row r="60" spans="1:10" x14ac:dyDescent="0.2">
      <c r="A60" s="21" t="s">
        <v>21</v>
      </c>
      <c r="B60" s="28"/>
      <c r="C60" s="28"/>
      <c r="D60" s="28"/>
      <c r="E60" s="28"/>
      <c r="F60" s="28"/>
      <c r="G60" s="28"/>
      <c r="H60" s="28"/>
      <c r="I60" s="28"/>
      <c r="J60" s="29"/>
    </row>
    <row r="61" spans="1:10" x14ac:dyDescent="0.2">
      <c r="A61" s="27"/>
      <c r="B61" s="28"/>
      <c r="C61" s="28"/>
      <c r="D61" s="28" t="s">
        <v>23</v>
      </c>
      <c r="E61" s="28"/>
      <c r="F61" s="28"/>
      <c r="G61" s="28"/>
      <c r="H61" s="28"/>
      <c r="I61" s="28"/>
      <c r="J61" s="29"/>
    </row>
    <row r="62" spans="1:10" x14ac:dyDescent="0.2">
      <c r="A62" s="30"/>
      <c r="B62" s="31"/>
      <c r="C62" s="31"/>
      <c r="D62" s="31"/>
      <c r="E62" s="31"/>
      <c r="F62" s="31"/>
      <c r="G62" s="31"/>
      <c r="H62" s="31"/>
      <c r="I62" s="31"/>
      <c r="J62" s="32"/>
    </row>
    <row r="64" spans="1:10" x14ac:dyDescent="0.2">
      <c r="A64" s="64" t="s">
        <v>24</v>
      </c>
    </row>
    <row r="66" spans="1:22" x14ac:dyDescent="0.2">
      <c r="A66" s="23" t="s">
        <v>36</v>
      </c>
      <c r="H66" s="22" t="s">
        <v>23</v>
      </c>
    </row>
    <row r="67" spans="1:22" x14ac:dyDescent="0.2">
      <c r="A67" s="23" t="s">
        <v>248</v>
      </c>
    </row>
    <row r="68" spans="1:22" x14ac:dyDescent="0.2">
      <c r="A68" s="23"/>
    </row>
    <row r="69" spans="1:22" x14ac:dyDescent="0.2">
      <c r="A69" s="24" t="s">
        <v>25</v>
      </c>
      <c r="B69" s="25" t="s">
        <v>26</v>
      </c>
      <c r="C69" s="25" t="s">
        <v>159</v>
      </c>
      <c r="D69" s="25" t="s">
        <v>27</v>
      </c>
      <c r="E69" s="25" t="s">
        <v>28</v>
      </c>
      <c r="F69" s="25" t="s">
        <v>9</v>
      </c>
      <c r="G69" s="25" t="s">
        <v>29</v>
      </c>
      <c r="H69" s="25" t="s">
        <v>30</v>
      </c>
      <c r="I69" s="35" t="s">
        <v>31</v>
      </c>
      <c r="J69" s="26" t="s">
        <v>31</v>
      </c>
      <c r="L69" s="37" t="s">
        <v>37</v>
      </c>
      <c r="M69" s="38" t="s">
        <v>38</v>
      </c>
    </row>
    <row r="70" spans="1:22" x14ac:dyDescent="0.2">
      <c r="A70" s="30"/>
      <c r="B70" s="31">
        <v>2014</v>
      </c>
      <c r="C70" s="31"/>
      <c r="D70" s="31"/>
      <c r="E70" s="31" t="s">
        <v>164</v>
      </c>
      <c r="F70" s="31"/>
      <c r="G70" s="31"/>
      <c r="H70" s="31"/>
      <c r="I70" s="36" t="s">
        <v>32</v>
      </c>
      <c r="J70" s="32" t="s">
        <v>33</v>
      </c>
      <c r="L70" s="39" t="s">
        <v>32</v>
      </c>
      <c r="M70" s="40" t="s">
        <v>39</v>
      </c>
    </row>
    <row r="71" spans="1:22" x14ac:dyDescent="0.2">
      <c r="A71" s="27"/>
      <c r="B71" s="28"/>
      <c r="C71" s="28"/>
      <c r="D71" s="28"/>
      <c r="E71" s="28"/>
      <c r="F71" s="28"/>
      <c r="G71" s="28"/>
      <c r="H71" s="28"/>
      <c r="I71" s="58"/>
      <c r="J71" s="29"/>
      <c r="L71" s="27"/>
      <c r="M71" s="41"/>
    </row>
    <row r="72" spans="1:22" x14ac:dyDescent="0.2">
      <c r="A72" s="48" t="s">
        <v>34</v>
      </c>
      <c r="B72" s="28"/>
      <c r="C72" s="28"/>
      <c r="D72" s="28"/>
      <c r="E72" s="28"/>
      <c r="F72" s="42"/>
      <c r="G72" s="47"/>
      <c r="H72" s="45"/>
      <c r="I72" s="58"/>
      <c r="J72" s="29"/>
      <c r="L72" s="27"/>
      <c r="M72" s="41"/>
      <c r="U72" s="406">
        <v>0</v>
      </c>
      <c r="V72" s="406">
        <v>0</v>
      </c>
    </row>
    <row r="73" spans="1:22" x14ac:dyDescent="0.2">
      <c r="A73" s="33" t="s">
        <v>7</v>
      </c>
      <c r="B73" s="28">
        <f>SUM('[2]Pop 57'!$C$5:$C$6)</f>
        <v>1966319</v>
      </c>
      <c r="C73" s="28" t="s">
        <v>148</v>
      </c>
      <c r="D73" s="46">
        <f>E73*B73/10000</f>
        <v>0</v>
      </c>
      <c r="E73" s="101">
        <v>0</v>
      </c>
      <c r="F73" s="42">
        <f>D33</f>
        <v>57.2334757</v>
      </c>
      <c r="G73" s="128">
        <f>'[4]5.Neuropathy'!J151</f>
        <v>2.5259</v>
      </c>
      <c r="H73" s="42">
        <f>$B$17</f>
        <v>0.19</v>
      </c>
      <c r="I73" s="60">
        <f>D73*F73*H73</f>
        <v>0</v>
      </c>
      <c r="J73" s="98">
        <f>D73*H73*(1-EXP(-0.03*F73))/0.03</f>
        <v>0</v>
      </c>
      <c r="L73" s="99">
        <f>M73*H73</f>
        <v>0</v>
      </c>
      <c r="M73" s="100">
        <f>D73*F73</f>
        <v>0</v>
      </c>
      <c r="O73" s="406">
        <f>E73</f>
        <v>0</v>
      </c>
      <c r="R73" s="407">
        <f>O73*10</f>
        <v>0</v>
      </c>
      <c r="S73" s="406"/>
      <c r="U73" s="406">
        <v>8.8000000000000005E-3</v>
      </c>
      <c r="V73" s="406">
        <v>4.3999999999999994E-3</v>
      </c>
    </row>
    <row r="74" spans="1:22" x14ac:dyDescent="0.2">
      <c r="A74" s="33"/>
      <c r="B74" s="28"/>
      <c r="C74" s="28" t="s">
        <v>149</v>
      </c>
      <c r="D74" s="46">
        <f>E74*B73/10000</f>
        <v>0</v>
      </c>
      <c r="E74" s="101">
        <v>0</v>
      </c>
      <c r="F74" s="42">
        <f>D32</f>
        <v>2</v>
      </c>
      <c r="G74" s="128">
        <f>'[4]5.Neuropathy'!J152</f>
        <v>2.5259</v>
      </c>
      <c r="H74" s="42">
        <f t="shared" ref="H74:H107" si="0">$B$17</f>
        <v>0.19</v>
      </c>
      <c r="I74" s="60">
        <f t="shared" ref="I74:I88" si="1">D74*F74*H74</f>
        <v>0</v>
      </c>
      <c r="J74" s="98">
        <f t="shared" ref="J74:J88" si="2">D74*H74*(1-EXP(-0.03*F74))/0.03</f>
        <v>0</v>
      </c>
      <c r="L74" s="99">
        <f t="shared" ref="L74:L87" si="3">M74*H74</f>
        <v>0</v>
      </c>
      <c r="M74" s="100">
        <f t="shared" ref="M74:M87" si="4">D74*F74</f>
        <v>0</v>
      </c>
      <c r="P74" s="406">
        <f>E74</f>
        <v>0</v>
      </c>
      <c r="S74" s="406">
        <f>P74*10</f>
        <v>0</v>
      </c>
      <c r="U74" s="406">
        <v>7.224888888888889E-2</v>
      </c>
      <c r="V74" s="406">
        <v>3.6124444444444452E-2</v>
      </c>
    </row>
    <row r="75" spans="1:22" x14ac:dyDescent="0.2">
      <c r="A75" s="33" t="s">
        <v>11</v>
      </c>
      <c r="B75" s="28">
        <f>SUM('[2]Pop 57'!$C$7:$C$8)</f>
        <v>4179206</v>
      </c>
      <c r="C75" s="28" t="s">
        <v>148</v>
      </c>
      <c r="D75" s="46">
        <f>E75*B75/10000</f>
        <v>0.36777012800000003</v>
      </c>
      <c r="E75" s="101">
        <f>'4.Neuro_DATA'!C88</f>
        <v>8.8000000000000003E-4</v>
      </c>
      <c r="F75" s="42">
        <f>D34</f>
        <v>50.264189100000003</v>
      </c>
      <c r="G75" s="128">
        <f>'[4]5.Neuropathy'!J153</f>
        <v>9.8078000000000003</v>
      </c>
      <c r="H75" s="42">
        <f t="shared" si="0"/>
        <v>0.19</v>
      </c>
      <c r="I75" s="60">
        <f t="shared" si="1"/>
        <v>3.5122767792334093</v>
      </c>
      <c r="J75" s="98">
        <f t="shared" si="2"/>
        <v>1.8135964575798309</v>
      </c>
      <c r="L75" s="99">
        <f t="shared" si="3"/>
        <v>3.5122767792334093</v>
      </c>
      <c r="M75" s="100">
        <f t="shared" si="4"/>
        <v>18.485667259123208</v>
      </c>
      <c r="O75" s="406">
        <f>E75</f>
        <v>8.8000000000000003E-4</v>
      </c>
      <c r="R75" s="407">
        <f t="shared" ref="R75" si="5">O75*10</f>
        <v>8.8000000000000005E-3</v>
      </c>
      <c r="S75" s="406"/>
      <c r="U75" s="406">
        <v>3.6840184888888891E-2</v>
      </c>
      <c r="V75" s="406">
        <v>1.8420092444444446E-2</v>
      </c>
    </row>
    <row r="76" spans="1:22" x14ac:dyDescent="0.2">
      <c r="A76" s="33"/>
      <c r="B76" s="28"/>
      <c r="C76" s="28" t="s">
        <v>149</v>
      </c>
      <c r="D76" s="46">
        <f>E76*B75/10000</f>
        <v>0.18388506399999999</v>
      </c>
      <c r="E76" s="101">
        <f>'4.Neuro_DATA'!D88</f>
        <v>4.3999999999999996E-4</v>
      </c>
      <c r="F76" s="42">
        <f>D32</f>
        <v>2</v>
      </c>
      <c r="G76" s="128">
        <f>'[4]5.Neuropathy'!J154</f>
        <v>9.8078000000000003</v>
      </c>
      <c r="H76" s="42">
        <f t="shared" si="0"/>
        <v>0.19</v>
      </c>
      <c r="I76" s="60">
        <f t="shared" si="1"/>
        <v>6.9876324320000002E-2</v>
      </c>
      <c r="J76" s="98">
        <f t="shared" si="2"/>
        <v>6.7821338969891745E-2</v>
      </c>
      <c r="L76" s="99">
        <f t="shared" si="3"/>
        <v>6.9876324320000002E-2</v>
      </c>
      <c r="M76" s="100">
        <f t="shared" si="4"/>
        <v>0.36777012799999997</v>
      </c>
      <c r="P76" s="406">
        <f t="shared" ref="P76" si="6">E76</f>
        <v>4.3999999999999996E-4</v>
      </c>
      <c r="S76" s="406">
        <f>P76*10</f>
        <v>4.3999999999999994E-3</v>
      </c>
      <c r="U76" s="406">
        <v>2.8681226666666666E-3</v>
      </c>
      <c r="V76" s="406">
        <v>1.4340613333333335E-3</v>
      </c>
    </row>
    <row r="77" spans="1:22" x14ac:dyDescent="0.2">
      <c r="A77" s="33" t="s">
        <v>12</v>
      </c>
      <c r="B77" s="28">
        <f>SUM('[2]Pop 57'!$C$9:$C$11)</f>
        <v>7301822</v>
      </c>
      <c r="C77" s="28" t="s">
        <v>148</v>
      </c>
      <c r="D77" s="46">
        <f>E77*B77/10000</f>
        <v>5.2754852636444447</v>
      </c>
      <c r="E77" s="101">
        <f>'4.Neuro_DATA'!C89</f>
        <v>7.2248888888888892E-3</v>
      </c>
      <c r="F77" s="42">
        <f>D35</f>
        <v>39.815991599999997</v>
      </c>
      <c r="G77" s="128">
        <f>'[4]5.Neuropathy'!J155</f>
        <v>21.895700000000001</v>
      </c>
      <c r="H77" s="42">
        <f t="shared" si="0"/>
        <v>0.19</v>
      </c>
      <c r="I77" s="60">
        <f t="shared" si="1"/>
        <v>39.909248619206288</v>
      </c>
      <c r="J77" s="98">
        <f t="shared" si="2"/>
        <v>23.29237868065983</v>
      </c>
      <c r="L77" s="99">
        <f t="shared" si="3"/>
        <v>39.909248619206288</v>
      </c>
      <c r="M77" s="100">
        <f t="shared" si="4"/>
        <v>210.04867694319097</v>
      </c>
      <c r="O77" s="406">
        <f t="shared" ref="O77" si="7">E77</f>
        <v>7.2248888888888892E-3</v>
      </c>
      <c r="R77" s="407">
        <f t="shared" ref="R77" si="8">O77*10</f>
        <v>7.224888888888889E-2</v>
      </c>
      <c r="S77" s="406"/>
      <c r="U77" s="406">
        <v>1.4000000000000002E-3</v>
      </c>
      <c r="V77" s="406">
        <v>6.9999999999999988E-4</v>
      </c>
    </row>
    <row r="78" spans="1:22" x14ac:dyDescent="0.2">
      <c r="A78" s="33"/>
      <c r="B78" s="28"/>
      <c r="C78" s="28" t="s">
        <v>149</v>
      </c>
      <c r="D78" s="46">
        <f>E78*B77/10000</f>
        <v>2.6377426318222228</v>
      </c>
      <c r="E78" s="101">
        <f>'4.Neuro_DATA'!D89</f>
        <v>3.612444444444445E-3</v>
      </c>
      <c r="F78" s="42">
        <f>D32</f>
        <v>2</v>
      </c>
      <c r="G78" s="128">
        <f>'[4]5.Neuropathy'!J156</f>
        <v>21.895700000000001</v>
      </c>
      <c r="H78" s="42">
        <f t="shared" si="0"/>
        <v>0.19</v>
      </c>
      <c r="I78" s="60">
        <f t="shared" si="1"/>
        <v>1.0023422000924447</v>
      </c>
      <c r="J78" s="98">
        <f t="shared" si="2"/>
        <v>0.97286442550956354</v>
      </c>
      <c r="L78" s="99">
        <f t="shared" si="3"/>
        <v>1.0023422000924447</v>
      </c>
      <c r="M78" s="100">
        <f t="shared" si="4"/>
        <v>5.2754852636444456</v>
      </c>
      <c r="P78" s="406">
        <f t="shared" ref="P78" si="9">E78</f>
        <v>3.612444444444445E-3</v>
      </c>
      <c r="S78" s="406">
        <f t="shared" ref="S78" si="10">P78*10</f>
        <v>3.6124444444444452E-2</v>
      </c>
      <c r="U78" s="406">
        <v>0</v>
      </c>
      <c r="V78" s="406">
        <v>0</v>
      </c>
    </row>
    <row r="79" spans="1:22" x14ac:dyDescent="0.2">
      <c r="A79" s="33" t="s">
        <v>13</v>
      </c>
      <c r="B79" s="28">
        <f>SUM('[2]Pop 57'!$C$12:$C$14)</f>
        <v>7896765</v>
      </c>
      <c r="C79" s="28" t="s">
        <v>148</v>
      </c>
      <c r="D79" s="46">
        <f>E79*B79/10000</f>
        <v>2.9091828262410666</v>
      </c>
      <c r="E79" s="101">
        <f>'4.Neuro_DATA'!C90</f>
        <v>3.6840184888888888E-3</v>
      </c>
      <c r="F79" s="42">
        <f>D36</f>
        <v>32.651477</v>
      </c>
      <c r="G79" s="128">
        <f>'[4]5.Neuropathy'!J157</f>
        <v>31.755299999999998</v>
      </c>
      <c r="H79" s="42">
        <f t="shared" si="0"/>
        <v>0.19</v>
      </c>
      <c r="I79" s="60">
        <f t="shared" si="1"/>
        <v>18.047932066562982</v>
      </c>
      <c r="J79" s="98">
        <f t="shared" si="2"/>
        <v>11.506631578932714</v>
      </c>
      <c r="L79" s="99">
        <f t="shared" si="3"/>
        <v>18.047932066562982</v>
      </c>
      <c r="M79" s="100">
        <f t="shared" si="4"/>
        <v>94.989116139805176</v>
      </c>
      <c r="O79" s="406">
        <f t="shared" ref="O79" si="11">E79</f>
        <v>3.6840184888888888E-3</v>
      </c>
      <c r="R79" s="407">
        <f t="shared" ref="R79" si="12">O79*10</f>
        <v>3.6840184888888891E-2</v>
      </c>
      <c r="S79" s="406"/>
      <c r="U79" s="406">
        <v>0</v>
      </c>
      <c r="V79" s="406">
        <v>0</v>
      </c>
    </row>
    <row r="80" spans="1:22" x14ac:dyDescent="0.2">
      <c r="A80" s="33"/>
      <c r="B80" s="28"/>
      <c r="C80" s="28" t="s">
        <v>149</v>
      </c>
      <c r="D80" s="46">
        <f>E80*B79/10000</f>
        <v>1.4545914131205335</v>
      </c>
      <c r="E80" s="101">
        <f>'4.Neuro_DATA'!D90</f>
        <v>1.8420092444444446E-3</v>
      </c>
      <c r="F80" s="42">
        <f>D32</f>
        <v>2</v>
      </c>
      <c r="G80" s="128">
        <f>'[4]5.Neuropathy'!J158</f>
        <v>31.755299999999998</v>
      </c>
      <c r="H80" s="42">
        <f t="shared" si="0"/>
        <v>0.19</v>
      </c>
      <c r="I80" s="60">
        <f t="shared" si="1"/>
        <v>0.55274473698580273</v>
      </c>
      <c r="J80" s="98">
        <f t="shared" si="2"/>
        <v>0.53648912612033317</v>
      </c>
      <c r="L80" s="99">
        <f t="shared" si="3"/>
        <v>0.55274473698580273</v>
      </c>
      <c r="M80" s="100">
        <f t="shared" si="4"/>
        <v>2.9091828262410671</v>
      </c>
      <c r="P80" s="406">
        <f t="shared" ref="P80" si="13">E80</f>
        <v>1.8420092444444446E-3</v>
      </c>
      <c r="S80" s="406">
        <f t="shared" ref="S80" si="14">P80*10</f>
        <v>1.8420092444444446E-2</v>
      </c>
      <c r="U80" s="406">
        <v>0</v>
      </c>
      <c r="V80" s="406">
        <v>0</v>
      </c>
    </row>
    <row r="81" spans="1:22" x14ac:dyDescent="0.2">
      <c r="A81" s="33" t="s">
        <v>14</v>
      </c>
      <c r="B81" s="28">
        <f>SUM('[2]Pop 57'!$C$15:$C$17)</f>
        <v>6554289</v>
      </c>
      <c r="C81" s="28" t="s">
        <v>148</v>
      </c>
      <c r="D81" s="46">
        <f>E81*B81/10000</f>
        <v>0.18798504844784</v>
      </c>
      <c r="E81" s="101">
        <f>'4.Neuro_DATA'!C91</f>
        <v>2.8681226666666667E-4</v>
      </c>
      <c r="F81" s="42">
        <f>D37</f>
        <v>22.307461499999999</v>
      </c>
      <c r="G81" s="128">
        <f>'[4]5.Neuropathy'!J159</f>
        <v>0</v>
      </c>
      <c r="H81" s="42">
        <f t="shared" si="0"/>
        <v>0.19</v>
      </c>
      <c r="I81" s="60">
        <f t="shared" si="1"/>
        <v>0.79675915385690688</v>
      </c>
      <c r="J81" s="98">
        <f t="shared" si="2"/>
        <v>0.5808730449162085</v>
      </c>
      <c r="L81" s="99">
        <f t="shared" si="3"/>
        <v>0.79675915385690688</v>
      </c>
      <c r="M81" s="100">
        <f t="shared" si="4"/>
        <v>4.1934692308258255</v>
      </c>
      <c r="O81" s="406">
        <f t="shared" ref="O81" si="15">E81</f>
        <v>2.8681226666666667E-4</v>
      </c>
      <c r="R81" s="407">
        <f t="shared" ref="R81" si="16">O81*10</f>
        <v>2.8681226666666666E-3</v>
      </c>
      <c r="S81" s="406"/>
      <c r="U81" s="406">
        <v>8.8000000000000005E-3</v>
      </c>
      <c r="V81" s="406">
        <v>4.3999999999999994E-3</v>
      </c>
    </row>
    <row r="82" spans="1:22" x14ac:dyDescent="0.2">
      <c r="A82" s="33"/>
      <c r="B82" s="28"/>
      <c r="C82" s="28" t="s">
        <v>149</v>
      </c>
      <c r="D82" s="46">
        <f>E82*B81/10000</f>
        <v>9.3992524223920015E-2</v>
      </c>
      <c r="E82" s="101">
        <f>'4.Neuro_DATA'!D91</f>
        <v>1.4340613333333336E-4</v>
      </c>
      <c r="F82" s="42">
        <f>D32</f>
        <v>2</v>
      </c>
      <c r="G82" s="128">
        <f>'[4]5.Neuropathy'!J160</f>
        <v>0</v>
      </c>
      <c r="H82" s="42">
        <f t="shared" si="0"/>
        <v>0.19</v>
      </c>
      <c r="I82" s="60">
        <f t="shared" si="1"/>
        <v>3.5717159205089603E-2</v>
      </c>
      <c r="J82" s="98">
        <f t="shared" si="2"/>
        <v>3.466675708923396E-2</v>
      </c>
      <c r="L82" s="99">
        <f t="shared" si="3"/>
        <v>3.5717159205089603E-2</v>
      </c>
      <c r="M82" s="100">
        <f t="shared" si="4"/>
        <v>0.18798504844784003</v>
      </c>
      <c r="P82" s="406">
        <f t="shared" ref="P82" si="17">E82</f>
        <v>1.4340613333333336E-4</v>
      </c>
      <c r="S82" s="406">
        <f t="shared" ref="S82" si="18">P82*10</f>
        <v>1.4340613333333335E-3</v>
      </c>
      <c r="U82" s="406">
        <v>7.224888888888889E-2</v>
      </c>
      <c r="V82" s="406">
        <v>3.6124444444444452E-2</v>
      </c>
    </row>
    <row r="83" spans="1:22" x14ac:dyDescent="0.2">
      <c r="A83" s="33" t="s">
        <v>15</v>
      </c>
      <c r="B83" s="28">
        <f>SUM('[2]Pop 57'!$C$18:$C$19)</f>
        <v>2344057</v>
      </c>
      <c r="C83" s="28" t="s">
        <v>148</v>
      </c>
      <c r="D83" s="46">
        <f>E83*B83/10000</f>
        <v>3.2816798000000008E-2</v>
      </c>
      <c r="E83" s="101">
        <f>'4.Neuro_DATA'!C92</f>
        <v>1.4000000000000001E-4</v>
      </c>
      <c r="F83" s="42">
        <f>D38</f>
        <v>14.7862112</v>
      </c>
      <c r="G83" s="128">
        <f>'[4]5.Neuropathy'!J161</f>
        <v>0</v>
      </c>
      <c r="H83" s="42">
        <f t="shared" si="0"/>
        <v>0.19</v>
      </c>
      <c r="I83" s="60">
        <f t="shared" si="1"/>
        <v>9.2194860165790177E-2</v>
      </c>
      <c r="J83" s="98">
        <f t="shared" si="2"/>
        <v>7.4462564866850336E-2</v>
      </c>
      <c r="L83" s="99">
        <f t="shared" si="3"/>
        <v>9.2194860165790177E-2</v>
      </c>
      <c r="M83" s="100">
        <f t="shared" si="4"/>
        <v>0.48523610613573775</v>
      </c>
      <c r="O83" s="406">
        <f t="shared" ref="O83" si="19">E83</f>
        <v>1.4000000000000001E-4</v>
      </c>
      <c r="R83" s="407">
        <f t="shared" ref="R83" si="20">O83*10</f>
        <v>1.4000000000000002E-3</v>
      </c>
      <c r="S83" s="406"/>
      <c r="U83" s="406">
        <v>4.6653610666666658E-2</v>
      </c>
      <c r="V83" s="406">
        <v>2.3326805333333332E-2</v>
      </c>
    </row>
    <row r="84" spans="1:22" x14ac:dyDescent="0.2">
      <c r="A84" s="33"/>
      <c r="B84" s="28"/>
      <c r="C84" s="28" t="s">
        <v>149</v>
      </c>
      <c r="D84" s="46">
        <f>E84*B83/10000</f>
        <v>1.6408398999999997E-2</v>
      </c>
      <c r="E84" s="101">
        <f>'4.Neuro_DATA'!D92</f>
        <v>6.9999999999999994E-5</v>
      </c>
      <c r="F84" s="42">
        <f>D32</f>
        <v>2</v>
      </c>
      <c r="G84" s="128">
        <f>'[4]5.Neuropathy'!J162</f>
        <v>0</v>
      </c>
      <c r="H84" s="42">
        <f t="shared" si="0"/>
        <v>0.19</v>
      </c>
      <c r="I84" s="60">
        <f t="shared" si="1"/>
        <v>6.2351916199999986E-3</v>
      </c>
      <c r="J84" s="98">
        <f t="shared" si="2"/>
        <v>6.0518215363713958E-3</v>
      </c>
      <c r="L84" s="99">
        <f t="shared" si="3"/>
        <v>6.2351916199999986E-3</v>
      </c>
      <c r="M84" s="100">
        <f t="shared" si="4"/>
        <v>3.2816797999999994E-2</v>
      </c>
      <c r="P84" s="406">
        <f t="shared" ref="P84" si="21">E84</f>
        <v>6.9999999999999994E-5</v>
      </c>
      <c r="S84" s="406">
        <f>P84*10</f>
        <v>6.9999999999999988E-4</v>
      </c>
      <c r="U84" s="406">
        <v>3.0592337777777781E-3</v>
      </c>
      <c r="V84" s="406">
        <v>1.5296168888888888E-3</v>
      </c>
    </row>
    <row r="85" spans="1:22" x14ac:dyDescent="0.2">
      <c r="A85" s="33" t="s">
        <v>16</v>
      </c>
      <c r="B85" s="28">
        <f>SUM('[2]Pop 57'!$C$20:$C$21)</f>
        <v>1173067</v>
      </c>
      <c r="C85" s="28" t="s">
        <v>148</v>
      </c>
      <c r="D85" s="46">
        <f>E85*B85/10000</f>
        <v>0</v>
      </c>
      <c r="E85" s="101">
        <f>'4.Neuro_DATA'!C93</f>
        <v>0</v>
      </c>
      <c r="F85" s="42">
        <f>D39</f>
        <v>11.131687899999999</v>
      </c>
      <c r="G85" s="128">
        <f>'[4]5.Neuropathy'!J163</f>
        <v>0</v>
      </c>
      <c r="H85" s="42">
        <f t="shared" si="0"/>
        <v>0.19</v>
      </c>
      <c r="I85" s="60">
        <f t="shared" si="1"/>
        <v>0</v>
      </c>
      <c r="J85" s="98">
        <f t="shared" si="2"/>
        <v>0</v>
      </c>
      <c r="K85" s="22" t="s">
        <v>23</v>
      </c>
      <c r="L85" s="99">
        <f t="shared" si="3"/>
        <v>0</v>
      </c>
      <c r="M85" s="100">
        <f t="shared" si="4"/>
        <v>0</v>
      </c>
      <c r="O85" s="406">
        <f t="shared" ref="O85" si="22">E85</f>
        <v>0</v>
      </c>
      <c r="R85" s="407">
        <f t="shared" ref="R85" si="23">O85*10</f>
        <v>0</v>
      </c>
      <c r="S85" s="406"/>
      <c r="U85" s="406">
        <v>1.4933333333333333E-3</v>
      </c>
      <c r="V85" s="406">
        <v>7.4666666666666653E-4</v>
      </c>
    </row>
    <row r="86" spans="1:22" x14ac:dyDescent="0.2">
      <c r="A86" s="33"/>
      <c r="B86" s="28"/>
      <c r="C86" s="28" t="s">
        <v>149</v>
      </c>
      <c r="D86" s="46">
        <f>E86*B85/10000</f>
        <v>0</v>
      </c>
      <c r="E86" s="101">
        <f>'4.Neuro_DATA'!D93</f>
        <v>0</v>
      </c>
      <c r="F86" s="42">
        <f>D32</f>
        <v>2</v>
      </c>
      <c r="G86" s="128">
        <f>'[4]5.Neuropathy'!J164</f>
        <v>0</v>
      </c>
      <c r="H86" s="42">
        <f t="shared" si="0"/>
        <v>0.19</v>
      </c>
      <c r="I86" s="60">
        <f t="shared" si="1"/>
        <v>0</v>
      </c>
      <c r="J86" s="98">
        <f t="shared" si="2"/>
        <v>0</v>
      </c>
      <c r="L86" s="99">
        <f t="shared" si="3"/>
        <v>0</v>
      </c>
      <c r="M86" s="100">
        <f t="shared" si="4"/>
        <v>0</v>
      </c>
      <c r="P86" s="406">
        <f t="shared" ref="P86" si="24">E86</f>
        <v>0</v>
      </c>
      <c r="S86" s="406">
        <f t="shared" ref="S86" si="25">P86*10</f>
        <v>0</v>
      </c>
      <c r="U86" s="406">
        <v>0</v>
      </c>
      <c r="V86" s="406">
        <v>0</v>
      </c>
    </row>
    <row r="87" spans="1:22" x14ac:dyDescent="0.2">
      <c r="A87" s="33" t="s">
        <v>17</v>
      </c>
      <c r="B87" s="28">
        <f>SUM('[2]Pop 57'!$C$22:$C$26)</f>
        <v>506965</v>
      </c>
      <c r="C87" s="28" t="s">
        <v>148</v>
      </c>
      <c r="D87" s="46">
        <f>E87*B87/10000</f>
        <v>0</v>
      </c>
      <c r="E87" s="101">
        <f>'4.Neuro_DATA'!C94</f>
        <v>0</v>
      </c>
      <c r="F87" s="42">
        <f>D40</f>
        <v>9.6427203000000006</v>
      </c>
      <c r="G87" s="128">
        <f>'[4]5.Neuropathy'!J165</f>
        <v>0</v>
      </c>
      <c r="H87" s="42">
        <f t="shared" si="0"/>
        <v>0.19</v>
      </c>
      <c r="I87" s="60">
        <f t="shared" si="1"/>
        <v>0</v>
      </c>
      <c r="J87" s="98">
        <f t="shared" si="2"/>
        <v>0</v>
      </c>
      <c r="L87" s="99">
        <f t="shared" si="3"/>
        <v>0</v>
      </c>
      <c r="M87" s="100">
        <f t="shared" si="4"/>
        <v>0</v>
      </c>
      <c r="O87" s="406">
        <f>E87</f>
        <v>0</v>
      </c>
      <c r="R87" s="407">
        <f t="shared" ref="R87" si="26">O87*10</f>
        <v>0</v>
      </c>
      <c r="S87" s="406"/>
      <c r="U87" s="406">
        <v>0</v>
      </c>
      <c r="V87" s="406">
        <v>0</v>
      </c>
    </row>
    <row r="88" spans="1:22" x14ac:dyDescent="0.2">
      <c r="A88" s="33"/>
      <c r="B88" s="28"/>
      <c r="C88" s="28" t="s">
        <v>149</v>
      </c>
      <c r="D88" s="46">
        <f>E88*B87/10000</f>
        <v>0</v>
      </c>
      <c r="E88" s="101">
        <f>'4.Neuro_DATA'!D94</f>
        <v>0</v>
      </c>
      <c r="F88" s="42">
        <f>D32</f>
        <v>2</v>
      </c>
      <c r="G88" s="128">
        <f>'[4]5.Neuropathy'!J166</f>
        <v>0</v>
      </c>
      <c r="H88" s="42">
        <f t="shared" si="0"/>
        <v>0.19</v>
      </c>
      <c r="I88" s="60">
        <f t="shared" si="1"/>
        <v>0</v>
      </c>
      <c r="J88" s="98">
        <f t="shared" si="2"/>
        <v>0</v>
      </c>
      <c r="L88" s="99"/>
      <c r="M88" s="100"/>
      <c r="P88" s="406">
        <f t="shared" ref="P88" si="27">E88</f>
        <v>0</v>
      </c>
      <c r="R88" s="407"/>
      <c r="S88" s="406">
        <f t="shared" ref="S88" si="28">P88*10</f>
        <v>0</v>
      </c>
      <c r="U88" s="406">
        <v>0</v>
      </c>
      <c r="V88" s="406">
        <v>0</v>
      </c>
    </row>
    <row r="89" spans="1:22" x14ac:dyDescent="0.2">
      <c r="A89" s="34" t="s">
        <v>18</v>
      </c>
      <c r="B89" s="28">
        <f>SUM(B73:B87)</f>
        <v>31922490</v>
      </c>
      <c r="C89" s="28"/>
      <c r="D89" s="46">
        <f>SUM(D73:D88)</f>
        <v>13.159860096500028</v>
      </c>
      <c r="E89" s="28"/>
      <c r="F89" s="42"/>
      <c r="G89" s="42"/>
      <c r="H89" s="42"/>
      <c r="I89" s="60">
        <f>SUM(I73:I88)</f>
        <v>64.025327091248698</v>
      </c>
      <c r="J89" s="98">
        <f>SUM(J73:J87)</f>
        <v>38.885835796180828</v>
      </c>
      <c r="L89" s="99">
        <f>SUM(L73:L87)</f>
        <v>64.025327091248698</v>
      </c>
      <c r="M89" s="100">
        <f>SUM(M73:M87)</f>
        <v>336.97540574341429</v>
      </c>
      <c r="U89" s="406">
        <v>0</v>
      </c>
      <c r="V89" s="406">
        <v>0</v>
      </c>
    </row>
    <row r="90" spans="1:22" x14ac:dyDescent="0.2">
      <c r="A90" s="27"/>
      <c r="B90" s="28"/>
      <c r="C90" s="28"/>
      <c r="D90" s="28"/>
      <c r="E90" s="28"/>
      <c r="F90" s="42"/>
      <c r="G90" s="42"/>
      <c r="H90" s="42"/>
      <c r="I90" s="58"/>
      <c r="J90" s="29"/>
      <c r="L90" s="99"/>
      <c r="M90" s="100"/>
      <c r="U90" s="406">
        <v>3.4976298002962958</v>
      </c>
      <c r="V90" s="406">
        <v>1.7488149001481479</v>
      </c>
    </row>
    <row r="91" spans="1:22" x14ac:dyDescent="0.2">
      <c r="A91" s="48" t="s">
        <v>35</v>
      </c>
      <c r="B91" s="28"/>
      <c r="C91" s="28"/>
      <c r="D91" s="28"/>
      <c r="E91" s="28"/>
      <c r="F91" s="42"/>
      <c r="G91" s="42"/>
      <c r="H91" s="42"/>
      <c r="I91" s="58"/>
      <c r="J91" s="29"/>
      <c r="L91" s="99"/>
      <c r="M91" s="100"/>
      <c r="U91" s="406">
        <v>10.194630110814817</v>
      </c>
      <c r="V91" s="406">
        <v>5.0973150554074076</v>
      </c>
    </row>
    <row r="92" spans="1:22" x14ac:dyDescent="0.2">
      <c r="A92" s="33" t="s">
        <v>7</v>
      </c>
      <c r="B92" s="28">
        <f>SUM('[2]Pop 57'!$D$5:$D$6)</f>
        <v>1849075</v>
      </c>
      <c r="C92" s="28" t="s">
        <v>148</v>
      </c>
      <c r="D92" s="46">
        <f>E92*B92/10000</f>
        <v>0</v>
      </c>
      <c r="E92" s="101">
        <v>0</v>
      </c>
      <c r="F92" s="42">
        <f>E33</f>
        <v>69.364647599999998</v>
      </c>
      <c r="G92" s="128">
        <f>'[4]5.Neuropathy'!J170</f>
        <v>2.5270999999999999</v>
      </c>
      <c r="H92" s="42">
        <f t="shared" si="0"/>
        <v>0.19</v>
      </c>
      <c r="I92" s="60">
        <f>D92*F92*H92</f>
        <v>0</v>
      </c>
      <c r="J92" s="98">
        <f>D92*H92*(1-EXP(-0.03*F92))/0.03</f>
        <v>0</v>
      </c>
      <c r="L92" s="99">
        <f>M92*H92</f>
        <v>0</v>
      </c>
      <c r="M92" s="100">
        <f>D92*F92</f>
        <v>0</v>
      </c>
      <c r="O92" s="406">
        <f>E92</f>
        <v>0</v>
      </c>
      <c r="R92" s="407">
        <f>O92*10</f>
        <v>0</v>
      </c>
      <c r="S92" s="406"/>
      <c r="U92" s="406">
        <v>28.653486945185186</v>
      </c>
      <c r="V92" s="406">
        <v>14.326743472592597</v>
      </c>
    </row>
    <row r="93" spans="1:22" x14ac:dyDescent="0.2">
      <c r="A93" s="33"/>
      <c r="B93" s="28"/>
      <c r="C93" s="28" t="s">
        <v>149</v>
      </c>
      <c r="D93" s="46">
        <f>E93*B92/10000</f>
        <v>0</v>
      </c>
      <c r="E93" s="101">
        <v>0</v>
      </c>
      <c r="F93" s="42">
        <f>E32</f>
        <v>2</v>
      </c>
      <c r="G93" s="128">
        <f>'[4]5.Neuropathy'!J171</f>
        <v>2.5270999999999999</v>
      </c>
      <c r="H93" s="42">
        <f t="shared" si="0"/>
        <v>0.19</v>
      </c>
      <c r="I93" s="60">
        <f t="shared" ref="I93:I107" si="29">D93*F93*H93</f>
        <v>0</v>
      </c>
      <c r="J93" s="98">
        <f t="shared" ref="J93:J107" si="30">D93*H93*(1-EXP(-0.03*F93))/0.03</f>
        <v>0</v>
      </c>
      <c r="L93" s="99">
        <f t="shared" ref="L93:L106" si="31">M93*H93</f>
        <v>0</v>
      </c>
      <c r="M93" s="100">
        <f t="shared" ref="M93:M106" si="32">D93*F93</f>
        <v>0</v>
      </c>
      <c r="P93" s="406">
        <f>E93</f>
        <v>0</v>
      </c>
      <c r="S93" s="406">
        <f>P93*10</f>
        <v>0</v>
      </c>
      <c r="U93" s="406">
        <v>21.352703071111115</v>
      </c>
      <c r="V93" s="406">
        <v>10.676351535555554</v>
      </c>
    </row>
    <row r="94" spans="1:22" x14ac:dyDescent="0.2">
      <c r="A94" s="33" t="s">
        <v>11</v>
      </c>
      <c r="B94" s="28">
        <f>SUM('[2]Pop 57'!$D$7:$D$8)</f>
        <v>3940160</v>
      </c>
      <c r="C94" s="28" t="s">
        <v>148</v>
      </c>
      <c r="D94" s="46">
        <f>E94*B94/10000</f>
        <v>0.34673408</v>
      </c>
      <c r="E94" s="101">
        <f>'4.Neuro_DATA'!F88</f>
        <v>8.8000000000000003E-4</v>
      </c>
      <c r="F94" s="42">
        <f>E34</f>
        <v>62.355401100000002</v>
      </c>
      <c r="G94" s="128">
        <f>'[4]5.Neuropathy'!J172</f>
        <v>9.8376999999999999</v>
      </c>
      <c r="H94" s="42">
        <f t="shared" si="0"/>
        <v>0.19</v>
      </c>
      <c r="I94" s="60">
        <f t="shared" si="29"/>
        <v>4.1079411003535027</v>
      </c>
      <c r="J94" s="98">
        <f t="shared" si="30"/>
        <v>1.8577536342694438</v>
      </c>
      <c r="L94" s="99">
        <f t="shared" si="31"/>
        <v>4.1079411003535027</v>
      </c>
      <c r="M94" s="100">
        <f t="shared" si="32"/>
        <v>21.620742633439487</v>
      </c>
      <c r="O94" s="406">
        <f>E94</f>
        <v>8.8000000000000003E-4</v>
      </c>
      <c r="R94" s="407">
        <f t="shared" ref="R94" si="33">O94*10</f>
        <v>8.8000000000000005E-3</v>
      </c>
      <c r="S94" s="406"/>
      <c r="U94" s="406">
        <v>17.469092166666666</v>
      </c>
      <c r="V94" s="406">
        <v>8.7345460833333348</v>
      </c>
    </row>
    <row r="95" spans="1:22" x14ac:dyDescent="0.2">
      <c r="A95" s="33"/>
      <c r="B95" s="28"/>
      <c r="C95" s="28" t="s">
        <v>149</v>
      </c>
      <c r="D95" s="46">
        <f>E95*B94/10000</f>
        <v>0.17336703999999997</v>
      </c>
      <c r="E95" s="101">
        <f>'4.Neuro_DATA'!G88</f>
        <v>4.3999999999999996E-4</v>
      </c>
      <c r="F95" s="42">
        <f>E32</f>
        <v>2</v>
      </c>
      <c r="G95" s="128">
        <f>'[4]5.Neuropathy'!J173</f>
        <v>9.8376999999999999</v>
      </c>
      <c r="H95" s="42">
        <f t="shared" si="0"/>
        <v>0.19</v>
      </c>
      <c r="I95" s="60">
        <f t="shared" si="29"/>
        <v>6.5879475199999996E-2</v>
      </c>
      <c r="J95" s="98">
        <f t="shared" si="30"/>
        <v>6.3942032758281989E-2</v>
      </c>
      <c r="L95" s="99">
        <f t="shared" si="31"/>
        <v>6.5879475199999996E-2</v>
      </c>
      <c r="M95" s="100">
        <f t="shared" si="32"/>
        <v>0.34673407999999994</v>
      </c>
      <c r="P95" s="406">
        <f t="shared" ref="P95" si="34">E95</f>
        <v>4.3999999999999996E-4</v>
      </c>
      <c r="S95" s="406">
        <f>P95*10</f>
        <v>4.3999999999999994E-3</v>
      </c>
      <c r="U95" s="406">
        <v>15.879905693333331</v>
      </c>
      <c r="V95" s="406">
        <v>7.9399528466666673</v>
      </c>
    </row>
    <row r="96" spans="1:22" x14ac:dyDescent="0.2">
      <c r="A96" s="33" t="s">
        <v>12</v>
      </c>
      <c r="B96" s="46">
        <f>SUM('[2]Pop 57'!$D$9:$D$11)</f>
        <v>7026158.1752900956</v>
      </c>
      <c r="C96" s="28" t="s">
        <v>148</v>
      </c>
      <c r="D96" s="46">
        <f>E96*B96/10000</f>
        <v>5.0763212132229247</v>
      </c>
      <c r="E96" s="101">
        <f>'4.Neuro_DATA'!F89</f>
        <v>7.2248888888888892E-3</v>
      </c>
      <c r="F96" s="42">
        <f>E35</f>
        <v>51.082296700000001</v>
      </c>
      <c r="G96" s="128">
        <f>'[4]5.Neuropathy'!J174</f>
        <v>21.965499999999999</v>
      </c>
      <c r="H96" s="42">
        <f t="shared" si="0"/>
        <v>0.19</v>
      </c>
      <c r="I96" s="60">
        <f t="shared" si="29"/>
        <v>49.268927808087909</v>
      </c>
      <c r="J96" s="98">
        <f t="shared" si="30"/>
        <v>25.20557158150595</v>
      </c>
      <c r="L96" s="99">
        <f t="shared" si="31"/>
        <v>49.268927808087909</v>
      </c>
      <c r="M96" s="100">
        <f t="shared" si="32"/>
        <v>259.31014635835743</v>
      </c>
      <c r="O96" s="406">
        <f t="shared" ref="O96" si="35">E96</f>
        <v>7.2248888888888892E-3</v>
      </c>
      <c r="R96" s="407">
        <f t="shared" ref="R96" si="36">O96*10</f>
        <v>7.224888888888889E-2</v>
      </c>
      <c r="S96" s="406"/>
      <c r="U96" s="406">
        <v>0</v>
      </c>
      <c r="V96" s="406">
        <v>0</v>
      </c>
    </row>
    <row r="97" spans="1:22" x14ac:dyDescent="0.2">
      <c r="A97" s="33"/>
      <c r="B97" s="46"/>
      <c r="C97" s="28" t="s">
        <v>149</v>
      </c>
      <c r="D97" s="46">
        <f>E97*B96/10000</f>
        <v>2.5381606066114624</v>
      </c>
      <c r="E97" s="101">
        <f>'4.Neuro_DATA'!G89</f>
        <v>3.612444444444445E-3</v>
      </c>
      <c r="F97" s="42">
        <f>E32</f>
        <v>2</v>
      </c>
      <c r="G97" s="128">
        <f>'[4]5.Neuropathy'!J175</f>
        <v>21.965499999999999</v>
      </c>
      <c r="H97" s="42">
        <f t="shared" si="0"/>
        <v>0.19</v>
      </c>
      <c r="I97" s="60">
        <f t="shared" si="29"/>
        <v>0.96450103051235569</v>
      </c>
      <c r="J97" s="98">
        <f t="shared" si="30"/>
        <v>0.9361361228393299</v>
      </c>
      <c r="L97" s="99">
        <f t="shared" si="31"/>
        <v>0.96450103051235569</v>
      </c>
      <c r="M97" s="100">
        <f t="shared" si="32"/>
        <v>5.0763212132229247</v>
      </c>
      <c r="P97" s="406">
        <f t="shared" ref="P97" si="37">E97</f>
        <v>3.612444444444445E-3</v>
      </c>
      <c r="S97" s="406">
        <f t="shared" ref="S97" si="38">P97*10</f>
        <v>3.6124444444444452E-2</v>
      </c>
      <c r="U97" s="406">
        <v>0</v>
      </c>
      <c r="V97" s="406">
        <v>0</v>
      </c>
    </row>
    <row r="98" spans="1:22" x14ac:dyDescent="0.2">
      <c r="A98" s="33" t="s">
        <v>13</v>
      </c>
      <c r="B98" s="28">
        <f>SUM('[2]Pop 57'!$D$12:$D$14)</f>
        <v>8017814</v>
      </c>
      <c r="C98" s="28" t="s">
        <v>148</v>
      </c>
      <c r="D98" s="46">
        <f>E98*B98/10000</f>
        <v>3.7405997275374925</v>
      </c>
      <c r="E98" s="101">
        <f>'4.Neuro_DATA'!F90</f>
        <v>4.6653610666666659E-3</v>
      </c>
      <c r="F98" s="42">
        <f>E36</f>
        <v>41.898612</v>
      </c>
      <c r="G98" s="128">
        <f>'[4]5.Neuropathy'!J176</f>
        <v>31.7758</v>
      </c>
      <c r="H98" s="42">
        <f t="shared" si="0"/>
        <v>0.19</v>
      </c>
      <c r="I98" s="60">
        <f t="shared" si="29"/>
        <v>29.777927959965833</v>
      </c>
      <c r="J98" s="98">
        <f t="shared" si="30"/>
        <v>16.950098550767617</v>
      </c>
      <c r="L98" s="99">
        <f t="shared" si="31"/>
        <v>29.777927959965833</v>
      </c>
      <c r="M98" s="100">
        <f t="shared" si="32"/>
        <v>156.72593663139912</v>
      </c>
      <c r="O98" s="406">
        <f t="shared" ref="O98" si="39">E98</f>
        <v>4.6653610666666659E-3</v>
      </c>
      <c r="R98" s="407">
        <f t="shared" ref="R98" si="40">O98*10</f>
        <v>4.6653610666666658E-2</v>
      </c>
      <c r="S98" s="406"/>
      <c r="U98" s="406">
        <v>6.2420506832592579</v>
      </c>
      <c r="V98" s="406">
        <v>3.1210253416296299</v>
      </c>
    </row>
    <row r="99" spans="1:22" x14ac:dyDescent="0.2">
      <c r="A99" s="33"/>
      <c r="B99" s="28"/>
      <c r="C99" s="28" t="s">
        <v>149</v>
      </c>
      <c r="D99" s="46">
        <f>E99*B98/10000</f>
        <v>1.8702998637687467</v>
      </c>
      <c r="E99" s="101">
        <f>'4.Neuro_DATA'!G90</f>
        <v>2.3326805333333334E-3</v>
      </c>
      <c r="F99" s="42">
        <f>E32</f>
        <v>2</v>
      </c>
      <c r="G99" s="128">
        <f>'[4]5.Neuropathy'!J177</f>
        <v>31.7758</v>
      </c>
      <c r="H99" s="42">
        <f t="shared" si="0"/>
        <v>0.19</v>
      </c>
      <c r="I99" s="60">
        <f t="shared" si="29"/>
        <v>0.71071394823212375</v>
      </c>
      <c r="J99" s="98">
        <f t="shared" si="30"/>
        <v>0.68981263772463064</v>
      </c>
      <c r="L99" s="99">
        <f t="shared" si="31"/>
        <v>0.71071394823212375</v>
      </c>
      <c r="M99" s="100">
        <f t="shared" si="32"/>
        <v>3.7405997275374934</v>
      </c>
      <c r="P99" s="406">
        <f t="shared" ref="P99" si="41">E99</f>
        <v>2.3326805333333334E-3</v>
      </c>
      <c r="S99" s="406">
        <f t="shared" ref="S99" si="42">P99*10</f>
        <v>2.3326805333333332E-2</v>
      </c>
      <c r="U99" s="406">
        <v>8.784282116740739</v>
      </c>
      <c r="V99" s="406">
        <v>4.3921410583703704</v>
      </c>
    </row>
    <row r="100" spans="1:22" x14ac:dyDescent="0.2">
      <c r="A100" s="33" t="s">
        <v>14</v>
      </c>
      <c r="B100" s="28">
        <f>SUM('[2]Pop 57'!$D$15:$D$17)</f>
        <v>7162204</v>
      </c>
      <c r="C100" s="28" t="s">
        <v>148</v>
      </c>
      <c r="D100" s="46">
        <f>E100*B100/10000</f>
        <v>0.21910856400135112</v>
      </c>
      <c r="E100" s="101">
        <f>'4.Neuro_DATA'!F91</f>
        <v>3.059233777777778E-4</v>
      </c>
      <c r="F100" s="42">
        <f>E37</f>
        <v>30.925864199999999</v>
      </c>
      <c r="G100" s="128">
        <f>'[4]5.Neuropathy'!J178</f>
        <v>0</v>
      </c>
      <c r="H100" s="42">
        <f t="shared" si="0"/>
        <v>0.19</v>
      </c>
      <c r="I100" s="60">
        <f t="shared" si="29"/>
        <v>1.2874631221189308</v>
      </c>
      <c r="J100" s="98">
        <f t="shared" si="30"/>
        <v>0.8389512175352023</v>
      </c>
      <c r="L100" s="99">
        <f t="shared" si="31"/>
        <v>1.2874631221189308</v>
      </c>
      <c r="M100" s="100">
        <f t="shared" si="32"/>
        <v>6.776121695362793</v>
      </c>
      <c r="O100" s="406">
        <f t="shared" ref="O100" si="43">E100</f>
        <v>3.059233777777778E-4</v>
      </c>
      <c r="R100" s="407">
        <f t="shared" ref="R100" si="44">O100*10</f>
        <v>3.0592337777777781E-3</v>
      </c>
      <c r="S100" s="406"/>
      <c r="U100" s="406">
        <v>25.729035899259266</v>
      </c>
      <c r="V100" s="406">
        <v>12.864517949629629</v>
      </c>
    </row>
    <row r="101" spans="1:22" x14ac:dyDescent="0.2">
      <c r="A101" s="33"/>
      <c r="B101" s="28"/>
      <c r="C101" s="28" t="s">
        <v>149</v>
      </c>
      <c r="D101" s="46">
        <f>E101*B100/10000</f>
        <v>0.10955428200067555</v>
      </c>
      <c r="E101" s="101">
        <f>'4.Neuro_DATA'!G91</f>
        <v>1.5296168888888887E-4</v>
      </c>
      <c r="F101" s="42">
        <f>E32</f>
        <v>2</v>
      </c>
      <c r="G101" s="128">
        <f>'[4]5.Neuropathy'!J179</f>
        <v>0</v>
      </c>
      <c r="H101" s="42">
        <f t="shared" si="0"/>
        <v>0.19</v>
      </c>
      <c r="I101" s="60">
        <f t="shared" si="29"/>
        <v>4.1630627160256707E-2</v>
      </c>
      <c r="J101" s="98">
        <f t="shared" si="30"/>
        <v>4.0406316497629879E-2</v>
      </c>
      <c r="L101" s="99">
        <f t="shared" si="31"/>
        <v>4.1630627160256707E-2</v>
      </c>
      <c r="M101" s="100">
        <f t="shared" si="32"/>
        <v>0.21910856400135109</v>
      </c>
      <c r="P101" s="406">
        <f t="shared" ref="P101" si="45">E101</f>
        <v>1.5296168888888887E-4</v>
      </c>
      <c r="S101" s="406">
        <f t="shared" ref="S101" si="46">P101*10</f>
        <v>1.5296168888888888E-3</v>
      </c>
      <c r="U101" s="406">
        <v>40.913296142222222</v>
      </c>
      <c r="V101" s="406">
        <v>20.456648071111118</v>
      </c>
    </row>
    <row r="102" spans="1:22" x14ac:dyDescent="0.2">
      <c r="A102" s="33" t="s">
        <v>15</v>
      </c>
      <c r="B102" s="46">
        <f>SUM('[2]Pop 57'!$D$18:$D$19)</f>
        <v>2739970.5356088658</v>
      </c>
      <c r="C102" s="28" t="s">
        <v>148</v>
      </c>
      <c r="D102" s="46">
        <f>E102*B102/10000</f>
        <v>4.0916893331759061E-2</v>
      </c>
      <c r="E102" s="101">
        <f>'4.Neuro_DATA'!F92</f>
        <v>1.4933333333333332E-4</v>
      </c>
      <c r="F102" s="42">
        <f>E38</f>
        <v>18.924311199999998</v>
      </c>
      <c r="G102" s="128">
        <f>'[4]5.Neuropathy'!J180</f>
        <v>0</v>
      </c>
      <c r="H102" s="42">
        <f t="shared" si="0"/>
        <v>0.19</v>
      </c>
      <c r="I102" s="60">
        <f t="shared" si="29"/>
        <v>0.14712156432200851</v>
      </c>
      <c r="J102" s="98">
        <f t="shared" si="30"/>
        <v>0.11225673386584652</v>
      </c>
      <c r="L102" s="99">
        <f t="shared" si="31"/>
        <v>0.14712156432200851</v>
      </c>
      <c r="M102" s="100">
        <f t="shared" si="32"/>
        <v>0.77432402274741319</v>
      </c>
      <c r="O102" s="406">
        <f t="shared" ref="O102" si="47">E102</f>
        <v>1.4933333333333332E-4</v>
      </c>
      <c r="R102" s="407">
        <f t="shared" ref="R102" si="48">O102*10</f>
        <v>1.4933333333333333E-3</v>
      </c>
      <c r="S102" s="406"/>
      <c r="U102" s="406">
        <v>32.040826840000001</v>
      </c>
      <c r="V102" s="406">
        <v>16.020413420000001</v>
      </c>
    </row>
    <row r="103" spans="1:22" x14ac:dyDescent="0.2">
      <c r="A103" s="33"/>
      <c r="B103" s="46"/>
      <c r="C103" s="28" t="s">
        <v>149</v>
      </c>
      <c r="D103" s="46">
        <f>E103*B102/10000</f>
        <v>2.0458446665879527E-2</v>
      </c>
      <c r="E103" s="101">
        <f>'4.Neuro_DATA'!G92</f>
        <v>7.4666666666666647E-5</v>
      </c>
      <c r="F103" s="42">
        <f>E32</f>
        <v>2</v>
      </c>
      <c r="G103" s="128">
        <f>'[4]5.Neuropathy'!J181</f>
        <v>0</v>
      </c>
      <c r="H103" s="42">
        <f t="shared" si="0"/>
        <v>0.19</v>
      </c>
      <c r="I103" s="60">
        <f t="shared" si="29"/>
        <v>7.7742097330342199E-3</v>
      </c>
      <c r="J103" s="98">
        <f t="shared" si="30"/>
        <v>7.5455788302853516E-3</v>
      </c>
      <c r="L103" s="99">
        <f t="shared" si="31"/>
        <v>7.7742097330342199E-3</v>
      </c>
      <c r="M103" s="100">
        <f t="shared" si="32"/>
        <v>4.0916893331759054E-2</v>
      </c>
      <c r="P103" s="406">
        <f t="shared" ref="P103" si="49">E103</f>
        <v>7.4666666666666647E-5</v>
      </c>
      <c r="S103" s="406">
        <f>P103*10</f>
        <v>7.4666666666666653E-4</v>
      </c>
      <c r="U103" s="406">
        <v>15.188622426666667</v>
      </c>
      <c r="V103" s="406">
        <v>7.5943112133333335</v>
      </c>
    </row>
    <row r="104" spans="1:22" x14ac:dyDescent="0.2">
      <c r="A104" s="33" t="s">
        <v>16</v>
      </c>
      <c r="B104" s="46">
        <f>SUM('[2]Pop 57'!$D$20:$D$21)</f>
        <v>1513246</v>
      </c>
      <c r="C104" s="28" t="s">
        <v>148</v>
      </c>
      <c r="D104" s="46">
        <f>E104*B104/10000</f>
        <v>0</v>
      </c>
      <c r="E104" s="101">
        <f>'4.Neuro_DATA'!F93</f>
        <v>0</v>
      </c>
      <c r="F104" s="42">
        <f>E39</f>
        <v>12.7368098</v>
      </c>
      <c r="G104" s="128">
        <f>'[4]5.Neuropathy'!J182</f>
        <v>0</v>
      </c>
      <c r="H104" s="42">
        <f t="shared" si="0"/>
        <v>0.19</v>
      </c>
      <c r="I104" s="60">
        <f t="shared" si="29"/>
        <v>0</v>
      </c>
      <c r="J104" s="98">
        <f t="shared" si="30"/>
        <v>0</v>
      </c>
      <c r="L104" s="99">
        <f t="shared" si="31"/>
        <v>0</v>
      </c>
      <c r="M104" s="100">
        <f t="shared" si="32"/>
        <v>0</v>
      </c>
      <c r="O104" s="406">
        <f t="shared" ref="O104" si="50">E104</f>
        <v>0</v>
      </c>
      <c r="R104" s="407">
        <f t="shared" ref="R104" si="51">O104*10</f>
        <v>0</v>
      </c>
      <c r="S104" s="406"/>
    </row>
    <row r="105" spans="1:22" x14ac:dyDescent="0.2">
      <c r="A105" s="33"/>
      <c r="B105" s="46"/>
      <c r="C105" s="28" t="s">
        <v>149</v>
      </c>
      <c r="D105" s="46">
        <f>E105*B104/10000</f>
        <v>0</v>
      </c>
      <c r="E105" s="101">
        <f>'4.Neuro_DATA'!G93</f>
        <v>0</v>
      </c>
      <c r="F105" s="42">
        <f>E32</f>
        <v>2</v>
      </c>
      <c r="G105" s="128">
        <f>'[4]5.Neuropathy'!J183</f>
        <v>0</v>
      </c>
      <c r="H105" s="42">
        <f t="shared" si="0"/>
        <v>0.19</v>
      </c>
      <c r="I105" s="60">
        <f t="shared" si="29"/>
        <v>0</v>
      </c>
      <c r="J105" s="98">
        <f t="shared" si="30"/>
        <v>0</v>
      </c>
      <c r="L105" s="99">
        <f t="shared" si="31"/>
        <v>0</v>
      </c>
      <c r="M105" s="100">
        <f t="shared" si="32"/>
        <v>0</v>
      </c>
      <c r="P105" s="406">
        <f t="shared" ref="P105" si="52">E105</f>
        <v>0</v>
      </c>
      <c r="S105" s="406">
        <f t="shared" ref="S105" si="53">P105*10</f>
        <v>0</v>
      </c>
    </row>
    <row r="106" spans="1:22" x14ac:dyDescent="0.2">
      <c r="A106" s="33" t="s">
        <v>17</v>
      </c>
      <c r="B106" s="46">
        <f>SUM('[2]Pop 57'!$D$22:$D$26)</f>
        <v>784195.44620730029</v>
      </c>
      <c r="C106" s="28" t="s">
        <v>148</v>
      </c>
      <c r="D106" s="46">
        <f>E106*B106/10000</f>
        <v>0</v>
      </c>
      <c r="E106" s="101">
        <f>'4.Neuro_DATA'!F94</f>
        <v>0</v>
      </c>
      <c r="F106" s="42">
        <f>E40</f>
        <v>9.9983436999999995</v>
      </c>
      <c r="G106" s="128">
        <f>'[4]5.Neuropathy'!J184</f>
        <v>0</v>
      </c>
      <c r="H106" s="42">
        <f t="shared" si="0"/>
        <v>0.19</v>
      </c>
      <c r="I106" s="60">
        <f t="shared" si="29"/>
        <v>0</v>
      </c>
      <c r="J106" s="98">
        <f t="shared" si="30"/>
        <v>0</v>
      </c>
      <c r="L106" s="99">
        <f t="shared" si="31"/>
        <v>0</v>
      </c>
      <c r="M106" s="100">
        <f t="shared" si="32"/>
        <v>0</v>
      </c>
      <c r="O106" s="406">
        <f>E106</f>
        <v>0</v>
      </c>
      <c r="R106" s="407">
        <f t="shared" ref="R106" si="54">O106*10</f>
        <v>0</v>
      </c>
      <c r="S106" s="406"/>
    </row>
    <row r="107" spans="1:22" x14ac:dyDescent="0.2">
      <c r="A107" s="33"/>
      <c r="B107" s="46"/>
      <c r="C107" s="28" t="s">
        <v>149</v>
      </c>
      <c r="D107" s="46">
        <f>E107*B106/10000</f>
        <v>0</v>
      </c>
      <c r="E107" s="101">
        <f>'4.Neuro_DATA'!G94</f>
        <v>0</v>
      </c>
      <c r="F107" s="42">
        <f>E32</f>
        <v>2</v>
      </c>
      <c r="G107" s="128">
        <f>'[4]5.Neuropathy'!J185</f>
        <v>0</v>
      </c>
      <c r="H107" s="42">
        <f t="shared" si="0"/>
        <v>0.19</v>
      </c>
      <c r="I107" s="60">
        <f t="shared" si="29"/>
        <v>0</v>
      </c>
      <c r="J107" s="98">
        <f t="shared" si="30"/>
        <v>0</v>
      </c>
      <c r="L107" s="99"/>
      <c r="M107" s="100"/>
      <c r="P107" s="406">
        <f t="shared" ref="P107" si="55">E107</f>
        <v>0</v>
      </c>
      <c r="R107" s="407"/>
      <c r="S107" s="406">
        <f t="shared" ref="S107" si="56">P107*10</f>
        <v>0</v>
      </c>
    </row>
    <row r="108" spans="1:22" x14ac:dyDescent="0.2">
      <c r="A108" s="34" t="s">
        <v>18</v>
      </c>
      <c r="B108" s="46">
        <f>SUM(B92:B106)</f>
        <v>33032823.157106262</v>
      </c>
      <c r="C108" s="46"/>
      <c r="D108" s="46">
        <f>SUM(D92:D107)</f>
        <v>14.135520717140292</v>
      </c>
      <c r="E108" s="28"/>
      <c r="F108" s="42"/>
      <c r="G108" s="28"/>
      <c r="H108" s="28"/>
      <c r="I108" s="60">
        <f>SUM(I92:I107)</f>
        <v>86.37988084568596</v>
      </c>
      <c r="J108" s="98">
        <f>SUM(J92:J106)</f>
        <v>46.702474406594213</v>
      </c>
      <c r="L108" s="99">
        <f>SUM(L92:L106)</f>
        <v>86.37988084568596</v>
      </c>
      <c r="M108" s="100">
        <f>SUM(M92:M106)</f>
        <v>454.6309518193998</v>
      </c>
    </row>
    <row r="109" spans="1:22" x14ac:dyDescent="0.2">
      <c r="A109" s="30"/>
      <c r="B109" s="31"/>
      <c r="C109" s="31"/>
      <c r="D109" s="31"/>
      <c r="E109" s="31"/>
      <c r="F109" s="31"/>
      <c r="G109" s="31"/>
      <c r="H109" s="31"/>
      <c r="I109" s="59"/>
      <c r="J109" s="32"/>
      <c r="L109" s="30"/>
      <c r="M109" s="5"/>
    </row>
    <row r="112" spans="1:22" x14ac:dyDescent="0.2">
      <c r="A112" s="23" t="s">
        <v>249</v>
      </c>
    </row>
    <row r="113" spans="1:19" x14ac:dyDescent="0.2">
      <c r="A113" s="23"/>
    </row>
    <row r="114" spans="1:19" x14ac:dyDescent="0.2">
      <c r="A114" s="24" t="s">
        <v>25</v>
      </c>
      <c r="B114" s="25" t="s">
        <v>26</v>
      </c>
      <c r="C114" s="25" t="s">
        <v>159</v>
      </c>
      <c r="D114" s="25" t="s">
        <v>27</v>
      </c>
      <c r="E114" s="25" t="s">
        <v>28</v>
      </c>
      <c r="F114" s="25" t="s">
        <v>9</v>
      </c>
      <c r="G114" s="25" t="s">
        <v>29</v>
      </c>
      <c r="H114" s="25" t="s">
        <v>30</v>
      </c>
      <c r="I114" s="35" t="s">
        <v>31</v>
      </c>
      <c r="J114" s="26" t="s">
        <v>31</v>
      </c>
      <c r="L114" s="37" t="s">
        <v>37</v>
      </c>
      <c r="M114" s="38" t="s">
        <v>38</v>
      </c>
    </row>
    <row r="115" spans="1:19" x14ac:dyDescent="0.2">
      <c r="A115" s="30"/>
      <c r="B115" s="31">
        <v>2014</v>
      </c>
      <c r="C115" s="31"/>
      <c r="D115" s="31"/>
      <c r="E115" s="31" t="s">
        <v>164</v>
      </c>
      <c r="F115" s="31"/>
      <c r="G115" s="31"/>
      <c r="H115" s="31"/>
      <c r="I115" s="36" t="s">
        <v>32</v>
      </c>
      <c r="J115" s="32" t="s">
        <v>33</v>
      </c>
      <c r="L115" s="39" t="s">
        <v>32</v>
      </c>
      <c r="M115" s="40" t="s">
        <v>39</v>
      </c>
    </row>
    <row r="116" spans="1:19" x14ac:dyDescent="0.2">
      <c r="A116" s="27"/>
      <c r="B116" s="28"/>
      <c r="C116" s="28"/>
      <c r="D116" s="28"/>
      <c r="E116" s="28"/>
      <c r="F116" s="28"/>
      <c r="G116" s="28"/>
      <c r="H116" s="28"/>
      <c r="I116" s="58"/>
      <c r="J116" s="29"/>
      <c r="L116" s="27"/>
      <c r="M116" s="41"/>
    </row>
    <row r="117" spans="1:19" x14ac:dyDescent="0.2">
      <c r="A117" s="48" t="s">
        <v>34</v>
      </c>
      <c r="B117" s="28"/>
      <c r="C117" s="28"/>
      <c r="D117" s="28"/>
      <c r="E117" s="28"/>
      <c r="F117" s="42"/>
      <c r="G117" s="47"/>
      <c r="H117" s="45"/>
      <c r="I117" s="58"/>
      <c r="J117" s="29"/>
      <c r="L117" s="27"/>
      <c r="M117" s="41"/>
    </row>
    <row r="118" spans="1:19" x14ac:dyDescent="0.2">
      <c r="A118" s="33" t="s">
        <v>7</v>
      </c>
      <c r="B118" s="28">
        <f>SUM('[2]Pop 57'!$C$5:$C$6)</f>
        <v>1966319</v>
      </c>
      <c r="C118" s="28" t="s">
        <v>148</v>
      </c>
      <c r="D118" s="46">
        <f>E118*B118/10000</f>
        <v>0</v>
      </c>
      <c r="E118" s="91">
        <v>0</v>
      </c>
      <c r="F118" s="42">
        <f>D42</f>
        <v>54.167493999999998</v>
      </c>
      <c r="G118" s="128">
        <f>'[4]5.Neuropathy'!J192</f>
        <v>0</v>
      </c>
      <c r="H118" s="42">
        <f>$B$18</f>
        <v>0.19</v>
      </c>
      <c r="I118" s="60">
        <f>D118*F118*H118</f>
        <v>0</v>
      </c>
      <c r="J118" s="98">
        <f>D118*H118*(1-EXP(-0.03*F118))/0.03</f>
        <v>0</v>
      </c>
      <c r="L118" s="99">
        <f>M118*H118</f>
        <v>0</v>
      </c>
      <c r="M118" s="100">
        <f>D118*F118</f>
        <v>0</v>
      </c>
      <c r="O118" s="406">
        <f>E118</f>
        <v>0</v>
      </c>
      <c r="R118" s="407">
        <f>O118*10</f>
        <v>0</v>
      </c>
      <c r="S118" s="406"/>
    </row>
    <row r="119" spans="1:19" x14ac:dyDescent="0.2">
      <c r="A119" s="33"/>
      <c r="B119" s="28"/>
      <c r="C119" s="28" t="s">
        <v>149</v>
      </c>
      <c r="D119" s="46">
        <f>E119*B118/10000</f>
        <v>0</v>
      </c>
      <c r="E119" s="91">
        <v>0</v>
      </c>
      <c r="F119" s="42">
        <f>D41</f>
        <v>2</v>
      </c>
      <c r="G119" s="128">
        <f>'[4]5.Neuropathy'!J193</f>
        <v>0</v>
      </c>
      <c r="H119" s="42">
        <f t="shared" ref="H119:H152" si="57">$B$18</f>
        <v>0.19</v>
      </c>
      <c r="I119" s="60">
        <f t="shared" ref="I119:I133" si="58">D119*F119*H119</f>
        <v>0</v>
      </c>
      <c r="J119" s="98">
        <f t="shared" ref="J119:J133" si="59">D119*H119*(1-EXP(-0.03*F119))/0.03</f>
        <v>0</v>
      </c>
      <c r="L119" s="99"/>
      <c r="M119" s="100"/>
      <c r="P119" s="406">
        <f>E119</f>
        <v>0</v>
      </c>
      <c r="S119" s="406">
        <f>P119*10</f>
        <v>0</v>
      </c>
    </row>
    <row r="120" spans="1:19" x14ac:dyDescent="0.2">
      <c r="A120" s="33" t="s">
        <v>11</v>
      </c>
      <c r="B120" s="28">
        <f>SUM('[2]Pop 57'!$C$7:$C$8)</f>
        <v>4179206</v>
      </c>
      <c r="C120" s="28" t="s">
        <v>148</v>
      </c>
      <c r="D120" s="46">
        <f>E120*B120/10000</f>
        <v>0</v>
      </c>
      <c r="E120" s="91">
        <v>0</v>
      </c>
      <c r="F120" s="42">
        <f>D43</f>
        <v>45.157583000000002</v>
      </c>
      <c r="G120" s="128">
        <f>'[4]5.Neuropathy'!J194</f>
        <v>12.8368</v>
      </c>
      <c r="H120" s="42">
        <f t="shared" si="57"/>
        <v>0.19</v>
      </c>
      <c r="I120" s="60">
        <f t="shared" si="58"/>
        <v>0</v>
      </c>
      <c r="J120" s="98">
        <f t="shared" si="59"/>
        <v>0</v>
      </c>
      <c r="L120" s="99">
        <f t="shared" ref="L120" si="60">M120*H120</f>
        <v>0</v>
      </c>
      <c r="M120" s="100">
        <f t="shared" ref="M120" si="61">D120*F120</f>
        <v>0</v>
      </c>
      <c r="O120" s="406">
        <f>E120</f>
        <v>0</v>
      </c>
      <c r="R120" s="407">
        <f t="shared" ref="R120" si="62">O120*10</f>
        <v>0</v>
      </c>
      <c r="S120" s="406"/>
    </row>
    <row r="121" spans="1:19" x14ac:dyDescent="0.2">
      <c r="A121" s="33"/>
      <c r="B121" s="28"/>
      <c r="C121" s="28" t="s">
        <v>149</v>
      </c>
      <c r="D121" s="46">
        <f>E121*B120/10000</f>
        <v>0</v>
      </c>
      <c r="E121" s="91">
        <v>0</v>
      </c>
      <c r="F121" s="42">
        <f>D41</f>
        <v>2</v>
      </c>
      <c r="G121" s="128">
        <f>'[4]5.Neuropathy'!J195</f>
        <v>12.8368</v>
      </c>
      <c r="H121" s="42">
        <f t="shared" si="57"/>
        <v>0.19</v>
      </c>
      <c r="I121" s="60">
        <f t="shared" si="58"/>
        <v>0</v>
      </c>
      <c r="J121" s="98">
        <f t="shared" si="59"/>
        <v>0</v>
      </c>
      <c r="L121" s="99"/>
      <c r="M121" s="100"/>
      <c r="P121" s="406">
        <f t="shared" ref="P121" si="63">E121</f>
        <v>0</v>
      </c>
      <c r="S121" s="406">
        <f>P121*10</f>
        <v>0</v>
      </c>
    </row>
    <row r="122" spans="1:19" x14ac:dyDescent="0.2">
      <c r="A122" s="33" t="s">
        <v>12</v>
      </c>
      <c r="B122" s="28">
        <f>SUM('[2]Pop 57'!$C$9:$C$11)</f>
        <v>7301822</v>
      </c>
      <c r="C122" s="28" t="s">
        <v>148</v>
      </c>
      <c r="D122" s="46">
        <f>E122*B122/10000</f>
        <v>255.39070223659101</v>
      </c>
      <c r="E122" s="91">
        <f>'4.Neuro_DATA'!C148</f>
        <v>0.34976298002962958</v>
      </c>
      <c r="F122" s="42">
        <f>D44</f>
        <v>37.063034999999999</v>
      </c>
      <c r="G122" s="128">
        <f>'[4]5.Neuropathy'!J196</f>
        <v>22.412600000000001</v>
      </c>
      <c r="H122" s="42">
        <f t="shared" si="57"/>
        <v>0.19</v>
      </c>
      <c r="I122" s="60">
        <f t="shared" si="58"/>
        <v>1798.4553617771767</v>
      </c>
      <c r="J122" s="98">
        <f t="shared" si="59"/>
        <v>1085.4283267488709</v>
      </c>
      <c r="L122" s="99">
        <f t="shared" ref="L122" si="64">M122*H122</f>
        <v>1798.4553617771767</v>
      </c>
      <c r="M122" s="100">
        <f t="shared" ref="M122" si="65">D122*F122</f>
        <v>9465.554535669351</v>
      </c>
      <c r="O122" s="406">
        <f t="shared" ref="O122" si="66">E122</f>
        <v>0.34976298002962958</v>
      </c>
      <c r="R122" s="407">
        <f t="shared" ref="R122" si="67">O122*10</f>
        <v>3.4976298002962958</v>
      </c>
      <c r="S122" s="406"/>
    </row>
    <row r="123" spans="1:19" x14ac:dyDescent="0.2">
      <c r="A123" s="33"/>
      <c r="B123" s="28"/>
      <c r="C123" s="28" t="s">
        <v>149</v>
      </c>
      <c r="D123" s="46">
        <f>E123*B122/10000</f>
        <v>127.69535111829551</v>
      </c>
      <c r="E123" s="91">
        <f>'4.Neuro_DATA'!D148</f>
        <v>0.17488149001481479</v>
      </c>
      <c r="F123" s="42">
        <f>D41</f>
        <v>2</v>
      </c>
      <c r="G123" s="128">
        <f>'[4]5.Neuropathy'!J197</f>
        <v>22.412600000000001</v>
      </c>
      <c r="H123" s="42">
        <f t="shared" si="57"/>
        <v>0.19</v>
      </c>
      <c r="I123" s="60">
        <f t="shared" si="58"/>
        <v>48.524233424952293</v>
      </c>
      <c r="J123" s="98">
        <f t="shared" si="59"/>
        <v>47.097189432814751</v>
      </c>
      <c r="L123" s="99"/>
      <c r="M123" s="100"/>
      <c r="P123" s="406">
        <f t="shared" ref="P123" si="68">E123</f>
        <v>0.17488149001481479</v>
      </c>
      <c r="S123" s="406">
        <f t="shared" ref="S123" si="69">P123*10</f>
        <v>1.7488149001481479</v>
      </c>
    </row>
    <row r="124" spans="1:19" x14ac:dyDescent="0.2">
      <c r="A124" s="33" t="s">
        <v>13</v>
      </c>
      <c r="B124" s="28">
        <f>SUM('[2]Pop 57'!$C$12:$C$14)</f>
        <v>7896765</v>
      </c>
      <c r="C124" s="28" t="s">
        <v>148</v>
      </c>
      <c r="D124" s="46">
        <f>E124*B124/10000</f>
        <v>805.04598247028571</v>
      </c>
      <c r="E124" s="91">
        <f>'4.Neuro_DATA'!C149</f>
        <v>1.0194630110814817</v>
      </c>
      <c r="F124" s="42">
        <f>D45</f>
        <v>28.429959</v>
      </c>
      <c r="G124" s="128">
        <f>'[4]5.Neuropathy'!J198</f>
        <v>39.528500000000001</v>
      </c>
      <c r="H124" s="42">
        <f t="shared" si="57"/>
        <v>0.19</v>
      </c>
      <c r="I124" s="60">
        <f t="shared" si="58"/>
        <v>4348.610612201539</v>
      </c>
      <c r="J124" s="98">
        <f t="shared" si="59"/>
        <v>2925.70422264422</v>
      </c>
      <c r="L124" s="99">
        <f t="shared" ref="L124" si="70">M124*H124</f>
        <v>4348.610612201539</v>
      </c>
      <c r="M124" s="100">
        <f t="shared" ref="M124" si="71">D124*F124</f>
        <v>22887.424274744943</v>
      </c>
      <c r="O124" s="406">
        <f t="shared" ref="O124" si="72">E124</f>
        <v>1.0194630110814817</v>
      </c>
      <c r="R124" s="407">
        <f t="shared" ref="R124" si="73">O124*10</f>
        <v>10.194630110814817</v>
      </c>
      <c r="S124" s="406"/>
    </row>
    <row r="125" spans="1:19" x14ac:dyDescent="0.2">
      <c r="A125" s="33"/>
      <c r="B125" s="28"/>
      <c r="C125" s="28" t="s">
        <v>149</v>
      </c>
      <c r="D125" s="46">
        <f>E125*B124/10000</f>
        <v>402.52299123514274</v>
      </c>
      <c r="E125" s="91">
        <f>'4.Neuro_DATA'!D149</f>
        <v>0.50973150554074076</v>
      </c>
      <c r="F125" s="42">
        <f>D41</f>
        <v>2</v>
      </c>
      <c r="G125" s="128">
        <f>'[4]5.Neuropathy'!J199</f>
        <v>39.528500000000001</v>
      </c>
      <c r="H125" s="42">
        <f t="shared" si="57"/>
        <v>0.19</v>
      </c>
      <c r="I125" s="60">
        <f t="shared" si="58"/>
        <v>152.95873666935424</v>
      </c>
      <c r="J125" s="98">
        <f t="shared" si="59"/>
        <v>148.46038953839872</v>
      </c>
      <c r="L125" s="99"/>
      <c r="M125" s="100"/>
      <c r="P125" s="406">
        <f t="shared" ref="P125" si="74">E125</f>
        <v>0.50973150554074076</v>
      </c>
      <c r="S125" s="406">
        <f t="shared" ref="S125" si="75">P125*10</f>
        <v>5.0973150554074076</v>
      </c>
    </row>
    <row r="126" spans="1:19" x14ac:dyDescent="0.2">
      <c r="A126" s="33" t="s">
        <v>14</v>
      </c>
      <c r="B126" s="28">
        <f>SUM('[2]Pop 57'!$C$15:$C$17)</f>
        <v>6554289</v>
      </c>
      <c r="C126" s="28" t="s">
        <v>148</v>
      </c>
      <c r="D126" s="46">
        <f>E126*B126/10000</f>
        <v>1878.0323429647087</v>
      </c>
      <c r="E126" s="91">
        <f>'4.Neuro_DATA'!C150</f>
        <v>2.8653486945185187</v>
      </c>
      <c r="F126" s="42">
        <f>D46</f>
        <v>21.400614999999998</v>
      </c>
      <c r="G126" s="128">
        <f>'[4]5.Neuropathy'!J200</f>
        <v>50.938200000000002</v>
      </c>
      <c r="H126" s="42">
        <f t="shared" si="57"/>
        <v>0.19</v>
      </c>
      <c r="I126" s="60">
        <f t="shared" si="58"/>
        <v>7636.298954573781</v>
      </c>
      <c r="J126" s="98">
        <f t="shared" si="59"/>
        <v>5635.127131435408</v>
      </c>
      <c r="L126" s="99">
        <f t="shared" ref="L126" si="76">M126*H126</f>
        <v>7636.298954573781</v>
      </c>
      <c r="M126" s="100">
        <f t="shared" ref="M126" si="77">D126*F126</f>
        <v>40191.04712933569</v>
      </c>
      <c r="O126" s="406">
        <f t="shared" ref="O126" si="78">E126</f>
        <v>2.8653486945185187</v>
      </c>
      <c r="R126" s="407">
        <f t="shared" ref="R126" si="79">O126*10</f>
        <v>28.653486945185186</v>
      </c>
      <c r="S126" s="406"/>
    </row>
    <row r="127" spans="1:19" x14ac:dyDescent="0.2">
      <c r="A127" s="33"/>
      <c r="B127" s="28"/>
      <c r="C127" s="28" t="s">
        <v>149</v>
      </c>
      <c r="D127" s="46">
        <f>E127*B126/10000</f>
        <v>939.01617148235459</v>
      </c>
      <c r="E127" s="91">
        <f>'4.Neuro_DATA'!D150</f>
        <v>1.4326743472592596</v>
      </c>
      <c r="F127" s="42">
        <f>D41</f>
        <v>2</v>
      </c>
      <c r="G127" s="128">
        <f>'[4]5.Neuropathy'!J201</f>
        <v>50.938200000000002</v>
      </c>
      <c r="H127" s="42">
        <f t="shared" si="57"/>
        <v>0.19</v>
      </c>
      <c r="I127" s="60">
        <f t="shared" si="58"/>
        <v>356.82614516329477</v>
      </c>
      <c r="J127" s="98">
        <f t="shared" si="59"/>
        <v>346.33228321531743</v>
      </c>
      <c r="L127" s="99"/>
      <c r="M127" s="100"/>
      <c r="P127" s="406">
        <f t="shared" ref="P127" si="80">E127</f>
        <v>1.4326743472592596</v>
      </c>
      <c r="S127" s="406">
        <f t="shared" ref="S127" si="81">P127*10</f>
        <v>14.326743472592597</v>
      </c>
    </row>
    <row r="128" spans="1:19" x14ac:dyDescent="0.2">
      <c r="A128" s="33" t="s">
        <v>15</v>
      </c>
      <c r="B128" s="28">
        <f>SUM('[2]Pop 57'!$C$18:$C$19)</f>
        <v>2344057</v>
      </c>
      <c r="C128" s="28" t="s">
        <v>148</v>
      </c>
      <c r="D128" s="46">
        <f>E128*B128/10000</f>
        <v>500.51953102759506</v>
      </c>
      <c r="E128" s="91">
        <f>'4.Neuro_DATA'!C151</f>
        <v>2.1352703071111114</v>
      </c>
      <c r="F128" s="42">
        <f>D47</f>
        <v>14.177087</v>
      </c>
      <c r="G128" s="128">
        <f>'[4]5.Neuropathy'!J202</f>
        <v>64.1327</v>
      </c>
      <c r="H128" s="42">
        <f t="shared" si="57"/>
        <v>0.19</v>
      </c>
      <c r="I128" s="60">
        <f t="shared" si="58"/>
        <v>1348.2226979497088</v>
      </c>
      <c r="J128" s="98">
        <f t="shared" si="59"/>
        <v>1098.1826621988573</v>
      </c>
      <c r="L128" s="99">
        <f t="shared" ref="L128" si="82">M128*H128</f>
        <v>1348.2226979497088</v>
      </c>
      <c r="M128" s="100">
        <f t="shared" ref="M128" si="83">D128*F128</f>
        <v>7095.9089365774144</v>
      </c>
      <c r="O128" s="406">
        <f t="shared" ref="O128" si="84">E128</f>
        <v>2.1352703071111114</v>
      </c>
      <c r="R128" s="407">
        <f t="shared" ref="R128" si="85">O128*10</f>
        <v>21.352703071111115</v>
      </c>
      <c r="S128" s="406"/>
    </row>
    <row r="129" spans="1:19" x14ac:dyDescent="0.2">
      <c r="A129" s="33"/>
      <c r="B129" s="28"/>
      <c r="C129" s="28" t="s">
        <v>149</v>
      </c>
      <c r="D129" s="46">
        <f>E129*B128/10000</f>
        <v>250.25976551379748</v>
      </c>
      <c r="E129" s="91">
        <f>'4.Neuro_DATA'!D151</f>
        <v>1.0676351535555555</v>
      </c>
      <c r="F129" s="42">
        <f>D41</f>
        <v>2</v>
      </c>
      <c r="G129" s="128">
        <f>'[4]5.Neuropathy'!J203</f>
        <v>64.1327</v>
      </c>
      <c r="H129" s="42">
        <f t="shared" si="57"/>
        <v>0.19</v>
      </c>
      <c r="I129" s="60">
        <f t="shared" si="58"/>
        <v>95.098710895243045</v>
      </c>
      <c r="J129" s="98">
        <f t="shared" si="59"/>
        <v>92.301963075352788</v>
      </c>
      <c r="L129" s="99"/>
      <c r="M129" s="100"/>
      <c r="P129" s="406">
        <f t="shared" ref="P129" si="86">E129</f>
        <v>1.0676351535555555</v>
      </c>
      <c r="S129" s="406">
        <f>P129*10</f>
        <v>10.676351535555554</v>
      </c>
    </row>
    <row r="130" spans="1:19" x14ac:dyDescent="0.2">
      <c r="A130" s="33" t="s">
        <v>16</v>
      </c>
      <c r="B130" s="28">
        <f>SUM('[2]Pop 57'!$C$20:$C$21)</f>
        <v>1173067</v>
      </c>
      <c r="C130" s="28" t="s">
        <v>148</v>
      </c>
      <c r="D130" s="46">
        <f>E130*B130/10000</f>
        <v>204.92415540675168</v>
      </c>
      <c r="E130" s="91">
        <f>'4.Neuro_DATA'!C152</f>
        <v>1.7469092166666667</v>
      </c>
      <c r="F130" s="42">
        <f>D48</f>
        <v>9.0248369999999998</v>
      </c>
      <c r="G130" s="128">
        <f>'[4]5.Neuropathy'!J204</f>
        <v>72.348200000000006</v>
      </c>
      <c r="H130" s="42">
        <f t="shared" si="57"/>
        <v>0.19</v>
      </c>
      <c r="I130" s="60">
        <f t="shared" si="58"/>
        <v>351.38734898263448</v>
      </c>
      <c r="J130" s="98">
        <f t="shared" si="59"/>
        <v>307.8365754256568</v>
      </c>
      <c r="K130" s="22" t="s">
        <v>23</v>
      </c>
      <c r="L130" s="99">
        <f t="shared" ref="L130" si="87">M130*H130</f>
        <v>351.38734898263448</v>
      </c>
      <c r="M130" s="100">
        <f t="shared" ref="M130" si="88">D130*F130</f>
        <v>1849.4070999086025</v>
      </c>
      <c r="O130" s="406">
        <f t="shared" ref="O130" si="89">E130</f>
        <v>1.7469092166666667</v>
      </c>
      <c r="R130" s="407">
        <f t="shared" ref="R130" si="90">O130*10</f>
        <v>17.469092166666666</v>
      </c>
      <c r="S130" s="406"/>
    </row>
    <row r="131" spans="1:19" x14ac:dyDescent="0.2">
      <c r="A131" s="33"/>
      <c r="B131" s="28"/>
      <c r="C131" s="28" t="s">
        <v>149</v>
      </c>
      <c r="D131" s="46">
        <f>E131*B130/10000</f>
        <v>102.46207770337584</v>
      </c>
      <c r="E131" s="91">
        <f>'4.Neuro_DATA'!D152</f>
        <v>0.87345460833333344</v>
      </c>
      <c r="F131" s="42">
        <f>D41</f>
        <v>2</v>
      </c>
      <c r="G131" s="128">
        <f>'[4]5.Neuropathy'!J205</f>
        <v>72.348200000000006</v>
      </c>
      <c r="H131" s="42">
        <f t="shared" si="57"/>
        <v>0.19</v>
      </c>
      <c r="I131" s="60">
        <f t="shared" si="58"/>
        <v>38.935589527282822</v>
      </c>
      <c r="J131" s="98">
        <f t="shared" si="59"/>
        <v>37.790536938225934</v>
      </c>
      <c r="L131" s="99"/>
      <c r="M131" s="100"/>
      <c r="P131" s="406">
        <f t="shared" ref="P131" si="91">E131</f>
        <v>0.87345460833333344</v>
      </c>
      <c r="S131" s="406">
        <f t="shared" ref="S131" si="92">P131*10</f>
        <v>8.7345460833333348</v>
      </c>
    </row>
    <row r="132" spans="1:19" x14ac:dyDescent="0.2">
      <c r="A132" s="33" t="s">
        <v>17</v>
      </c>
      <c r="B132" s="28">
        <f>SUM('[2]Pop 57'!$C$22:$C$26)</f>
        <v>506965</v>
      </c>
      <c r="C132" s="28" t="s">
        <v>148</v>
      </c>
      <c r="D132" s="46">
        <f>E132*B132/10000</f>
        <v>80.505563898207328</v>
      </c>
      <c r="E132" s="91">
        <f>'4.Neuro_DATA'!C153</f>
        <v>1.5879905693333332</v>
      </c>
      <c r="F132" s="42">
        <f>D49</f>
        <v>6.344195</v>
      </c>
      <c r="G132" s="128">
        <f>'[4]5.Neuropathy'!J206</f>
        <v>87.566500000000005</v>
      </c>
      <c r="H132" s="42">
        <f t="shared" si="57"/>
        <v>0.19</v>
      </c>
      <c r="I132" s="60">
        <f t="shared" si="58"/>
        <v>97.041169231485611</v>
      </c>
      <c r="J132" s="98">
        <f t="shared" si="59"/>
        <v>88.365468328161199</v>
      </c>
      <c r="L132" s="99">
        <f t="shared" ref="L132" si="93">M132*H132</f>
        <v>97.041169231485611</v>
      </c>
      <c r="M132" s="100">
        <f t="shared" ref="M132" si="94">D132*F132</f>
        <v>510.74299595518744</v>
      </c>
      <c r="O132" s="406">
        <f>E132</f>
        <v>1.5879905693333332</v>
      </c>
      <c r="R132" s="407">
        <f t="shared" ref="R132" si="95">O132*10</f>
        <v>15.879905693333331</v>
      </c>
      <c r="S132" s="406"/>
    </row>
    <row r="133" spans="1:19" x14ac:dyDescent="0.2">
      <c r="A133" s="33"/>
      <c r="B133" s="28"/>
      <c r="C133" s="28" t="s">
        <v>149</v>
      </c>
      <c r="D133" s="46">
        <f>E133*B132/10000</f>
        <v>40.252781949103671</v>
      </c>
      <c r="E133" s="91">
        <f>'4.Neuro_DATA'!D153</f>
        <v>0.79399528466666669</v>
      </c>
      <c r="F133" s="42">
        <f>D41</f>
        <v>2</v>
      </c>
      <c r="G133" s="128">
        <f>'[4]5.Neuropathy'!J207</f>
        <v>87.566500000000005</v>
      </c>
      <c r="H133" s="42">
        <f t="shared" si="57"/>
        <v>0.19</v>
      </c>
      <c r="I133" s="60">
        <f t="shared" si="58"/>
        <v>15.296057140659395</v>
      </c>
      <c r="J133" s="98">
        <f t="shared" si="59"/>
        <v>14.846217031804713</v>
      </c>
      <c r="L133" s="99"/>
      <c r="M133" s="100"/>
      <c r="P133" s="406">
        <f t="shared" ref="P133" si="96">E133</f>
        <v>0.79399528466666669</v>
      </c>
      <c r="R133" s="407"/>
      <c r="S133" s="406">
        <f t="shared" ref="S133" si="97">P133*10</f>
        <v>7.9399528466666673</v>
      </c>
    </row>
    <row r="134" spans="1:19" x14ac:dyDescent="0.2">
      <c r="A134" s="34" t="s">
        <v>18</v>
      </c>
      <c r="B134" s="28">
        <f>SUM(B118:B132)</f>
        <v>31922490</v>
      </c>
      <c r="C134" s="28"/>
      <c r="D134" s="46"/>
      <c r="E134" s="91"/>
      <c r="F134" s="42"/>
      <c r="G134" s="128"/>
      <c r="H134" s="42"/>
      <c r="I134" s="60">
        <f>SUM(I118:I133)</f>
        <v>16287.655617537113</v>
      </c>
      <c r="J134" s="98">
        <f>SUM(J118:J133)</f>
        <v>11827.472966013091</v>
      </c>
      <c r="L134" s="99">
        <f>SUM(L118:L132)</f>
        <v>15580.016144716325</v>
      </c>
      <c r="M134" s="100">
        <f>SUM(M118:M132)</f>
        <v>82000.08497219118</v>
      </c>
    </row>
    <row r="135" spans="1:19" x14ac:dyDescent="0.2">
      <c r="A135" s="27"/>
      <c r="B135" s="28"/>
      <c r="C135" s="28"/>
      <c r="D135" s="28"/>
      <c r="E135" s="91"/>
      <c r="F135" s="42"/>
      <c r="G135" s="128"/>
      <c r="H135" s="42"/>
      <c r="I135" s="58"/>
      <c r="J135" s="29"/>
      <c r="L135" s="99"/>
      <c r="M135" s="100"/>
    </row>
    <row r="136" spans="1:19" x14ac:dyDescent="0.2">
      <c r="A136" s="48" t="s">
        <v>35</v>
      </c>
      <c r="B136" s="28"/>
      <c r="C136" s="28"/>
      <c r="D136" s="28"/>
      <c r="E136" s="91"/>
      <c r="F136" s="42"/>
      <c r="G136" s="128"/>
      <c r="H136" s="42"/>
      <c r="I136" s="58"/>
      <c r="J136" s="29"/>
      <c r="L136" s="99"/>
      <c r="M136" s="100"/>
    </row>
    <row r="137" spans="1:19" x14ac:dyDescent="0.2">
      <c r="A137" s="33" t="s">
        <v>7</v>
      </c>
      <c r="B137" s="28">
        <f>SUM('[2]Pop 57'!$D$5:$D$6)</f>
        <v>1849075</v>
      </c>
      <c r="C137" s="28" t="s">
        <v>148</v>
      </c>
      <c r="D137" s="46">
        <f>E137*B137/10000</f>
        <v>0</v>
      </c>
      <c r="E137" s="91">
        <v>0</v>
      </c>
      <c r="F137" s="42">
        <f>E42</f>
        <v>64.091886000000002</v>
      </c>
      <c r="G137" s="128">
        <f>'[4]5.Neuropathy'!J211</f>
        <v>0</v>
      </c>
      <c r="H137" s="42">
        <f t="shared" si="57"/>
        <v>0.19</v>
      </c>
      <c r="I137" s="60">
        <f>D137*F137*H137</f>
        <v>0</v>
      </c>
      <c r="J137" s="98">
        <f>D137*H137*(1-EXP(-0.03*F137))/0.03</f>
        <v>0</v>
      </c>
      <c r="L137" s="99">
        <f>M137*H137</f>
        <v>0</v>
      </c>
      <c r="M137" s="100">
        <f>D137*F137</f>
        <v>0</v>
      </c>
      <c r="O137" s="406">
        <f>E137</f>
        <v>0</v>
      </c>
      <c r="R137" s="407">
        <f>O137*10</f>
        <v>0</v>
      </c>
      <c r="S137" s="406"/>
    </row>
    <row r="138" spans="1:19" x14ac:dyDescent="0.2">
      <c r="A138" s="33"/>
      <c r="B138" s="28"/>
      <c r="C138" s="28" t="s">
        <v>149</v>
      </c>
      <c r="D138" s="46">
        <f>E138*B137/10000</f>
        <v>0</v>
      </c>
      <c r="E138" s="91">
        <v>0</v>
      </c>
      <c r="F138" s="42">
        <f>E41</f>
        <v>2</v>
      </c>
      <c r="G138" s="128">
        <f>'[4]5.Neuropathy'!J212</f>
        <v>0</v>
      </c>
      <c r="H138" s="42">
        <f t="shared" si="57"/>
        <v>0.19</v>
      </c>
      <c r="I138" s="60">
        <f t="shared" ref="I138:I152" si="98">D138*F138*H138</f>
        <v>0</v>
      </c>
      <c r="J138" s="98">
        <f t="shared" ref="J138:J152" si="99">D138*H138*(1-EXP(-0.03*F138))/0.03</f>
        <v>0</v>
      </c>
      <c r="L138" s="99"/>
      <c r="M138" s="100"/>
      <c r="P138" s="406">
        <f>E138</f>
        <v>0</v>
      </c>
      <c r="S138" s="406">
        <f>P138*10</f>
        <v>0</v>
      </c>
    </row>
    <row r="139" spans="1:19" x14ac:dyDescent="0.2">
      <c r="A139" s="33" t="s">
        <v>11</v>
      </c>
      <c r="B139" s="28">
        <f>SUM('[2]Pop 57'!$D$7:$D$8)</f>
        <v>3940160</v>
      </c>
      <c r="C139" s="28" t="s">
        <v>148</v>
      </c>
      <c r="D139" s="46">
        <f>E139*B139/10000</f>
        <v>0</v>
      </c>
      <c r="E139" s="91">
        <v>0</v>
      </c>
      <c r="F139" s="42">
        <f>E43</f>
        <v>55.898117999999997</v>
      </c>
      <c r="G139" s="128">
        <f>'[4]5.Neuropathy'!J213</f>
        <v>12.820600000000001</v>
      </c>
      <c r="H139" s="42">
        <f t="shared" si="57"/>
        <v>0.19</v>
      </c>
      <c r="I139" s="60">
        <f t="shared" si="98"/>
        <v>0</v>
      </c>
      <c r="J139" s="98">
        <f t="shared" si="99"/>
        <v>0</v>
      </c>
      <c r="L139" s="99">
        <f t="shared" ref="L139" si="100">M139*H139</f>
        <v>0</v>
      </c>
      <c r="M139" s="100">
        <f t="shared" ref="M139" si="101">D139*F139</f>
        <v>0</v>
      </c>
      <c r="O139" s="406">
        <f>E139</f>
        <v>0</v>
      </c>
      <c r="R139" s="407">
        <f t="shared" ref="R139" si="102">O139*10</f>
        <v>0</v>
      </c>
      <c r="S139" s="406"/>
    </row>
    <row r="140" spans="1:19" x14ac:dyDescent="0.2">
      <c r="A140" s="33"/>
      <c r="B140" s="28"/>
      <c r="C140" s="28" t="s">
        <v>149</v>
      </c>
      <c r="D140" s="46">
        <f>E140*B139/10000</f>
        <v>0</v>
      </c>
      <c r="E140" s="91">
        <v>0</v>
      </c>
      <c r="F140" s="42">
        <f>E41</f>
        <v>2</v>
      </c>
      <c r="G140" s="128">
        <f>'[4]5.Neuropathy'!J214</f>
        <v>12.820600000000001</v>
      </c>
      <c r="H140" s="42">
        <f t="shared" si="57"/>
        <v>0.19</v>
      </c>
      <c r="I140" s="60">
        <f t="shared" si="98"/>
        <v>0</v>
      </c>
      <c r="J140" s="98">
        <f t="shared" si="99"/>
        <v>0</v>
      </c>
      <c r="L140" s="99"/>
      <c r="M140" s="100"/>
      <c r="P140" s="406">
        <f t="shared" ref="P140" si="103">E140</f>
        <v>0</v>
      </c>
      <c r="S140" s="406">
        <f>P140*10</f>
        <v>0</v>
      </c>
    </row>
    <row r="141" spans="1:19" x14ac:dyDescent="0.2">
      <c r="A141" s="33" t="s">
        <v>12</v>
      </c>
      <c r="B141" s="46">
        <f>SUM('[2]Pop 57'!$D$9:$D$11)</f>
        <v>7026158.1752900956</v>
      </c>
      <c r="C141" s="28" t="s">
        <v>148</v>
      </c>
      <c r="D141" s="46">
        <f>E141*B141/10000</f>
        <v>438.57635438757166</v>
      </c>
      <c r="E141" s="91">
        <f>'4.Neuro_DATA'!F148</f>
        <v>0.62420506832592582</v>
      </c>
      <c r="F141" s="42">
        <f>E44</f>
        <v>47.189256999999998</v>
      </c>
      <c r="G141" s="128">
        <f>'[4]5.Neuropathy'!J215</f>
        <v>23.314699999999998</v>
      </c>
      <c r="H141" s="42">
        <f t="shared" si="57"/>
        <v>0.19</v>
      </c>
      <c r="I141" s="60">
        <f t="shared" si="98"/>
        <v>3932.2575372504575</v>
      </c>
      <c r="J141" s="98">
        <f t="shared" si="99"/>
        <v>2103.3449931723803</v>
      </c>
      <c r="L141" s="99">
        <f t="shared" ref="L141" si="104">M141*H141</f>
        <v>3932.2575372504575</v>
      </c>
      <c r="M141" s="100">
        <f t="shared" ref="M141" si="105">D141*F141</f>
        <v>20696.092301318196</v>
      </c>
      <c r="O141" s="406">
        <f t="shared" ref="O141" si="106">E141</f>
        <v>0.62420506832592582</v>
      </c>
      <c r="R141" s="407">
        <f t="shared" ref="R141" si="107">O141*10</f>
        <v>6.2420506832592579</v>
      </c>
      <c r="S141" s="406"/>
    </row>
    <row r="142" spans="1:19" x14ac:dyDescent="0.2">
      <c r="A142" s="33"/>
      <c r="B142" s="46"/>
      <c r="C142" s="28" t="s">
        <v>149</v>
      </c>
      <c r="D142" s="46">
        <f>E142*B141/10000</f>
        <v>219.28817719378588</v>
      </c>
      <c r="E142" s="91">
        <f>'4.Neuro_DATA'!G148</f>
        <v>0.31210253416296296</v>
      </c>
      <c r="F142" s="42">
        <f>E41</f>
        <v>2</v>
      </c>
      <c r="G142" s="128">
        <f>'[4]5.Neuropathy'!J216</f>
        <v>23.314699999999998</v>
      </c>
      <c r="H142" s="42">
        <f t="shared" si="57"/>
        <v>0.19</v>
      </c>
      <c r="I142" s="60">
        <f t="shared" si="98"/>
        <v>83.329507333638631</v>
      </c>
      <c r="J142" s="98">
        <f t="shared" si="99"/>
        <v>80.878878762820207</v>
      </c>
      <c r="L142" s="99"/>
      <c r="M142" s="100"/>
      <c r="P142" s="406">
        <f t="shared" ref="P142" si="108">E142</f>
        <v>0.31210253416296296</v>
      </c>
      <c r="S142" s="406">
        <f t="shared" ref="S142" si="109">P142*10</f>
        <v>3.1210253416296299</v>
      </c>
    </row>
    <row r="143" spans="1:19" x14ac:dyDescent="0.2">
      <c r="A143" s="33" t="s">
        <v>13</v>
      </c>
      <c r="B143" s="28">
        <f>SUM('[2]Pop 57'!$D$12:$D$14)</f>
        <v>8017814</v>
      </c>
      <c r="C143" s="28" t="s">
        <v>148</v>
      </c>
      <c r="D143" s="46">
        <f>E143*B143/10000</f>
        <v>704.30740135553538</v>
      </c>
      <c r="E143" s="91">
        <f>'4.Neuro_DATA'!F149</f>
        <v>0.87842821167407392</v>
      </c>
      <c r="F143" s="42">
        <f>E45</f>
        <v>32.744303000000002</v>
      </c>
      <c r="G143" s="128">
        <f>'[4]5.Neuropathy'!J217</f>
        <v>38.326500000000003</v>
      </c>
      <c r="H143" s="42">
        <f t="shared" si="57"/>
        <v>0.19</v>
      </c>
      <c r="I143" s="60">
        <f t="shared" si="98"/>
        <v>4381.7904414743698</v>
      </c>
      <c r="J143" s="98">
        <f t="shared" si="99"/>
        <v>2790.3904056696088</v>
      </c>
      <c r="L143" s="99">
        <f t="shared" ref="L143" si="110">M143*H143</f>
        <v>4381.7904414743698</v>
      </c>
      <c r="M143" s="100">
        <f t="shared" ref="M143" si="111">D143*F143</f>
        <v>23062.054955128264</v>
      </c>
      <c r="O143" s="406">
        <f t="shared" ref="O143" si="112">E143</f>
        <v>0.87842821167407392</v>
      </c>
      <c r="R143" s="407">
        <f t="shared" ref="R143" si="113">O143*10</f>
        <v>8.784282116740739</v>
      </c>
      <c r="S143" s="406"/>
    </row>
    <row r="144" spans="1:19" x14ac:dyDescent="0.2">
      <c r="A144" s="33"/>
      <c r="B144" s="28"/>
      <c r="C144" s="28" t="s">
        <v>149</v>
      </c>
      <c r="D144" s="46">
        <f>E144*B143/10000</f>
        <v>352.15370067776774</v>
      </c>
      <c r="E144" s="91">
        <f>'4.Neuro_DATA'!G149</f>
        <v>0.43921410583703702</v>
      </c>
      <c r="F144" s="42">
        <f>E41</f>
        <v>2</v>
      </c>
      <c r="G144" s="128">
        <f>'[4]5.Neuropathy'!J218</f>
        <v>38.326500000000003</v>
      </c>
      <c r="H144" s="42">
        <f t="shared" si="57"/>
        <v>0.19</v>
      </c>
      <c r="I144" s="60">
        <f t="shared" si="98"/>
        <v>133.81840625755174</v>
      </c>
      <c r="J144" s="98">
        <f t="shared" si="99"/>
        <v>129.88295505701694</v>
      </c>
      <c r="L144" s="99"/>
      <c r="M144" s="100"/>
      <c r="P144" s="406">
        <f t="shared" ref="P144" si="114">E144</f>
        <v>0.43921410583703702</v>
      </c>
      <c r="S144" s="406">
        <f t="shared" ref="S144" si="115">P144*10</f>
        <v>4.3921410583703704</v>
      </c>
    </row>
    <row r="145" spans="1:19" x14ac:dyDescent="0.2">
      <c r="A145" s="33" t="s">
        <v>14</v>
      </c>
      <c r="B145" s="28">
        <f>SUM('[2]Pop 57'!$D$15:$D$17)</f>
        <v>7162204</v>
      </c>
      <c r="C145" s="28" t="s">
        <v>148</v>
      </c>
      <c r="D145" s="46">
        <f>E145*B145/10000</f>
        <v>1842.7660383381829</v>
      </c>
      <c r="E145" s="91">
        <f>'4.Neuro_DATA'!F150</f>
        <v>2.5729035899259265</v>
      </c>
      <c r="F145" s="42">
        <f>E46</f>
        <v>22.17709</v>
      </c>
      <c r="G145" s="128">
        <f>'[4]5.Neuropathy'!J219</f>
        <v>50.655700000000003</v>
      </c>
      <c r="H145" s="42">
        <f t="shared" si="57"/>
        <v>0.19</v>
      </c>
      <c r="I145" s="60">
        <f t="shared" si="98"/>
        <v>7764.7657734221721</v>
      </c>
      <c r="J145" s="98">
        <f t="shared" si="99"/>
        <v>5670.7180998578715</v>
      </c>
      <c r="L145" s="99">
        <f t="shared" ref="L145" si="116">M145*H145</f>
        <v>7764.7657734221721</v>
      </c>
      <c r="M145" s="100">
        <f t="shared" ref="M145" si="117">D145*F145</f>
        <v>40867.188281169329</v>
      </c>
      <c r="O145" s="406">
        <f t="shared" ref="O145" si="118">E145</f>
        <v>2.5729035899259265</v>
      </c>
      <c r="R145" s="407">
        <f t="shared" ref="R145" si="119">O145*10</f>
        <v>25.729035899259266</v>
      </c>
      <c r="S145" s="406"/>
    </row>
    <row r="146" spans="1:19" x14ac:dyDescent="0.2">
      <c r="A146" s="33"/>
      <c r="B146" s="28"/>
      <c r="C146" s="28" t="s">
        <v>149</v>
      </c>
      <c r="D146" s="46">
        <f>E146*B145/10000</f>
        <v>921.38301916909143</v>
      </c>
      <c r="E146" s="91">
        <f>'4.Neuro_DATA'!G150</f>
        <v>1.286451794962963</v>
      </c>
      <c r="F146" s="42">
        <f>E41</f>
        <v>2</v>
      </c>
      <c r="G146" s="128">
        <f>'[4]5.Neuropathy'!J220</f>
        <v>50.655700000000003</v>
      </c>
      <c r="H146" s="42">
        <f t="shared" si="57"/>
        <v>0.19</v>
      </c>
      <c r="I146" s="60">
        <f t="shared" si="98"/>
        <v>350.12554728425476</v>
      </c>
      <c r="J146" s="98">
        <f t="shared" si="99"/>
        <v>339.82874250281259</v>
      </c>
      <c r="L146" s="99"/>
      <c r="M146" s="100"/>
      <c r="P146" s="406">
        <f t="shared" ref="P146" si="120">E146</f>
        <v>1.286451794962963</v>
      </c>
      <c r="S146" s="406">
        <f t="shared" ref="S146" si="121">P146*10</f>
        <v>12.864517949629629</v>
      </c>
    </row>
    <row r="147" spans="1:19" x14ac:dyDescent="0.2">
      <c r="A147" s="33" t="s">
        <v>15</v>
      </c>
      <c r="B147" s="46">
        <f>SUM('[2]Pop 57'!$D$18:$D$19)</f>
        <v>2739970.5356088658</v>
      </c>
      <c r="C147" s="28" t="s">
        <v>148</v>
      </c>
      <c r="D147" s="46">
        <f>E147*B147/10000</f>
        <v>1121.0122594432878</v>
      </c>
      <c r="E147" s="91">
        <f>'4.Neuro_DATA'!F151</f>
        <v>4.0913296142222224</v>
      </c>
      <c r="F147" s="42">
        <f>E47</f>
        <v>13.955360000000001</v>
      </c>
      <c r="G147" s="128">
        <f>'[4]5.Neuropathy'!J221</f>
        <v>64.707800000000006</v>
      </c>
      <c r="H147" s="42">
        <f t="shared" si="57"/>
        <v>0.19</v>
      </c>
      <c r="I147" s="60">
        <f t="shared" si="98"/>
        <v>2972.3846325394516</v>
      </c>
      <c r="J147" s="98">
        <f t="shared" si="99"/>
        <v>2428.6285181328199</v>
      </c>
      <c r="L147" s="99">
        <f t="shared" ref="L147" si="122">M147*H147</f>
        <v>2972.3846325394516</v>
      </c>
      <c r="M147" s="100">
        <f t="shared" ref="M147" si="123">D147*F147</f>
        <v>15644.129644944482</v>
      </c>
      <c r="O147" s="406">
        <f t="shared" ref="O147" si="124">E147</f>
        <v>4.0913296142222224</v>
      </c>
      <c r="R147" s="407">
        <f t="shared" ref="R147" si="125">O147*10</f>
        <v>40.913296142222222</v>
      </c>
      <c r="S147" s="406"/>
    </row>
    <row r="148" spans="1:19" x14ac:dyDescent="0.2">
      <c r="A148" s="33"/>
      <c r="B148" s="46"/>
      <c r="C148" s="28" t="s">
        <v>149</v>
      </c>
      <c r="D148" s="46">
        <f>E148*B147/10000</f>
        <v>560.50612972164402</v>
      </c>
      <c r="E148" s="91">
        <f>'4.Neuro_DATA'!G151</f>
        <v>2.0456648071111116</v>
      </c>
      <c r="F148" s="42">
        <f>E41</f>
        <v>2</v>
      </c>
      <c r="G148" s="128">
        <f>'[4]5.Neuropathy'!J222</f>
        <v>64.707800000000006</v>
      </c>
      <c r="H148" s="42">
        <f t="shared" si="57"/>
        <v>0.19</v>
      </c>
      <c r="I148" s="60">
        <f t="shared" si="98"/>
        <v>212.99232929422473</v>
      </c>
      <c r="J148" s="98">
        <f t="shared" si="99"/>
        <v>206.72846065710772</v>
      </c>
      <c r="L148" s="99"/>
      <c r="M148" s="100"/>
      <c r="P148" s="406">
        <f t="shared" ref="P148" si="126">E148</f>
        <v>2.0456648071111116</v>
      </c>
      <c r="S148" s="406">
        <f>P148*10</f>
        <v>20.456648071111118</v>
      </c>
    </row>
    <row r="149" spans="1:19" x14ac:dyDescent="0.2">
      <c r="A149" s="33" t="s">
        <v>16</v>
      </c>
      <c r="B149" s="46">
        <f>SUM('[2]Pop 57'!$D$20:$D$21)</f>
        <v>1513246</v>
      </c>
      <c r="C149" s="28" t="s">
        <v>148</v>
      </c>
      <c r="D149" s="46">
        <f>E149*B149/10000</f>
        <v>484.85653052322641</v>
      </c>
      <c r="E149" s="91">
        <f>'4.Neuro_DATA'!F152</f>
        <v>3.2040826839999998</v>
      </c>
      <c r="F149" s="42">
        <f>E48</f>
        <v>7.9026259999999997</v>
      </c>
      <c r="G149" s="128">
        <f>'[4]5.Neuropathy'!J223</f>
        <v>73.556899999999999</v>
      </c>
      <c r="H149" s="42">
        <f t="shared" si="57"/>
        <v>0.19</v>
      </c>
      <c r="I149" s="60">
        <f t="shared" si="98"/>
        <v>728.01156663270206</v>
      </c>
      <c r="J149" s="98">
        <f t="shared" si="99"/>
        <v>648.14755678311417</v>
      </c>
      <c r="L149" s="99">
        <f t="shared" ref="L149" si="127">M149*H149</f>
        <v>728.01156663270206</v>
      </c>
      <c r="M149" s="100">
        <f t="shared" ref="M149" si="128">D149*F149</f>
        <v>3831.6398243826425</v>
      </c>
      <c r="O149" s="406">
        <f t="shared" ref="O149" si="129">E149</f>
        <v>3.2040826839999998</v>
      </c>
      <c r="R149" s="407">
        <f t="shared" ref="R149" si="130">O149*10</f>
        <v>32.040826840000001</v>
      </c>
      <c r="S149" s="406"/>
    </row>
    <row r="150" spans="1:19" x14ac:dyDescent="0.2">
      <c r="A150" s="33"/>
      <c r="B150" s="46"/>
      <c r="C150" s="28" t="s">
        <v>149</v>
      </c>
      <c r="D150" s="46">
        <f>E150*B149/10000</f>
        <v>242.42826526161321</v>
      </c>
      <c r="E150" s="91">
        <f>'4.Neuro_DATA'!G152</f>
        <v>1.6020413420000001</v>
      </c>
      <c r="F150" s="42">
        <f>E41</f>
        <v>2</v>
      </c>
      <c r="G150" s="128">
        <f>'[4]5.Neuropathy'!J224</f>
        <v>73.556899999999999</v>
      </c>
      <c r="H150" s="42">
        <f t="shared" si="57"/>
        <v>0.19</v>
      </c>
      <c r="I150" s="60">
        <f t="shared" si="98"/>
        <v>92.122740799413023</v>
      </c>
      <c r="J150" s="98">
        <f t="shared" si="99"/>
        <v>89.413512965852959</v>
      </c>
      <c r="L150" s="99"/>
      <c r="M150" s="100"/>
      <c r="P150" s="406">
        <f t="shared" ref="P150" si="131">E150</f>
        <v>1.6020413420000001</v>
      </c>
      <c r="S150" s="406">
        <f t="shared" ref="S150" si="132">P150*10</f>
        <v>16.020413420000001</v>
      </c>
    </row>
    <row r="151" spans="1:19" x14ac:dyDescent="0.2">
      <c r="A151" s="33" t="s">
        <v>17</v>
      </c>
      <c r="B151" s="46">
        <f>SUM('[2]Pop 57'!$D$22:$D$26)</f>
        <v>784195.44620730029</v>
      </c>
      <c r="C151" s="28" t="s">
        <v>148</v>
      </c>
      <c r="D151" s="46">
        <f>E151*B151/10000</f>
        <v>119.10848541154074</v>
      </c>
      <c r="E151" s="91">
        <f>'4.Neuro_DATA'!F153</f>
        <v>1.5188622426666667</v>
      </c>
      <c r="F151" s="42">
        <f>E49</f>
        <v>4.723509</v>
      </c>
      <c r="G151" s="128">
        <f>'[4]5.Neuropathy'!J225</f>
        <v>84.878299999999996</v>
      </c>
      <c r="H151" s="42">
        <f t="shared" si="57"/>
        <v>0.19</v>
      </c>
      <c r="I151" s="60">
        <f t="shared" si="98"/>
        <v>106.89590053537846</v>
      </c>
      <c r="J151" s="98">
        <f t="shared" si="99"/>
        <v>99.66747313916764</v>
      </c>
      <c r="L151" s="99">
        <f t="shared" ref="L151" si="133">M151*H151</f>
        <v>106.89590053537846</v>
      </c>
      <c r="M151" s="100">
        <f t="shared" ref="M151" si="134">D151*F151</f>
        <v>562.61000281778138</v>
      </c>
      <c r="O151" s="406">
        <f>E151</f>
        <v>1.5188622426666667</v>
      </c>
      <c r="R151" s="407">
        <f t="shared" ref="R151" si="135">O151*10</f>
        <v>15.188622426666667</v>
      </c>
      <c r="S151" s="406"/>
    </row>
    <row r="152" spans="1:19" x14ac:dyDescent="0.2">
      <c r="A152" s="33"/>
      <c r="B152" s="46"/>
      <c r="C152" s="28" t="s">
        <v>149</v>
      </c>
      <c r="D152" s="46">
        <f>E152*B151/10000</f>
        <v>59.55424270577037</v>
      </c>
      <c r="E152" s="91">
        <f>'4.Neuro_DATA'!G153</f>
        <v>0.75943112133333335</v>
      </c>
      <c r="F152" s="42">
        <f>E41</f>
        <v>2</v>
      </c>
      <c r="G152" s="128">
        <f>'[4]5.Neuropathy'!J226</f>
        <v>84.878299999999996</v>
      </c>
      <c r="H152" s="42">
        <f t="shared" si="57"/>
        <v>0.19</v>
      </c>
      <c r="I152" s="60">
        <f t="shared" si="98"/>
        <v>22.630612228192742</v>
      </c>
      <c r="J152" s="98">
        <f t="shared" si="99"/>
        <v>21.965070973046814</v>
      </c>
      <c r="L152" s="99"/>
      <c r="M152" s="100"/>
      <c r="P152" s="406">
        <f t="shared" ref="P152" si="136">E152</f>
        <v>0.75943112133333335</v>
      </c>
      <c r="R152" s="407"/>
      <c r="S152" s="406">
        <f t="shared" ref="S152" si="137">P152*10</f>
        <v>7.5943112133333335</v>
      </c>
    </row>
    <row r="153" spans="1:19" x14ac:dyDescent="0.2">
      <c r="A153" s="34" t="s">
        <v>18</v>
      </c>
      <c r="B153" s="46">
        <f>SUM(B137:B151)</f>
        <v>33032823.157106262</v>
      </c>
      <c r="C153" s="46"/>
      <c r="D153" s="46"/>
      <c r="E153" s="91"/>
      <c r="F153" s="42"/>
      <c r="G153" s="28"/>
      <c r="H153" s="28"/>
      <c r="I153" s="60">
        <f>SUM(I137:I152)</f>
        <v>20781.124995051807</v>
      </c>
      <c r="J153" s="98">
        <f>SUM(J137:J152)</f>
        <v>14609.59466767362</v>
      </c>
      <c r="L153" s="99">
        <f>SUM(L137:L151)</f>
        <v>19886.105851854536</v>
      </c>
      <c r="M153" s="100">
        <f>SUM(M137:M151)</f>
        <v>104663.71500976068</v>
      </c>
    </row>
    <row r="154" spans="1:19" x14ac:dyDescent="0.2">
      <c r="A154" s="30"/>
      <c r="B154" s="31"/>
      <c r="C154" s="31"/>
      <c r="D154" s="31"/>
      <c r="E154" s="31"/>
      <c r="F154" s="31"/>
      <c r="G154" s="31"/>
      <c r="H154" s="31"/>
      <c r="I154" s="59"/>
      <c r="J154" s="32"/>
      <c r="L154" s="30"/>
      <c r="M154" s="5"/>
    </row>
    <row r="155" spans="1:19" s="58" customFormat="1" x14ac:dyDescent="0.2">
      <c r="A155" s="70"/>
      <c r="B155" s="162"/>
      <c r="C155" s="162"/>
      <c r="E155" s="161"/>
      <c r="H155" s="162"/>
      <c r="I155" s="162"/>
      <c r="K155" s="162"/>
      <c r="L155" s="162"/>
    </row>
    <row r="156" spans="1:19" x14ac:dyDescent="0.2">
      <c r="F156" s="22" t="s">
        <v>23</v>
      </c>
    </row>
    <row r="157" spans="1:19" x14ac:dyDescent="0.2">
      <c r="A157" s="23" t="s">
        <v>250</v>
      </c>
      <c r="I157" s="22" t="s">
        <v>23</v>
      </c>
    </row>
    <row r="158" spans="1:19" x14ac:dyDescent="0.2">
      <c r="A158" s="23"/>
    </row>
    <row r="159" spans="1:19" x14ac:dyDescent="0.2">
      <c r="A159" s="23" t="s">
        <v>251</v>
      </c>
      <c r="E159" s="23" t="s">
        <v>252</v>
      </c>
      <c r="I159" s="23" t="s">
        <v>253</v>
      </c>
      <c r="M159" s="23" t="s">
        <v>344</v>
      </c>
      <c r="Q159" s="23" t="s">
        <v>347</v>
      </c>
    </row>
    <row r="160" spans="1:19" x14ac:dyDescent="0.2">
      <c r="A160" s="24" t="s">
        <v>25</v>
      </c>
      <c r="B160" s="35" t="s">
        <v>31</v>
      </c>
      <c r="C160" s="26" t="s">
        <v>31</v>
      </c>
      <c r="E160" s="24" t="s">
        <v>25</v>
      </c>
      <c r="F160" s="35" t="s">
        <v>31</v>
      </c>
      <c r="G160" s="26" t="s">
        <v>31</v>
      </c>
      <c r="I160" s="24" t="s">
        <v>25</v>
      </c>
      <c r="J160" s="35" t="s">
        <v>31</v>
      </c>
      <c r="K160" s="26" t="s">
        <v>31</v>
      </c>
      <c r="L160" s="22" t="s">
        <v>23</v>
      </c>
      <c r="M160" s="24" t="s">
        <v>25</v>
      </c>
      <c r="N160" s="208" t="s">
        <v>123</v>
      </c>
      <c r="O160" s="209" t="s">
        <v>124</v>
      </c>
      <c r="Q160" s="24" t="s">
        <v>25</v>
      </c>
      <c r="R160" s="208" t="s">
        <v>123</v>
      </c>
      <c r="S160" s="209" t="s">
        <v>124</v>
      </c>
    </row>
    <row r="161" spans="1:19" x14ac:dyDescent="0.2">
      <c r="A161" s="30"/>
      <c r="B161" s="36" t="s">
        <v>32</v>
      </c>
      <c r="C161" s="32" t="s">
        <v>33</v>
      </c>
      <c r="E161" s="30"/>
      <c r="F161" s="36" t="s">
        <v>32</v>
      </c>
      <c r="G161" s="32" t="s">
        <v>33</v>
      </c>
      <c r="I161" s="30"/>
      <c r="J161" s="36" t="s">
        <v>32</v>
      </c>
      <c r="K161" s="32" t="s">
        <v>33</v>
      </c>
      <c r="M161" s="30"/>
      <c r="N161" s="59"/>
      <c r="O161" s="61"/>
      <c r="Q161" s="30"/>
      <c r="R161" s="59"/>
      <c r="S161" s="61"/>
    </row>
    <row r="162" spans="1:19" x14ac:dyDescent="0.2">
      <c r="A162" s="27"/>
      <c r="B162" s="58"/>
      <c r="C162" s="103"/>
      <c r="E162" s="27"/>
      <c r="F162" s="58"/>
      <c r="G162" s="29"/>
      <c r="I162" s="27"/>
      <c r="J162" s="58"/>
      <c r="K162" s="29"/>
    </row>
    <row r="163" spans="1:19" x14ac:dyDescent="0.2">
      <c r="A163" s="48" t="s">
        <v>34</v>
      </c>
      <c r="B163" s="58"/>
      <c r="C163" s="103"/>
      <c r="E163" s="48" t="s">
        <v>34</v>
      </c>
      <c r="F163" s="58"/>
      <c r="G163" s="103"/>
      <c r="I163" s="48" t="s">
        <v>34</v>
      </c>
      <c r="J163" s="58"/>
      <c r="K163" s="103"/>
      <c r="M163" s="48" t="s">
        <v>34</v>
      </c>
      <c r="N163" s="62"/>
      <c r="Q163" s="48" t="s">
        <v>34</v>
      </c>
      <c r="R163" s="62"/>
    </row>
    <row r="164" spans="1:19" x14ac:dyDescent="0.2">
      <c r="A164" s="33" t="s">
        <v>7</v>
      </c>
      <c r="B164" s="60">
        <f>I73+I74</f>
        <v>0</v>
      </c>
      <c r="C164" s="62">
        <f>J73+J74</f>
        <v>0</v>
      </c>
      <c r="E164" s="33" t="s">
        <v>7</v>
      </c>
      <c r="F164" s="60">
        <f>I118+I119</f>
        <v>0</v>
      </c>
      <c r="G164" s="62">
        <f>J118+J119</f>
        <v>0</v>
      </c>
      <c r="I164" s="33" t="s">
        <v>7</v>
      </c>
      <c r="J164" s="60">
        <f>B164+F164</f>
        <v>0</v>
      </c>
      <c r="K164" s="62">
        <f>C164+G164</f>
        <v>0</v>
      </c>
      <c r="M164" s="33" t="s">
        <v>7</v>
      </c>
      <c r="N164" s="60">
        <f>L73+L74</f>
        <v>0</v>
      </c>
      <c r="O164" s="60">
        <f>L118+L119</f>
        <v>0</v>
      </c>
      <c r="Q164" s="33" t="s">
        <v>7</v>
      </c>
      <c r="R164" s="60">
        <f>M73+M74</f>
        <v>0</v>
      </c>
      <c r="S164" s="60">
        <f>M118+M119</f>
        <v>0</v>
      </c>
    </row>
    <row r="165" spans="1:19" x14ac:dyDescent="0.2">
      <c r="A165" s="33" t="s">
        <v>11</v>
      </c>
      <c r="B165" s="60">
        <f>I75+I76</f>
        <v>3.5821531035534093</v>
      </c>
      <c r="C165" s="62">
        <f>J75+J76</f>
        <v>1.8814177965497227</v>
      </c>
      <c r="E165" s="33" t="s">
        <v>11</v>
      </c>
      <c r="F165" s="60">
        <f>I120+I121</f>
        <v>0</v>
      </c>
      <c r="G165" s="62">
        <f>J120+J121</f>
        <v>0</v>
      </c>
      <c r="I165" s="33" t="s">
        <v>11</v>
      </c>
      <c r="J165" s="60">
        <f t="shared" ref="J165:J172" si="138">B165+F165</f>
        <v>3.5821531035534093</v>
      </c>
      <c r="K165" s="62">
        <f t="shared" ref="K165:K172" si="139">C165+G165</f>
        <v>1.8814177965497227</v>
      </c>
      <c r="M165" s="33" t="s">
        <v>11</v>
      </c>
      <c r="N165" s="60">
        <f>L75+L76</f>
        <v>3.5821531035534093</v>
      </c>
      <c r="O165" s="60">
        <f>L120+L121</f>
        <v>0</v>
      </c>
      <c r="Q165" s="33" t="s">
        <v>11</v>
      </c>
      <c r="R165" s="60">
        <f>M75+M76</f>
        <v>18.853437387123208</v>
      </c>
      <c r="S165" s="60">
        <f>M120+M121</f>
        <v>0</v>
      </c>
    </row>
    <row r="166" spans="1:19" x14ac:dyDescent="0.2">
      <c r="A166" s="33" t="s">
        <v>12</v>
      </c>
      <c r="B166" s="60">
        <f>I77+I78</f>
        <v>40.911590819298731</v>
      </c>
      <c r="C166" s="62">
        <f>J77+J78</f>
        <v>24.265243106169393</v>
      </c>
      <c r="E166" s="33" t="s">
        <v>12</v>
      </c>
      <c r="F166" s="60">
        <f>I122+I123</f>
        <v>1846.9795952021291</v>
      </c>
      <c r="G166" s="62">
        <f>J122+J123</f>
        <v>1132.5255161816856</v>
      </c>
      <c r="I166" s="33" t="s">
        <v>12</v>
      </c>
      <c r="J166" s="60">
        <f t="shared" si="138"/>
        <v>1887.8911860214278</v>
      </c>
      <c r="K166" s="62">
        <f t="shared" si="139"/>
        <v>1156.7907592878551</v>
      </c>
      <c r="M166" s="33" t="s">
        <v>12</v>
      </c>
      <c r="N166" s="60">
        <f>L77+L78</f>
        <v>40.911590819298731</v>
      </c>
      <c r="O166" s="60">
        <f>L122+L123</f>
        <v>1798.4553617771767</v>
      </c>
      <c r="Q166" s="33" t="s">
        <v>12</v>
      </c>
      <c r="R166" s="60">
        <f>M77+M78</f>
        <v>215.32416220683541</v>
      </c>
      <c r="S166" s="60">
        <f>M122+M123</f>
        <v>9465.554535669351</v>
      </c>
    </row>
    <row r="167" spans="1:19" x14ac:dyDescent="0.2">
      <c r="A167" s="33" t="s">
        <v>13</v>
      </c>
      <c r="B167" s="60">
        <f>I79+I80</f>
        <v>18.600676803548787</v>
      </c>
      <c r="C167" s="62">
        <f>J79+J80</f>
        <v>12.043120705053047</v>
      </c>
      <c r="E167" s="33" t="s">
        <v>13</v>
      </c>
      <c r="F167" s="60">
        <f>I124+I125</f>
        <v>4501.569348870893</v>
      </c>
      <c r="G167" s="62">
        <f>J124+J125</f>
        <v>3074.1646121826188</v>
      </c>
      <c r="I167" s="33" t="s">
        <v>13</v>
      </c>
      <c r="J167" s="60">
        <f t="shared" si="138"/>
        <v>4520.1700256744416</v>
      </c>
      <c r="K167" s="62">
        <f t="shared" si="139"/>
        <v>3086.2077328876717</v>
      </c>
      <c r="M167" s="33" t="s">
        <v>13</v>
      </c>
      <c r="N167" s="60">
        <f>L79+L80</f>
        <v>18.600676803548787</v>
      </c>
      <c r="O167" s="60">
        <f>L124+L125</f>
        <v>4348.610612201539</v>
      </c>
      <c r="Q167" s="33" t="s">
        <v>13</v>
      </c>
      <c r="R167" s="60">
        <f>M79+M80</f>
        <v>97.898298966046241</v>
      </c>
      <c r="S167" s="60">
        <f>M124+M125</f>
        <v>22887.424274744943</v>
      </c>
    </row>
    <row r="168" spans="1:19" x14ac:dyDescent="0.2">
      <c r="A168" s="33" t="s">
        <v>14</v>
      </c>
      <c r="B168" s="60">
        <f>I81+I82</f>
        <v>0.83247631306199643</v>
      </c>
      <c r="C168" s="62">
        <f>J81+J82</f>
        <v>0.61553980200544245</v>
      </c>
      <c r="E168" s="33" t="s">
        <v>14</v>
      </c>
      <c r="F168" s="60">
        <f>I126+I127</f>
        <v>7993.1250997370753</v>
      </c>
      <c r="G168" s="62">
        <f>J126+J127</f>
        <v>5981.4594146507252</v>
      </c>
      <c r="I168" s="33" t="s">
        <v>14</v>
      </c>
      <c r="J168" s="60">
        <f t="shared" si="138"/>
        <v>7993.9575760501375</v>
      </c>
      <c r="K168" s="62">
        <f t="shared" si="139"/>
        <v>5982.0749544527307</v>
      </c>
      <c r="M168" s="33" t="s">
        <v>14</v>
      </c>
      <c r="N168" s="60">
        <f>L81+L82</f>
        <v>0.83247631306199643</v>
      </c>
      <c r="O168" s="60">
        <f>L126+L127</f>
        <v>7636.298954573781</v>
      </c>
      <c r="Q168" s="33" t="s">
        <v>14</v>
      </c>
      <c r="R168" s="60">
        <f>M81+M82</f>
        <v>4.3814542792736653</v>
      </c>
      <c r="S168" s="60">
        <f>M126+M127</f>
        <v>40191.04712933569</v>
      </c>
    </row>
    <row r="169" spans="1:19" x14ac:dyDescent="0.2">
      <c r="A169" s="33" t="s">
        <v>15</v>
      </c>
      <c r="B169" s="60">
        <f>I84+I85</f>
        <v>6.2351916199999986E-3</v>
      </c>
      <c r="C169" s="62">
        <f>J84+J85</f>
        <v>6.0518215363713958E-3</v>
      </c>
      <c r="E169" s="33" t="s">
        <v>15</v>
      </c>
      <c r="F169" s="60">
        <f>I128+I129</f>
        <v>1443.321408844952</v>
      </c>
      <c r="G169" s="62">
        <f>J128+J129</f>
        <v>1190.4846252742102</v>
      </c>
      <c r="I169" s="33" t="s">
        <v>15</v>
      </c>
      <c r="J169" s="60">
        <f t="shared" si="138"/>
        <v>1443.3276440365719</v>
      </c>
      <c r="K169" s="62">
        <f t="shared" si="139"/>
        <v>1190.4906770957466</v>
      </c>
      <c r="M169" s="33" t="s">
        <v>15</v>
      </c>
      <c r="N169" s="60">
        <f>L84+L85</f>
        <v>6.2351916199999986E-3</v>
      </c>
      <c r="O169" s="60">
        <f>L128+L129</f>
        <v>1348.2226979497088</v>
      </c>
      <c r="Q169" s="33" t="s">
        <v>15</v>
      </c>
      <c r="R169" s="60">
        <f>M84+M85</f>
        <v>3.2816797999999994E-2</v>
      </c>
      <c r="S169" s="60">
        <f>M128+M129</f>
        <v>7095.9089365774144</v>
      </c>
    </row>
    <row r="170" spans="1:19" x14ac:dyDescent="0.2">
      <c r="A170" s="33" t="s">
        <v>16</v>
      </c>
      <c r="B170" s="60">
        <f>I85+I86</f>
        <v>0</v>
      </c>
      <c r="C170" s="62">
        <f>J85+J86</f>
        <v>0</v>
      </c>
      <c r="E170" s="33" t="s">
        <v>16</v>
      </c>
      <c r="F170" s="60">
        <f>I130+I131</f>
        <v>390.32293850991732</v>
      </c>
      <c r="G170" s="62">
        <f>J130+J131</f>
        <v>345.62711236388276</v>
      </c>
      <c r="I170" s="33" t="s">
        <v>16</v>
      </c>
      <c r="J170" s="60">
        <f t="shared" si="138"/>
        <v>390.32293850991732</v>
      </c>
      <c r="K170" s="62">
        <f t="shared" si="139"/>
        <v>345.62711236388276</v>
      </c>
      <c r="M170" s="33" t="s">
        <v>16</v>
      </c>
      <c r="N170" s="60">
        <f>L85+L86</f>
        <v>0</v>
      </c>
      <c r="O170" s="60">
        <f>L130+L131</f>
        <v>351.38734898263448</v>
      </c>
      <c r="Q170" s="33" t="s">
        <v>16</v>
      </c>
      <c r="R170" s="60">
        <f>M85+M86</f>
        <v>0</v>
      </c>
      <c r="S170" s="60">
        <f>M130+M131</f>
        <v>1849.4070999086025</v>
      </c>
    </row>
    <row r="171" spans="1:19" x14ac:dyDescent="0.2">
      <c r="A171" s="33" t="s">
        <v>17</v>
      </c>
      <c r="B171" s="60">
        <f>I87+I88</f>
        <v>0</v>
      </c>
      <c r="C171" s="62">
        <f>J87+J88</f>
        <v>0</v>
      </c>
      <c r="E171" s="33" t="s">
        <v>17</v>
      </c>
      <c r="F171" s="60">
        <f>I132+I133</f>
        <v>112.33722637214501</v>
      </c>
      <c r="G171" s="62">
        <f>J132+J133</f>
        <v>103.21168535996591</v>
      </c>
      <c r="I171" s="33" t="s">
        <v>17</v>
      </c>
      <c r="J171" s="60">
        <f t="shared" si="138"/>
        <v>112.33722637214501</v>
      </c>
      <c r="K171" s="62">
        <f t="shared" si="139"/>
        <v>103.21168535996591</v>
      </c>
      <c r="M171" s="33" t="s">
        <v>17</v>
      </c>
      <c r="N171" s="60">
        <f>L87+L88</f>
        <v>0</v>
      </c>
      <c r="O171" s="60">
        <f>L132+L133</f>
        <v>97.041169231485611</v>
      </c>
      <c r="Q171" s="33" t="s">
        <v>17</v>
      </c>
      <c r="R171" s="60">
        <f>M87+M88</f>
        <v>0</v>
      </c>
      <c r="S171" s="60">
        <f>M132+M133</f>
        <v>510.74299595518744</v>
      </c>
    </row>
    <row r="172" spans="1:19" x14ac:dyDescent="0.2">
      <c r="A172" s="34" t="s">
        <v>18</v>
      </c>
      <c r="B172" s="60">
        <f>SUM(B164:B171)</f>
        <v>63.933132231082922</v>
      </c>
      <c r="C172" s="62">
        <f>SUM(C164:C171)</f>
        <v>38.811373231313979</v>
      </c>
      <c r="E172" s="34" t="s">
        <v>18</v>
      </c>
      <c r="F172" s="60">
        <f>SUM(F164:F171)</f>
        <v>16287.65561753711</v>
      </c>
      <c r="G172" s="62">
        <f>SUM(G164:G171)</f>
        <v>11827.472966013089</v>
      </c>
      <c r="I172" s="34" t="s">
        <v>18</v>
      </c>
      <c r="J172" s="60">
        <f t="shared" si="138"/>
        <v>16351.588749768192</v>
      </c>
      <c r="K172" s="62">
        <f t="shared" si="139"/>
        <v>11866.284339244403</v>
      </c>
      <c r="M172" s="34" t="s">
        <v>18</v>
      </c>
      <c r="N172" s="60">
        <f>SUM(N164:N171)</f>
        <v>63.933132231082922</v>
      </c>
      <c r="O172" s="60">
        <f>SUM(O164:O171)</f>
        <v>15580.016144716325</v>
      </c>
      <c r="Q172" s="34" t="s">
        <v>18</v>
      </c>
      <c r="R172" s="60">
        <f>SUM(R164:R171)</f>
        <v>336.49016963727854</v>
      </c>
      <c r="S172" s="60">
        <f>SUM(S164:S171)</f>
        <v>82000.08497219118</v>
      </c>
    </row>
    <row r="173" spans="1:19" x14ac:dyDescent="0.2">
      <c r="A173" s="27"/>
      <c r="B173" s="58"/>
      <c r="C173" s="103"/>
      <c r="E173" s="27"/>
      <c r="F173" s="58"/>
      <c r="G173" s="103"/>
      <c r="I173" s="27"/>
      <c r="J173" s="58"/>
      <c r="K173" s="103"/>
      <c r="M173" s="27"/>
      <c r="N173" s="58"/>
      <c r="O173" s="58"/>
      <c r="Q173" s="27"/>
      <c r="R173" s="58"/>
      <c r="S173" s="58"/>
    </row>
    <row r="174" spans="1:19" x14ac:dyDescent="0.2">
      <c r="A174" s="48" t="s">
        <v>35</v>
      </c>
      <c r="B174" s="58"/>
      <c r="C174" s="103"/>
      <c r="E174" s="48" t="s">
        <v>35</v>
      </c>
      <c r="F174" s="58"/>
      <c r="G174" s="103"/>
      <c r="I174" s="48" t="s">
        <v>35</v>
      </c>
      <c r="J174" s="58"/>
      <c r="K174" s="103"/>
      <c r="M174" s="48" t="s">
        <v>35</v>
      </c>
      <c r="N174" s="58"/>
      <c r="O174" s="58"/>
      <c r="Q174" s="48" t="s">
        <v>35</v>
      </c>
      <c r="R174" s="58"/>
      <c r="S174" s="58"/>
    </row>
    <row r="175" spans="1:19" x14ac:dyDescent="0.2">
      <c r="A175" s="33" t="s">
        <v>7</v>
      </c>
      <c r="B175" s="60">
        <f>I92+I93</f>
        <v>0</v>
      </c>
      <c r="C175" s="62">
        <f>J92+J93</f>
        <v>0</v>
      </c>
      <c r="E175" s="33" t="s">
        <v>7</v>
      </c>
      <c r="F175" s="60">
        <f>I137+I138</f>
        <v>0</v>
      </c>
      <c r="G175" s="62">
        <f>J137+J138</f>
        <v>0</v>
      </c>
      <c r="I175" s="33" t="s">
        <v>7</v>
      </c>
      <c r="J175" s="60">
        <f>B175+F175</f>
        <v>0</v>
      </c>
      <c r="K175" s="62">
        <f>C175+G175</f>
        <v>0</v>
      </c>
      <c r="M175" s="33" t="s">
        <v>7</v>
      </c>
      <c r="N175" s="60">
        <f>L92+L93</f>
        <v>0</v>
      </c>
      <c r="O175" s="60">
        <f>L137+L138</f>
        <v>0</v>
      </c>
      <c r="Q175" s="33" t="s">
        <v>7</v>
      </c>
      <c r="R175" s="60">
        <f>M92+M93</f>
        <v>0</v>
      </c>
      <c r="S175" s="60">
        <f>M137+M138</f>
        <v>0</v>
      </c>
    </row>
    <row r="176" spans="1:19" x14ac:dyDescent="0.2">
      <c r="A176" s="33" t="s">
        <v>11</v>
      </c>
      <c r="B176" s="60">
        <f>I94+I95</f>
        <v>4.1738205755535027</v>
      </c>
      <c r="C176" s="62">
        <f>J94+J95</f>
        <v>1.9216956670277259</v>
      </c>
      <c r="E176" s="33" t="s">
        <v>11</v>
      </c>
      <c r="F176" s="60">
        <f>I139+I140</f>
        <v>0</v>
      </c>
      <c r="G176" s="62">
        <f>J139+J140</f>
        <v>0</v>
      </c>
      <c r="I176" s="33" t="s">
        <v>11</v>
      </c>
      <c r="J176" s="60">
        <f t="shared" ref="J176:J183" si="140">B176+F176</f>
        <v>4.1738205755535027</v>
      </c>
      <c r="K176" s="62">
        <f t="shared" ref="K176:K183" si="141">C176+G176</f>
        <v>1.9216956670277259</v>
      </c>
      <c r="M176" s="33" t="s">
        <v>11</v>
      </c>
      <c r="N176" s="60">
        <f>L94+L95</f>
        <v>4.1738205755535027</v>
      </c>
      <c r="O176" s="60">
        <f>L139+L140</f>
        <v>0</v>
      </c>
      <c r="Q176" s="33" t="s">
        <v>11</v>
      </c>
      <c r="R176" s="60">
        <f>M94+M95</f>
        <v>21.967476713439488</v>
      </c>
      <c r="S176" s="60">
        <f>M139+M140</f>
        <v>0</v>
      </c>
    </row>
    <row r="177" spans="1:19" x14ac:dyDescent="0.2">
      <c r="A177" s="33" t="s">
        <v>12</v>
      </c>
      <c r="B177" s="60">
        <f>I96+I97</f>
        <v>50.233428838600268</v>
      </c>
      <c r="C177" s="62">
        <f>J96+J97</f>
        <v>26.141707704345279</v>
      </c>
      <c r="E177" s="33" t="s">
        <v>12</v>
      </c>
      <c r="F177" s="60">
        <f>I141+I142</f>
        <v>4015.587044584096</v>
      </c>
      <c r="G177" s="62">
        <f>J141+J142</f>
        <v>2184.2238719352003</v>
      </c>
      <c r="I177" s="33" t="s">
        <v>12</v>
      </c>
      <c r="J177" s="60">
        <f t="shared" si="140"/>
        <v>4065.8204734226961</v>
      </c>
      <c r="K177" s="62">
        <f t="shared" si="141"/>
        <v>2210.3655796395456</v>
      </c>
      <c r="M177" s="33" t="s">
        <v>12</v>
      </c>
      <c r="N177" s="60">
        <f>L96+L97</f>
        <v>50.233428838600268</v>
      </c>
      <c r="O177" s="60">
        <f>L141+L142</f>
        <v>3932.2575372504575</v>
      </c>
      <c r="Q177" s="33" t="s">
        <v>12</v>
      </c>
      <c r="R177" s="60">
        <f>M96+M97</f>
        <v>264.38646757158034</v>
      </c>
      <c r="S177" s="60">
        <f>M141+M142</f>
        <v>20696.092301318196</v>
      </c>
    </row>
    <row r="178" spans="1:19" x14ac:dyDescent="0.2">
      <c r="A178" s="33" t="s">
        <v>13</v>
      </c>
      <c r="B178" s="60">
        <f>I98+I99</f>
        <v>30.488641908197955</v>
      </c>
      <c r="C178" s="62">
        <f>J98+J99</f>
        <v>17.639911188492249</v>
      </c>
      <c r="E178" s="33" t="s">
        <v>13</v>
      </c>
      <c r="F178" s="60">
        <f>I143+I144</f>
        <v>4515.6088477319217</v>
      </c>
      <c r="G178" s="62">
        <f>J143+J144</f>
        <v>2920.2733607266255</v>
      </c>
      <c r="I178" s="33" t="s">
        <v>13</v>
      </c>
      <c r="J178" s="60">
        <f t="shared" si="140"/>
        <v>4546.0974896401194</v>
      </c>
      <c r="K178" s="62">
        <f t="shared" si="141"/>
        <v>2937.9132719151175</v>
      </c>
      <c r="M178" s="33" t="s">
        <v>13</v>
      </c>
      <c r="N178" s="60">
        <f>L98+L99</f>
        <v>30.488641908197955</v>
      </c>
      <c r="O178" s="60">
        <f>L143+L144</f>
        <v>4381.7904414743698</v>
      </c>
      <c r="Q178" s="33" t="s">
        <v>13</v>
      </c>
      <c r="R178" s="60">
        <f>M98+M99</f>
        <v>160.46653635893662</v>
      </c>
      <c r="S178" s="60">
        <f>M143+M144</f>
        <v>23062.054955128264</v>
      </c>
    </row>
    <row r="179" spans="1:19" x14ac:dyDescent="0.2">
      <c r="A179" s="33" t="s">
        <v>14</v>
      </c>
      <c r="B179" s="60">
        <f>I100+I101</f>
        <v>1.3290937492791874</v>
      </c>
      <c r="C179" s="62">
        <f>J100+J101</f>
        <v>0.87935753403283212</v>
      </c>
      <c r="E179" s="33" t="s">
        <v>14</v>
      </c>
      <c r="F179" s="60">
        <f>I145+I146</f>
        <v>8114.891320706427</v>
      </c>
      <c r="G179" s="62">
        <f>J145+J146</f>
        <v>6010.5468423606844</v>
      </c>
      <c r="I179" s="33" t="s">
        <v>14</v>
      </c>
      <c r="J179" s="60">
        <f t="shared" si="140"/>
        <v>8116.2204144557063</v>
      </c>
      <c r="K179" s="62">
        <f t="shared" si="141"/>
        <v>6011.4261998947177</v>
      </c>
      <c r="M179" s="33" t="s">
        <v>14</v>
      </c>
      <c r="N179" s="60">
        <f>L100+L101</f>
        <v>1.3290937492791874</v>
      </c>
      <c r="O179" s="60">
        <f>L145+L146</f>
        <v>7764.7657734221721</v>
      </c>
      <c r="Q179" s="33" t="s">
        <v>14</v>
      </c>
      <c r="R179" s="60">
        <f>M100+M101</f>
        <v>6.9952302593641438</v>
      </c>
      <c r="S179" s="60">
        <f>M145+M146</f>
        <v>40867.188281169329</v>
      </c>
    </row>
    <row r="180" spans="1:19" x14ac:dyDescent="0.2">
      <c r="A180" s="33" t="s">
        <v>15</v>
      </c>
      <c r="B180" s="60">
        <f>I102+I103</f>
        <v>0.15489577405504273</v>
      </c>
      <c r="C180" s="62">
        <f>J102+J103</f>
        <v>0.11980231269613187</v>
      </c>
      <c r="E180" s="33" t="s">
        <v>15</v>
      </c>
      <c r="F180" s="60">
        <f>I147+I148</f>
        <v>3185.3769618336764</v>
      </c>
      <c r="G180" s="62">
        <f>J147+J148</f>
        <v>2635.3569787899278</v>
      </c>
      <c r="I180" s="33" t="s">
        <v>15</v>
      </c>
      <c r="J180" s="60">
        <f t="shared" si="140"/>
        <v>3185.5318576077316</v>
      </c>
      <c r="K180" s="62">
        <f t="shared" si="141"/>
        <v>2635.476781102624</v>
      </c>
      <c r="M180" s="33" t="s">
        <v>15</v>
      </c>
      <c r="N180" s="60">
        <f>L102+L103</f>
        <v>0.15489577405504273</v>
      </c>
      <c r="O180" s="60">
        <f>L147+L148</f>
        <v>2972.3846325394516</v>
      </c>
      <c r="Q180" s="33" t="s">
        <v>15</v>
      </c>
      <c r="R180" s="60">
        <f>M102+M103</f>
        <v>0.81524091607917226</v>
      </c>
      <c r="S180" s="60">
        <f>M147+M148</f>
        <v>15644.129644944482</v>
      </c>
    </row>
    <row r="181" spans="1:19" x14ac:dyDescent="0.2">
      <c r="A181" s="33" t="s">
        <v>16</v>
      </c>
      <c r="B181" s="60">
        <f>I104+I105</f>
        <v>0</v>
      </c>
      <c r="C181" s="62">
        <f>J104+J105</f>
        <v>0</v>
      </c>
      <c r="E181" s="33" t="s">
        <v>16</v>
      </c>
      <c r="F181" s="60">
        <f>I149+I150</f>
        <v>820.13430743211507</v>
      </c>
      <c r="G181" s="62">
        <f>J149+J150</f>
        <v>737.56106974896716</v>
      </c>
      <c r="I181" s="33" t="s">
        <v>16</v>
      </c>
      <c r="J181" s="60">
        <f t="shared" si="140"/>
        <v>820.13430743211507</v>
      </c>
      <c r="K181" s="62">
        <f t="shared" si="141"/>
        <v>737.56106974896716</v>
      </c>
      <c r="M181" s="33" t="s">
        <v>16</v>
      </c>
      <c r="N181" s="60">
        <f>L104+L105</f>
        <v>0</v>
      </c>
      <c r="O181" s="60">
        <f>L149+L150</f>
        <v>728.01156663270206</v>
      </c>
      <c r="Q181" s="33" t="s">
        <v>16</v>
      </c>
      <c r="R181" s="60">
        <f>M104+M105</f>
        <v>0</v>
      </c>
      <c r="S181" s="60">
        <f>M149+M150</f>
        <v>3831.6398243826425</v>
      </c>
    </row>
    <row r="182" spans="1:19" x14ac:dyDescent="0.2">
      <c r="A182" s="33" t="s">
        <v>17</v>
      </c>
      <c r="B182" s="60">
        <f>I106+I107</f>
        <v>0</v>
      </c>
      <c r="C182" s="62">
        <f>J106+J107</f>
        <v>0</v>
      </c>
      <c r="E182" s="33" t="s">
        <v>17</v>
      </c>
      <c r="F182" s="60">
        <f>I151+I152</f>
        <v>129.52651276357119</v>
      </c>
      <c r="G182" s="62">
        <f>J151+J152</f>
        <v>121.63254411221445</v>
      </c>
      <c r="I182" s="33" t="s">
        <v>17</v>
      </c>
      <c r="J182" s="60">
        <f t="shared" si="140"/>
        <v>129.52651276357119</v>
      </c>
      <c r="K182" s="62">
        <f t="shared" si="141"/>
        <v>121.63254411221445</v>
      </c>
      <c r="M182" s="33" t="s">
        <v>17</v>
      </c>
      <c r="N182" s="60">
        <f>L106+L107</f>
        <v>0</v>
      </c>
      <c r="O182" s="60">
        <f>L151+L152</f>
        <v>106.89590053537846</v>
      </c>
      <c r="Q182" s="33" t="s">
        <v>17</v>
      </c>
      <c r="R182" s="60">
        <f>M106+M107</f>
        <v>0</v>
      </c>
      <c r="S182" s="60">
        <f>M151+M152</f>
        <v>562.61000281778138</v>
      </c>
    </row>
    <row r="183" spans="1:19" x14ac:dyDescent="0.2">
      <c r="A183" s="34" t="s">
        <v>18</v>
      </c>
      <c r="B183" s="60">
        <f>SUM(B175:B182)</f>
        <v>86.37988084568596</v>
      </c>
      <c r="C183" s="62">
        <f>SUM(C175:C182)</f>
        <v>46.70247440659422</v>
      </c>
      <c r="E183" s="34" t="s">
        <v>18</v>
      </c>
      <c r="F183" s="60">
        <f>SUM(F175:F182)</f>
        <v>20781.12499505181</v>
      </c>
      <c r="G183" s="62">
        <f>SUM(G175:G182)</f>
        <v>14609.59466767362</v>
      </c>
      <c r="I183" s="34" t="s">
        <v>18</v>
      </c>
      <c r="J183" s="60">
        <f t="shared" si="140"/>
        <v>20867.504875897495</v>
      </c>
      <c r="K183" s="62">
        <f t="shared" si="141"/>
        <v>14656.297142080215</v>
      </c>
      <c r="M183" s="34" t="s">
        <v>18</v>
      </c>
      <c r="N183" s="60">
        <f>SUM(N175:N182)</f>
        <v>86.37988084568596</v>
      </c>
      <c r="O183" s="60">
        <f>SUM(O175:O182)</f>
        <v>19886.105851854536</v>
      </c>
      <c r="Q183" s="34" t="s">
        <v>18</v>
      </c>
      <c r="R183" s="60">
        <f>SUM(R175:R182)</f>
        <v>454.63095181939974</v>
      </c>
      <c r="S183" s="60">
        <f>SUM(S175:S182)</f>
        <v>104663.71500976068</v>
      </c>
    </row>
    <row r="184" spans="1:19" x14ac:dyDescent="0.2">
      <c r="A184" s="30"/>
      <c r="B184" s="59"/>
      <c r="C184" s="61"/>
      <c r="E184" s="30"/>
      <c r="F184" s="59"/>
      <c r="G184" s="61"/>
      <c r="I184" s="30"/>
      <c r="J184" s="59"/>
      <c r="K184" s="61"/>
      <c r="M184" s="30"/>
    </row>
  </sheetData>
  <mergeCells count="19">
    <mergeCell ref="A32:A40"/>
    <mergeCell ref="A41:A49"/>
    <mergeCell ref="C10:E10"/>
    <mergeCell ref="C17:C18"/>
    <mergeCell ref="A30:A31"/>
    <mergeCell ref="C30:C31"/>
    <mergeCell ref="D30:E30"/>
    <mergeCell ref="F30:F31"/>
    <mergeCell ref="B30:B31"/>
    <mergeCell ref="B33:B40"/>
    <mergeCell ref="F33:F40"/>
    <mergeCell ref="B42:B49"/>
    <mergeCell ref="F42:F49"/>
    <mergeCell ref="A6:E6"/>
    <mergeCell ref="A1:E1"/>
    <mergeCell ref="A2:E2"/>
    <mergeCell ref="A3:E3"/>
    <mergeCell ref="A4:E4"/>
    <mergeCell ref="A5:E5"/>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N154"/>
  <sheetViews>
    <sheetView topLeftCell="A138" workbookViewId="0">
      <selection activeCell="J84" sqref="J84"/>
    </sheetView>
  </sheetViews>
  <sheetFormatPr baseColWidth="10" defaultColWidth="8.83203125" defaultRowHeight="15" x14ac:dyDescent="0.2"/>
  <cols>
    <col min="2" max="2" width="9.83203125" customWidth="1"/>
    <col min="3" max="3" width="10.33203125" customWidth="1"/>
    <col min="4" max="4" width="10.5" customWidth="1"/>
    <col min="5" max="5" width="8.33203125" customWidth="1"/>
    <col min="11" max="11" width="13.83203125" customWidth="1"/>
    <col min="12" max="12" width="15.83203125" customWidth="1"/>
    <col min="13" max="13" width="16.6640625" customWidth="1"/>
  </cols>
  <sheetData>
    <row r="2" spans="1:10" x14ac:dyDescent="0.2">
      <c r="A2" s="23" t="s">
        <v>122</v>
      </c>
    </row>
    <row r="4" spans="1:10" x14ac:dyDescent="0.2">
      <c r="A4" s="441" t="s">
        <v>40</v>
      </c>
      <c r="B4" s="408" t="s">
        <v>120</v>
      </c>
      <c r="C4" s="409"/>
      <c r="D4" s="410" t="s">
        <v>121</v>
      </c>
      <c r="E4" s="409"/>
    </row>
    <row r="5" spans="1:10" x14ac:dyDescent="0.2">
      <c r="A5" s="442"/>
      <c r="B5" s="72" t="s">
        <v>43</v>
      </c>
      <c r="C5" s="69" t="s">
        <v>44</v>
      </c>
      <c r="D5" s="73" t="s">
        <v>43</v>
      </c>
      <c r="E5" s="73" t="s">
        <v>44</v>
      </c>
    </row>
    <row r="6" spans="1:10" x14ac:dyDescent="0.2">
      <c r="A6" s="33" t="s">
        <v>7</v>
      </c>
      <c r="B6" s="27">
        <f>'1.Diabetes case'!D64</f>
        <v>1.6500000000000001E-5</v>
      </c>
      <c r="C6" s="29">
        <f>'1.Diabetes case'!D75</f>
        <v>1.6500000000000001E-5</v>
      </c>
      <c r="D6" s="28">
        <f>'1.Diabetes case'!D93</f>
        <v>0</v>
      </c>
      <c r="E6" s="29">
        <f>'1.Diabetes case'!D104</f>
        <v>0</v>
      </c>
      <c r="I6" s="22" t="s">
        <v>23</v>
      </c>
    </row>
    <row r="7" spans="1:10" x14ac:dyDescent="0.2">
      <c r="A7" s="33" t="s">
        <v>11</v>
      </c>
      <c r="B7" s="27">
        <f>'1.Diabetes case'!D65</f>
        <v>1.6500000000000001E-5</v>
      </c>
      <c r="C7" s="29">
        <f>'1.Diabetes case'!D76</f>
        <v>1.6500000000000001E-5</v>
      </c>
      <c r="D7" s="28">
        <f>'1.Diabetes case'!D94</f>
        <v>0</v>
      </c>
      <c r="E7" s="29">
        <f>'1.Diabetes case'!D105</f>
        <v>0</v>
      </c>
    </row>
    <row r="8" spans="1:10" x14ac:dyDescent="0.2">
      <c r="A8" s="33" t="s">
        <v>12</v>
      </c>
      <c r="B8" s="27">
        <f>'1.Diabetes case'!D66</f>
        <v>1.56E-5</v>
      </c>
      <c r="C8" s="29">
        <f>'1.Diabetes case'!D77</f>
        <v>1.56E-5</v>
      </c>
      <c r="D8" s="28">
        <f>'1.Diabetes case'!D95</f>
        <v>1.5143999999999999E-3</v>
      </c>
      <c r="E8" s="29">
        <f>'1.Diabetes case'!D106</f>
        <v>3.0263999999999998E-3</v>
      </c>
    </row>
    <row r="9" spans="1:10" x14ac:dyDescent="0.2">
      <c r="A9" s="33" t="s">
        <v>13</v>
      </c>
      <c r="B9" s="27">
        <f>'1.Diabetes case'!D67</f>
        <v>1.5E-6</v>
      </c>
      <c r="C9" s="29">
        <f>'1.Diabetes case'!D78</f>
        <v>1.5999999999999999E-6</v>
      </c>
      <c r="D9" s="28">
        <f>'1.Diabetes case'!D96</f>
        <v>4.5235000000000006E-3</v>
      </c>
      <c r="E9" s="29">
        <f>'1.Diabetes case'!D107</f>
        <v>2.7314000000000001E-3</v>
      </c>
    </row>
    <row r="10" spans="1:10" x14ac:dyDescent="0.2">
      <c r="A10" s="33" t="s">
        <v>14</v>
      </c>
      <c r="B10" s="27">
        <f>'1.Diabetes case'!D68</f>
        <v>0</v>
      </c>
      <c r="C10" s="29">
        <f>'1.Diabetes case'!D79</f>
        <v>0</v>
      </c>
      <c r="D10" s="28">
        <f>'1.Diabetes case'!D97</f>
        <v>5.4609999999999997E-3</v>
      </c>
      <c r="E10" s="29">
        <f>'1.Diabetes case'!D108</f>
        <v>6.404E-3</v>
      </c>
    </row>
    <row r="11" spans="1:10" x14ac:dyDescent="0.2">
      <c r="A11" s="33" t="s">
        <v>15</v>
      </c>
      <c r="B11" s="27">
        <f>'1.Diabetes case'!D69</f>
        <v>0</v>
      </c>
      <c r="C11" s="29">
        <f>'1.Diabetes case'!D80</f>
        <v>0</v>
      </c>
      <c r="D11" s="28">
        <f>'1.Diabetes case'!D98</f>
        <v>6.1110000000000001E-3</v>
      </c>
      <c r="E11" s="29">
        <f>'1.Diabetes case'!D109</f>
        <v>1.6922E-2</v>
      </c>
    </row>
    <row r="12" spans="1:10" x14ac:dyDescent="0.2">
      <c r="A12" s="33" t="s">
        <v>16</v>
      </c>
      <c r="B12" s="27">
        <f>'1.Diabetes case'!D70</f>
        <v>0</v>
      </c>
      <c r="C12" s="29">
        <f>'1.Diabetes case'!D81</f>
        <v>0</v>
      </c>
      <c r="D12" s="28">
        <f>'1.Diabetes case'!D99</f>
        <v>3.6489999999999999E-3</v>
      </c>
      <c r="E12" s="29">
        <f>'1.Diabetes case'!D110</f>
        <v>2.8300000000000001E-3</v>
      </c>
      <c r="J12" s="22" t="s">
        <v>23</v>
      </c>
    </row>
    <row r="13" spans="1:10" x14ac:dyDescent="0.2">
      <c r="A13" s="33" t="s">
        <v>17</v>
      </c>
      <c r="B13" s="27">
        <f>'1.Diabetes case'!D71</f>
        <v>0</v>
      </c>
      <c r="C13" s="29">
        <f>'1.Diabetes case'!D82</f>
        <v>0</v>
      </c>
      <c r="D13" s="28">
        <f>'1.Diabetes case'!D100</f>
        <v>5.3070000000000001E-3</v>
      </c>
      <c r="E13" s="29">
        <f>'1.Diabetes case'!D111</f>
        <v>6.8060000000000004E-3</v>
      </c>
    </row>
    <row r="14" spans="1:10" x14ac:dyDescent="0.2">
      <c r="A14" s="30"/>
      <c r="B14" s="30"/>
      <c r="C14" s="32"/>
      <c r="D14" s="31"/>
      <c r="E14" s="32"/>
    </row>
    <row r="16" spans="1:10" x14ac:dyDescent="0.2">
      <c r="A16" s="145" t="s">
        <v>129</v>
      </c>
    </row>
    <row r="17" spans="1:9" x14ac:dyDescent="0.2">
      <c r="I17" s="22" t="s">
        <v>23</v>
      </c>
    </row>
    <row r="18" spans="1:9" x14ac:dyDescent="0.2">
      <c r="A18" s="110"/>
      <c r="B18" s="467" t="s">
        <v>123</v>
      </c>
      <c r="C18" s="467"/>
      <c r="D18" s="468" t="s">
        <v>124</v>
      </c>
      <c r="E18" s="469"/>
    </row>
    <row r="19" spans="1:9" x14ac:dyDescent="0.2">
      <c r="A19" s="111" t="s">
        <v>125</v>
      </c>
      <c r="B19" s="110" t="s">
        <v>126</v>
      </c>
      <c r="C19" s="110" t="s">
        <v>127</v>
      </c>
      <c r="D19" s="110" t="s">
        <v>128</v>
      </c>
      <c r="E19" s="110" t="s">
        <v>126</v>
      </c>
      <c r="F19" s="58"/>
    </row>
    <row r="20" spans="1:9" x14ac:dyDescent="0.2">
      <c r="A20" s="112" t="s">
        <v>108</v>
      </c>
      <c r="B20" s="58">
        <f>D20/2</f>
        <v>8.0000000000000002E-3</v>
      </c>
      <c r="C20" s="58">
        <f>E20/2</f>
        <v>0.05</v>
      </c>
      <c r="D20" s="108">
        <f>'[4]5.Neuropathy'!E24</f>
        <v>1.6E-2</v>
      </c>
      <c r="E20" s="103">
        <f>'[4]5.Neuropathy'!F24</f>
        <v>0.1</v>
      </c>
      <c r="F20" s="58"/>
    </row>
    <row r="21" spans="1:9" x14ac:dyDescent="0.2">
      <c r="A21" s="112" t="s">
        <v>109</v>
      </c>
      <c r="B21" s="58">
        <f>D21/2</f>
        <v>8.0000000000000002E-3</v>
      </c>
      <c r="C21" s="58">
        <f>E21/2</f>
        <v>0.05</v>
      </c>
      <c r="D21" s="108">
        <f>'[4]5.Neuropathy'!E25</f>
        <v>1.6E-2</v>
      </c>
      <c r="E21" s="103">
        <f>'[4]5.Neuropathy'!F25</f>
        <v>0.1</v>
      </c>
      <c r="F21" s="58"/>
    </row>
    <row r="22" spans="1:9" x14ac:dyDescent="0.2">
      <c r="A22" s="113"/>
      <c r="B22" s="59"/>
      <c r="C22" s="59"/>
      <c r="D22" s="109"/>
      <c r="E22" s="61"/>
      <c r="F22" s="58"/>
    </row>
    <row r="24" spans="1:9" x14ac:dyDescent="0.2">
      <c r="A24" s="22" t="s">
        <v>61</v>
      </c>
    </row>
    <row r="39" spans="1:11" x14ac:dyDescent="0.2">
      <c r="A39" s="148" t="s">
        <v>130</v>
      </c>
    </row>
    <row r="41" spans="1:11" ht="14.25" customHeight="1" x14ac:dyDescent="0.2">
      <c r="A41" s="443" t="s">
        <v>40</v>
      </c>
      <c r="B41" s="462" t="s">
        <v>154</v>
      </c>
      <c r="C41" s="463"/>
      <c r="D41" s="410" t="s">
        <v>133</v>
      </c>
      <c r="E41" s="410"/>
      <c r="F41" s="410"/>
      <c r="G41" s="409"/>
      <c r="J41" s="22" t="s">
        <v>23</v>
      </c>
    </row>
    <row r="42" spans="1:11" s="22" customFormat="1" x14ac:dyDescent="0.2">
      <c r="A42" s="461"/>
      <c r="B42" s="464"/>
      <c r="C42" s="465"/>
      <c r="D42" s="466" t="s">
        <v>134</v>
      </c>
      <c r="E42" s="466"/>
      <c r="F42" s="466" t="s">
        <v>135</v>
      </c>
      <c r="G42" s="466"/>
    </row>
    <row r="43" spans="1:11" s="22" customFormat="1" x14ac:dyDescent="0.2">
      <c r="A43" s="444"/>
      <c r="B43" s="122" t="s">
        <v>131</v>
      </c>
      <c r="C43" s="115" t="s">
        <v>132</v>
      </c>
      <c r="D43" s="123" t="s">
        <v>131</v>
      </c>
      <c r="E43" s="115" t="s">
        <v>132</v>
      </c>
      <c r="F43" s="115" t="s">
        <v>131</v>
      </c>
      <c r="G43" s="115" t="s">
        <v>132</v>
      </c>
    </row>
    <row r="44" spans="1:11" x14ac:dyDescent="0.2">
      <c r="A44" s="27" t="str">
        <f>'[4]5.Neuropathy'!A46</f>
        <v xml:space="preserve">0-4     </v>
      </c>
      <c r="B44" s="86">
        <f>B6*10000</f>
        <v>0.16500000000000001</v>
      </c>
      <c r="C44" s="126">
        <f>C6*10000</f>
        <v>0.16500000000000001</v>
      </c>
      <c r="D44" s="28">
        <f>B44*$B$20</f>
        <v>1.32E-3</v>
      </c>
      <c r="E44" s="28">
        <f>C44*$B$21</f>
        <v>1.32E-3</v>
      </c>
      <c r="F44" s="28">
        <f>B44*($C$20-$B$20)</f>
        <v>6.9300000000000004E-3</v>
      </c>
      <c r="G44" s="29">
        <f>C44*($C$21-$B$21)</f>
        <v>6.9300000000000004E-3</v>
      </c>
    </row>
    <row r="45" spans="1:11" x14ac:dyDescent="0.2">
      <c r="A45" s="27" t="str">
        <f>'[4]5.Neuropathy'!A47</f>
        <v>5-14</v>
      </c>
      <c r="B45" s="86">
        <f>B7*10000</f>
        <v>0.16500000000000001</v>
      </c>
      <c r="C45" s="126">
        <f>C7*10000</f>
        <v>0.16500000000000001</v>
      </c>
      <c r="D45" s="28">
        <f t="shared" ref="D45:D52" si="0">B45*$B$20</f>
        <v>1.32E-3</v>
      </c>
      <c r="E45" s="28">
        <f t="shared" ref="E45:E52" si="1">C45*$B$21</f>
        <v>1.32E-3</v>
      </c>
      <c r="F45" s="28">
        <f t="shared" ref="F45:F52" si="2">B45*($C$20-$B$20)</f>
        <v>6.9300000000000004E-3</v>
      </c>
      <c r="G45" s="29">
        <f t="shared" ref="G45:G52" si="3">C45*($C$21-$B$21)</f>
        <v>6.9300000000000004E-3</v>
      </c>
    </row>
    <row r="46" spans="1:11" x14ac:dyDescent="0.2">
      <c r="A46" s="27" t="str">
        <f>'[4]5.Neuropathy'!A48</f>
        <v>15-24</v>
      </c>
      <c r="B46" s="86">
        <f>2/3*B8*10000</f>
        <v>0.10399999999999998</v>
      </c>
      <c r="C46" s="126">
        <f>2/3*C8*10000</f>
        <v>0.10399999999999998</v>
      </c>
      <c r="D46" s="28">
        <f t="shared" si="0"/>
        <v>8.3199999999999984E-4</v>
      </c>
      <c r="E46" s="28">
        <f t="shared" si="1"/>
        <v>8.3199999999999984E-4</v>
      </c>
      <c r="F46" s="28">
        <f t="shared" si="2"/>
        <v>4.3679999999999995E-3</v>
      </c>
      <c r="G46" s="29">
        <f t="shared" si="3"/>
        <v>4.3679999999999995E-3</v>
      </c>
    </row>
    <row r="47" spans="1:11" x14ac:dyDescent="0.2">
      <c r="A47" s="27" t="str">
        <f>'[4]5.Neuropathy'!A49</f>
        <v>25-34</v>
      </c>
      <c r="B47" s="86">
        <f>1/3*B8+1/3*B9*10000</f>
        <v>5.0052000000000004E-3</v>
      </c>
      <c r="C47" s="126">
        <f>1/3*C8+1/3*C9*10000</f>
        <v>5.3385333333333326E-3</v>
      </c>
      <c r="D47" s="28">
        <f t="shared" si="0"/>
        <v>4.0041600000000006E-5</v>
      </c>
      <c r="E47" s="28">
        <f t="shared" si="1"/>
        <v>4.2708266666666659E-5</v>
      </c>
      <c r="F47" s="28">
        <f t="shared" si="2"/>
        <v>2.1021840000000003E-4</v>
      </c>
      <c r="G47" s="29">
        <f t="shared" si="3"/>
        <v>2.2421839999999999E-4</v>
      </c>
      <c r="K47" s="22" t="s">
        <v>23</v>
      </c>
    </row>
    <row r="48" spans="1:11" x14ac:dyDescent="0.2">
      <c r="A48" s="27" t="str">
        <f>'[4]5.Neuropathy'!A50</f>
        <v>35-44</v>
      </c>
      <c r="B48" s="86">
        <f>2/3*B9*10000</f>
        <v>0.01</v>
      </c>
      <c r="C48" s="126">
        <f>2/3*C9*10000</f>
        <v>1.0666666666666665E-2</v>
      </c>
      <c r="D48" s="28">
        <f t="shared" si="0"/>
        <v>8.0000000000000007E-5</v>
      </c>
      <c r="E48" s="28">
        <f t="shared" si="1"/>
        <v>8.5333333333333325E-5</v>
      </c>
      <c r="F48" s="28">
        <f t="shared" si="2"/>
        <v>4.2000000000000002E-4</v>
      </c>
      <c r="G48" s="29">
        <f t="shared" si="3"/>
        <v>4.4799999999999994E-4</v>
      </c>
    </row>
    <row r="49" spans="1:12" x14ac:dyDescent="0.2">
      <c r="A49" s="27" t="str">
        <f>'[4]5.Neuropathy'!A51</f>
        <v>45-54</v>
      </c>
      <c r="B49" s="86">
        <f>2/3*B10*10000</f>
        <v>0</v>
      </c>
      <c r="C49" s="126">
        <f>2/3*C10*10000</f>
        <v>0</v>
      </c>
      <c r="D49" s="28">
        <f t="shared" si="0"/>
        <v>0</v>
      </c>
      <c r="E49" s="28">
        <f t="shared" si="1"/>
        <v>0</v>
      </c>
      <c r="F49" s="28">
        <f t="shared" si="2"/>
        <v>0</v>
      </c>
      <c r="G49" s="29">
        <f t="shared" si="3"/>
        <v>0</v>
      </c>
    </row>
    <row r="50" spans="1:12" x14ac:dyDescent="0.2">
      <c r="A50" s="27" t="str">
        <f>'[4]5.Neuropathy'!A52</f>
        <v>55-64</v>
      </c>
      <c r="B50" s="86">
        <f>1/3*B10+1/2*B11*10000</f>
        <v>0</v>
      </c>
      <c r="C50" s="126">
        <f>1/3*C10+1/2*C11*10000</f>
        <v>0</v>
      </c>
      <c r="D50" s="28">
        <f t="shared" si="0"/>
        <v>0</v>
      </c>
      <c r="E50" s="28">
        <f t="shared" si="1"/>
        <v>0</v>
      </c>
      <c r="F50" s="28">
        <f t="shared" si="2"/>
        <v>0</v>
      </c>
      <c r="G50" s="29">
        <f t="shared" si="3"/>
        <v>0</v>
      </c>
    </row>
    <row r="51" spans="1:12" x14ac:dyDescent="0.2">
      <c r="A51" s="27" t="str">
        <f>'[4]5.Neuropathy'!A53</f>
        <v>65-74</v>
      </c>
      <c r="B51" s="86">
        <f>1/2*B11+1/2*B12*10000</f>
        <v>0</v>
      </c>
      <c r="C51" s="126">
        <f>1/2*C11+1/2*C12*10000</f>
        <v>0</v>
      </c>
      <c r="D51" s="28">
        <f t="shared" si="0"/>
        <v>0</v>
      </c>
      <c r="E51" s="28">
        <f t="shared" si="1"/>
        <v>0</v>
      </c>
      <c r="F51" s="28">
        <f t="shared" si="2"/>
        <v>0</v>
      </c>
      <c r="G51" s="29">
        <f t="shared" si="3"/>
        <v>0</v>
      </c>
      <c r="L51" s="22" t="s">
        <v>23</v>
      </c>
    </row>
    <row r="52" spans="1:12" x14ac:dyDescent="0.2">
      <c r="A52" s="27" t="str">
        <f>'[4]5.Neuropathy'!A54</f>
        <v>75+</v>
      </c>
      <c r="B52" s="86">
        <f>1/2*B12+B13*10000</f>
        <v>0</v>
      </c>
      <c r="C52" s="126">
        <f>1/2*C12+C13*10000</f>
        <v>0</v>
      </c>
      <c r="D52" s="28">
        <f t="shared" si="0"/>
        <v>0</v>
      </c>
      <c r="E52" s="28">
        <f t="shared" si="1"/>
        <v>0</v>
      </c>
      <c r="F52" s="28">
        <f t="shared" si="2"/>
        <v>0</v>
      </c>
      <c r="G52" s="29">
        <f t="shared" si="3"/>
        <v>0</v>
      </c>
    </row>
    <row r="53" spans="1:12" x14ac:dyDescent="0.2">
      <c r="A53" s="30"/>
      <c r="B53" s="30"/>
      <c r="C53" s="32"/>
      <c r="D53" s="31"/>
      <c r="E53" s="31"/>
      <c r="F53" s="31"/>
      <c r="G53" s="32"/>
    </row>
    <row r="55" spans="1:12" x14ac:dyDescent="0.2">
      <c r="A55" s="23" t="s">
        <v>155</v>
      </c>
    </row>
    <row r="56" spans="1:12" x14ac:dyDescent="0.2">
      <c r="A56" s="23" t="s">
        <v>137</v>
      </c>
    </row>
    <row r="57" spans="1:12" x14ac:dyDescent="0.2">
      <c r="A57" s="24" t="s">
        <v>40</v>
      </c>
      <c r="B57" s="25" t="str">
        <f>'[4]5.Neuropathy'!B59</f>
        <v>5-14</v>
      </c>
      <c r="C57" s="25" t="str">
        <f>'[4]5.Neuropathy'!C59</f>
        <v>15-24</v>
      </c>
      <c r="D57" s="25" t="str">
        <f>'[4]5.Neuropathy'!D59</f>
        <v>25-34</v>
      </c>
      <c r="E57" s="25" t="str">
        <f>'[4]5.Neuropathy'!E59</f>
        <v>35-44</v>
      </c>
      <c r="F57" s="25" t="str">
        <f>'[4]5.Neuropathy'!F59</f>
        <v>45-54</v>
      </c>
      <c r="G57" s="25" t="str">
        <f>'[4]5.Neuropathy'!G59</f>
        <v>55-64</v>
      </c>
      <c r="H57" s="25" t="str">
        <f>'[4]5.Neuropathy'!H59</f>
        <v>65-74</v>
      </c>
      <c r="I57" s="26" t="str">
        <f>'[4]5.Neuropathy'!I59</f>
        <v>75+</v>
      </c>
      <c r="K57" s="130" t="s">
        <v>40</v>
      </c>
      <c r="L57" s="131" t="s">
        <v>139</v>
      </c>
    </row>
    <row r="58" spans="1:12" x14ac:dyDescent="0.2">
      <c r="A58" s="33" t="str">
        <f>'[4]5.Neuropathy'!A60</f>
        <v xml:space="preserve">0-4     </v>
      </c>
      <c r="B58" s="28">
        <f>D44</f>
        <v>1.32E-3</v>
      </c>
      <c r="C58" s="28">
        <f>F44</f>
        <v>6.9300000000000004E-3</v>
      </c>
      <c r="D58" s="28"/>
      <c r="E58" s="28"/>
      <c r="F58" s="28"/>
      <c r="G58" s="28"/>
      <c r="H58" s="28"/>
      <c r="I58" s="29"/>
      <c r="K58" s="116" t="s">
        <v>141</v>
      </c>
      <c r="L58" s="121">
        <f>B68</f>
        <v>1.32E-3</v>
      </c>
    </row>
    <row r="59" spans="1:12" x14ac:dyDescent="0.2">
      <c r="A59" s="33" t="str">
        <f>'[4]5.Neuropathy'!A61</f>
        <v>5-14</v>
      </c>
      <c r="B59" s="28"/>
      <c r="C59" s="28">
        <f>D45</f>
        <v>1.32E-3</v>
      </c>
      <c r="D59" s="28">
        <f>F45</f>
        <v>6.9300000000000004E-3</v>
      </c>
      <c r="E59" s="28"/>
      <c r="F59" s="28"/>
      <c r="G59" s="28"/>
      <c r="H59" s="28"/>
      <c r="I59" s="29"/>
      <c r="K59" s="117" t="s">
        <v>142</v>
      </c>
      <c r="L59" s="121">
        <f>C68+D68/3</f>
        <v>1.0837333333333334E-2</v>
      </c>
    </row>
    <row r="60" spans="1:12" x14ac:dyDescent="0.2">
      <c r="A60" s="33" t="str">
        <f>'[4]5.Neuropathy'!A62</f>
        <v>15-24</v>
      </c>
      <c r="B60" s="28"/>
      <c r="C60" s="28"/>
      <c r="D60" s="28">
        <f>D46</f>
        <v>8.3199999999999984E-4</v>
      </c>
      <c r="E60" s="28">
        <f>F46</f>
        <v>4.3679999999999995E-3</v>
      </c>
      <c r="F60" s="28"/>
      <c r="G60" s="28"/>
      <c r="H60" s="28"/>
      <c r="I60" s="29"/>
      <c r="K60" s="117" t="s">
        <v>143</v>
      </c>
      <c r="L60" s="121">
        <f>D68/3+E68*2/3</f>
        <v>5.5260277333333335E-3</v>
      </c>
    </row>
    <row r="61" spans="1:12" x14ac:dyDescent="0.2">
      <c r="A61" s="33" t="str">
        <f>'[4]5.Neuropathy'!A63</f>
        <v>25-34</v>
      </c>
      <c r="B61" s="28"/>
      <c r="C61" s="28"/>
      <c r="D61" s="28"/>
      <c r="E61" s="28">
        <f>D47</f>
        <v>4.0041600000000006E-5</v>
      </c>
      <c r="F61" s="28">
        <f>F47</f>
        <v>2.1021840000000003E-4</v>
      </c>
      <c r="G61" s="28"/>
      <c r="H61" s="28"/>
      <c r="I61" s="29"/>
      <c r="K61" s="117" t="s">
        <v>144</v>
      </c>
      <c r="L61" s="121">
        <f>F68+G68/3</f>
        <v>4.3021840000000003E-4</v>
      </c>
    </row>
    <row r="62" spans="1:12" x14ac:dyDescent="0.2">
      <c r="A62" s="33" t="str">
        <f>'[4]5.Neuropathy'!A64</f>
        <v>35-44</v>
      </c>
      <c r="B62" s="28"/>
      <c r="C62" s="28"/>
      <c r="D62" s="28"/>
      <c r="E62" s="28"/>
      <c r="F62" s="28">
        <f>D48</f>
        <v>8.0000000000000007E-5</v>
      </c>
      <c r="G62" s="28">
        <f>F48</f>
        <v>4.2000000000000002E-4</v>
      </c>
      <c r="H62" s="28"/>
      <c r="I62" s="29"/>
      <c r="K62" s="117" t="s">
        <v>145</v>
      </c>
      <c r="L62" s="121">
        <f>(G68+H68)/2</f>
        <v>2.1000000000000001E-4</v>
      </c>
    </row>
    <row r="63" spans="1:12" x14ac:dyDescent="0.2">
      <c r="A63" s="33" t="str">
        <f>'[4]5.Neuropathy'!A65</f>
        <v>45-54</v>
      </c>
      <c r="B63" s="28"/>
      <c r="C63" s="28"/>
      <c r="D63" s="28"/>
      <c r="E63" s="28"/>
      <c r="F63" s="28"/>
      <c r="G63" s="28">
        <f>D49</f>
        <v>0</v>
      </c>
      <c r="H63" s="28">
        <f>F49</f>
        <v>0</v>
      </c>
      <c r="I63" s="29"/>
      <c r="K63" s="117" t="s">
        <v>146</v>
      </c>
      <c r="L63" s="121">
        <f>H68/3+I68</f>
        <v>0</v>
      </c>
    </row>
    <row r="64" spans="1:12" x14ac:dyDescent="0.2">
      <c r="A64" s="33" t="str">
        <f>'[4]5.Neuropathy'!A66</f>
        <v>55-64</v>
      </c>
      <c r="B64" s="28"/>
      <c r="C64" s="28"/>
      <c r="D64" s="28"/>
      <c r="E64" s="28"/>
      <c r="F64" s="28"/>
      <c r="G64" s="28"/>
      <c r="H64" s="28">
        <f>D50</f>
        <v>0</v>
      </c>
      <c r="I64" s="29">
        <f>F50</f>
        <v>0</v>
      </c>
      <c r="K64" s="118"/>
      <c r="L64" s="32"/>
    </row>
    <row r="65" spans="1:14" x14ac:dyDescent="0.2">
      <c r="A65" s="33" t="str">
        <f>'[4]5.Neuropathy'!A67</f>
        <v>65-74</v>
      </c>
      <c r="B65" s="28"/>
      <c r="C65" s="28"/>
      <c r="D65" s="28"/>
      <c r="E65" s="28"/>
      <c r="F65" s="28"/>
      <c r="G65" s="28"/>
      <c r="H65" s="28"/>
      <c r="I65" s="29">
        <f>D51</f>
        <v>0</v>
      </c>
      <c r="K65" s="119"/>
      <c r="L65" s="28"/>
    </row>
    <row r="66" spans="1:14" x14ac:dyDescent="0.2">
      <c r="A66" s="27" t="str">
        <f>'[4]5.Neuropathy'!A68</f>
        <v>75+</v>
      </c>
      <c r="B66" s="28"/>
      <c r="C66" s="28"/>
      <c r="D66" s="28"/>
      <c r="E66" s="28"/>
      <c r="F66" s="28"/>
      <c r="G66" s="28"/>
      <c r="H66" s="28"/>
      <c r="I66" s="29"/>
      <c r="K66" s="119"/>
      <c r="L66" s="28"/>
    </row>
    <row r="67" spans="1:14" s="22" customFormat="1" x14ac:dyDescent="0.2">
      <c r="A67" s="27"/>
      <c r="B67" s="28"/>
      <c r="C67" s="28"/>
      <c r="D67" s="28"/>
      <c r="E67" s="28"/>
      <c r="F67" s="28"/>
      <c r="G67" s="28"/>
      <c r="H67" s="28"/>
      <c r="I67" s="29"/>
      <c r="K67" s="119"/>
      <c r="L67" s="28"/>
    </row>
    <row r="68" spans="1:14" s="22" customFormat="1" x14ac:dyDescent="0.2">
      <c r="A68" s="30" t="s">
        <v>138</v>
      </c>
      <c r="B68" s="31">
        <f>SUM(B58:B66)</f>
        <v>1.32E-3</v>
      </c>
      <c r="C68" s="31">
        <f t="shared" ref="C68:I68" si="4">SUM(C58:C66)</f>
        <v>8.2500000000000004E-3</v>
      </c>
      <c r="D68" s="31">
        <f t="shared" si="4"/>
        <v>7.7619999999999998E-3</v>
      </c>
      <c r="E68" s="31">
        <f t="shared" si="4"/>
        <v>4.4080415999999999E-3</v>
      </c>
      <c r="F68" s="31">
        <f t="shared" si="4"/>
        <v>2.9021840000000005E-4</v>
      </c>
      <c r="G68" s="31">
        <f t="shared" si="4"/>
        <v>4.2000000000000002E-4</v>
      </c>
      <c r="H68" s="31">
        <f t="shared" si="4"/>
        <v>0</v>
      </c>
      <c r="I68" s="32">
        <f t="shared" si="4"/>
        <v>0</v>
      </c>
      <c r="K68" s="119"/>
      <c r="L68" s="28"/>
    </row>
    <row r="69" spans="1:14" x14ac:dyDescent="0.2">
      <c r="N69" s="22" t="s">
        <v>23</v>
      </c>
    </row>
    <row r="70" spans="1:14" x14ac:dyDescent="0.2">
      <c r="A70" s="23" t="s">
        <v>140</v>
      </c>
      <c r="B70" s="22"/>
      <c r="C70" s="22"/>
      <c r="D70" s="22"/>
      <c r="E70" s="22"/>
      <c r="F70" s="22"/>
      <c r="G70" s="22"/>
      <c r="H70" s="22"/>
      <c r="I70" s="22"/>
      <c r="J70" s="22"/>
      <c r="K70" s="22"/>
      <c r="L70" s="22"/>
    </row>
    <row r="71" spans="1:14" x14ac:dyDescent="0.2">
      <c r="A71" s="24" t="s">
        <v>40</v>
      </c>
      <c r="B71" s="25" t="str">
        <f>'[4]5.Neuropathy'!B71</f>
        <v>5-14</v>
      </c>
      <c r="C71" s="25" t="str">
        <f>'[4]5.Neuropathy'!C71</f>
        <v>15-24</v>
      </c>
      <c r="D71" s="25" t="str">
        <f>'[4]5.Neuropathy'!D71</f>
        <v>25-34</v>
      </c>
      <c r="E71" s="25" t="str">
        <f>'[4]5.Neuropathy'!E71</f>
        <v>35-44</v>
      </c>
      <c r="F71" s="25" t="str">
        <f>'[4]5.Neuropathy'!F71</f>
        <v>45-54</v>
      </c>
      <c r="G71" s="25" t="str">
        <f>'[4]5.Neuropathy'!G71</f>
        <v>55-64</v>
      </c>
      <c r="H71" s="25" t="str">
        <f>'[4]5.Neuropathy'!H71</f>
        <v>65-74</v>
      </c>
      <c r="I71" s="26" t="str">
        <f>'[4]5.Neuropathy'!I71</f>
        <v>75+</v>
      </c>
      <c r="J71" s="22"/>
      <c r="K71" s="130" t="s">
        <v>40</v>
      </c>
      <c r="L71" s="131" t="s">
        <v>139</v>
      </c>
    </row>
    <row r="72" spans="1:14" x14ac:dyDescent="0.2">
      <c r="A72" s="33" t="str">
        <f t="shared" ref="A72:A80" si="5">A58</f>
        <v xml:space="preserve">0-4     </v>
      </c>
      <c r="B72" s="28">
        <f>E44</f>
        <v>1.32E-3</v>
      </c>
      <c r="C72" s="28">
        <f>G44</f>
        <v>6.9300000000000004E-3</v>
      </c>
      <c r="D72" s="28"/>
      <c r="E72" s="28"/>
      <c r="F72" s="28"/>
      <c r="G72" s="28"/>
      <c r="H72" s="28"/>
      <c r="I72" s="29"/>
      <c r="J72" s="22"/>
      <c r="K72" s="116" t="s">
        <v>141</v>
      </c>
      <c r="L72" s="121">
        <f>B82</f>
        <v>1.32E-3</v>
      </c>
    </row>
    <row r="73" spans="1:14" x14ac:dyDescent="0.2">
      <c r="A73" s="33" t="str">
        <f t="shared" si="5"/>
        <v>5-14</v>
      </c>
      <c r="B73" s="28"/>
      <c r="C73" s="28">
        <f>E45</f>
        <v>1.32E-3</v>
      </c>
      <c r="D73" s="28">
        <f>G45</f>
        <v>6.9300000000000004E-3</v>
      </c>
      <c r="E73" s="28"/>
      <c r="F73" s="28"/>
      <c r="G73" s="28"/>
      <c r="H73" s="28"/>
      <c r="I73" s="29"/>
      <c r="J73" s="22"/>
      <c r="K73" s="117" t="s">
        <v>142</v>
      </c>
      <c r="L73" s="121">
        <f>C82+D82/3</f>
        <v>1.0837333333333334E-2</v>
      </c>
    </row>
    <row r="74" spans="1:14" x14ac:dyDescent="0.2">
      <c r="A74" s="33" t="str">
        <f t="shared" si="5"/>
        <v>15-24</v>
      </c>
      <c r="B74" s="28"/>
      <c r="C74" s="28"/>
      <c r="D74" s="28">
        <f>E46</f>
        <v>8.3199999999999984E-4</v>
      </c>
      <c r="E74" s="28">
        <f>G46</f>
        <v>4.3679999999999995E-3</v>
      </c>
      <c r="F74" s="28"/>
      <c r="G74" s="28"/>
      <c r="H74" s="28"/>
      <c r="I74" s="29"/>
      <c r="J74" s="22"/>
      <c r="K74" s="117" t="s">
        <v>143</v>
      </c>
      <c r="L74" s="121">
        <f>D82/3+E82</f>
        <v>6.9980415999999993E-3</v>
      </c>
    </row>
    <row r="75" spans="1:14" x14ac:dyDescent="0.2">
      <c r="A75" s="33" t="str">
        <f t="shared" si="5"/>
        <v>25-34</v>
      </c>
      <c r="B75" s="28"/>
      <c r="C75" s="28"/>
      <c r="D75" s="28"/>
      <c r="E75" s="28">
        <f>E47</f>
        <v>4.2708266666666659E-5</v>
      </c>
      <c r="F75" s="28">
        <f>G47</f>
        <v>2.2421839999999999E-4</v>
      </c>
      <c r="G75" s="28"/>
      <c r="H75" s="28"/>
      <c r="I75" s="29"/>
      <c r="J75" s="22"/>
      <c r="K75" s="117" t="s">
        <v>144</v>
      </c>
      <c r="L75" s="121">
        <f>F82+G82/3</f>
        <v>4.5888506666666668E-4</v>
      </c>
    </row>
    <row r="76" spans="1:14" x14ac:dyDescent="0.2">
      <c r="A76" s="33" t="str">
        <f t="shared" si="5"/>
        <v>35-44</v>
      </c>
      <c r="B76" s="28"/>
      <c r="C76" s="28"/>
      <c r="D76" s="28"/>
      <c r="E76" s="28"/>
      <c r="F76" s="28">
        <f>E48</f>
        <v>8.5333333333333325E-5</v>
      </c>
      <c r="G76" s="28">
        <f>G48</f>
        <v>4.4799999999999994E-4</v>
      </c>
      <c r="H76" s="28"/>
      <c r="I76" s="29"/>
      <c r="J76" s="22"/>
      <c r="K76" s="117" t="s">
        <v>145</v>
      </c>
      <c r="L76" s="121">
        <f>(G82+H82)/2</f>
        <v>2.2399999999999997E-4</v>
      </c>
    </row>
    <row r="77" spans="1:14" x14ac:dyDescent="0.2">
      <c r="A77" s="33" t="str">
        <f t="shared" si="5"/>
        <v>45-54</v>
      </c>
      <c r="B77" s="28"/>
      <c r="C77" s="28"/>
      <c r="D77" s="28"/>
      <c r="E77" s="28"/>
      <c r="F77" s="28"/>
      <c r="G77" s="28">
        <f>E49</f>
        <v>0</v>
      </c>
      <c r="H77" s="28">
        <f>G49</f>
        <v>0</v>
      </c>
      <c r="I77" s="29"/>
      <c r="J77" s="22"/>
      <c r="K77" s="117" t="s">
        <v>146</v>
      </c>
      <c r="L77" s="121">
        <f>H82/3+I82</f>
        <v>0</v>
      </c>
    </row>
    <row r="78" spans="1:14" x14ac:dyDescent="0.2">
      <c r="A78" s="33" t="str">
        <f t="shared" si="5"/>
        <v>55-64</v>
      </c>
      <c r="B78" s="28"/>
      <c r="C78" s="28"/>
      <c r="D78" s="28"/>
      <c r="E78" s="28"/>
      <c r="F78" s="28"/>
      <c r="G78" s="28"/>
      <c r="H78" s="28">
        <f>E50</f>
        <v>0</v>
      </c>
      <c r="I78" s="29">
        <f>G50</f>
        <v>0</v>
      </c>
      <c r="J78" s="22"/>
      <c r="K78" s="30"/>
      <c r="L78" s="32"/>
    </row>
    <row r="79" spans="1:14" x14ac:dyDescent="0.2">
      <c r="A79" s="33" t="str">
        <f t="shared" si="5"/>
        <v>65-74</v>
      </c>
      <c r="B79" s="28"/>
      <c r="C79" s="28"/>
      <c r="D79" s="28"/>
      <c r="E79" s="28"/>
      <c r="F79" s="28"/>
      <c r="G79" s="28"/>
      <c r="H79" s="28"/>
      <c r="I79" s="29">
        <f>E51</f>
        <v>0</v>
      </c>
      <c r="J79" s="22"/>
      <c r="K79" s="28"/>
      <c r="L79" s="28"/>
    </row>
    <row r="80" spans="1:14" x14ac:dyDescent="0.2">
      <c r="A80" s="27" t="str">
        <f t="shared" si="5"/>
        <v>75+</v>
      </c>
      <c r="B80" s="28"/>
      <c r="C80" s="28"/>
      <c r="D80" s="28"/>
      <c r="E80" s="28"/>
      <c r="F80" s="28"/>
      <c r="G80" s="28"/>
      <c r="H80" s="28"/>
      <c r="I80" s="29"/>
      <c r="J80" s="22"/>
      <c r="K80" s="28"/>
    </row>
    <row r="81" spans="1:12" s="22" customFormat="1" x14ac:dyDescent="0.2">
      <c r="A81" s="27"/>
      <c r="B81" s="28"/>
      <c r="C81" s="28"/>
      <c r="D81" s="28"/>
      <c r="E81" s="28"/>
      <c r="F81" s="28"/>
      <c r="G81" s="28"/>
      <c r="H81" s="28"/>
      <c r="I81" s="29"/>
      <c r="K81" s="28"/>
    </row>
    <row r="82" spans="1:12" s="22" customFormat="1" x14ac:dyDescent="0.2">
      <c r="A82" s="30" t="s">
        <v>138</v>
      </c>
      <c r="B82" s="31">
        <f>SUM(B72:B80)</f>
        <v>1.32E-3</v>
      </c>
      <c r="C82" s="31">
        <f t="shared" ref="C82:I82" si="6">SUM(C72:C80)</f>
        <v>8.2500000000000004E-3</v>
      </c>
      <c r="D82" s="31">
        <f t="shared" si="6"/>
        <v>7.7619999999999998E-3</v>
      </c>
      <c r="E82" s="31">
        <f t="shared" si="6"/>
        <v>4.4107082666666663E-3</v>
      </c>
      <c r="F82" s="31">
        <f t="shared" si="6"/>
        <v>3.0955173333333333E-4</v>
      </c>
      <c r="G82" s="31">
        <f t="shared" si="6"/>
        <v>4.4799999999999994E-4</v>
      </c>
      <c r="H82" s="31">
        <f t="shared" si="6"/>
        <v>0</v>
      </c>
      <c r="I82" s="32">
        <f t="shared" si="6"/>
        <v>0</v>
      </c>
      <c r="K82" s="28"/>
    </row>
    <row r="83" spans="1:12" x14ac:dyDescent="0.2">
      <c r="K83" s="28"/>
      <c r="L83" s="28" t="s">
        <v>23</v>
      </c>
    </row>
    <row r="84" spans="1:12" x14ac:dyDescent="0.2">
      <c r="A84" s="145" t="s">
        <v>147</v>
      </c>
    </row>
    <row r="86" spans="1:12" x14ac:dyDescent="0.2">
      <c r="A86" s="24" t="s">
        <v>40</v>
      </c>
      <c r="B86" s="470" t="s">
        <v>150</v>
      </c>
      <c r="C86" s="471"/>
      <c r="D86" s="472"/>
      <c r="E86" s="470" t="s">
        <v>151</v>
      </c>
      <c r="F86" s="471"/>
      <c r="G86" s="472"/>
      <c r="J86" s="22" t="s">
        <v>23</v>
      </c>
    </row>
    <row r="87" spans="1:12" s="22" customFormat="1" x14ac:dyDescent="0.2">
      <c r="A87" s="27"/>
      <c r="B87" s="138" t="s">
        <v>152</v>
      </c>
      <c r="C87" s="146" t="s">
        <v>148</v>
      </c>
      <c r="D87" s="163" t="s">
        <v>149</v>
      </c>
      <c r="E87" s="139" t="s">
        <v>152</v>
      </c>
      <c r="F87" s="146" t="s">
        <v>148</v>
      </c>
      <c r="G87" s="163" t="s">
        <v>149</v>
      </c>
    </row>
    <row r="88" spans="1:12" x14ac:dyDescent="0.2">
      <c r="A88" s="33" t="s">
        <v>11</v>
      </c>
      <c r="B88" s="140">
        <f t="shared" ref="B88:B93" si="7">L58</f>
        <v>1.32E-3</v>
      </c>
      <c r="C88" s="147">
        <f>B88*2/3</f>
        <v>8.8000000000000003E-4</v>
      </c>
      <c r="D88" s="147">
        <f>B88-C88</f>
        <v>4.3999999999999996E-4</v>
      </c>
      <c r="E88" s="140">
        <f t="shared" ref="E88:E93" si="8">L72</f>
        <v>1.32E-3</v>
      </c>
      <c r="F88" s="147">
        <f>E88*2/3</f>
        <v>8.8000000000000003E-4</v>
      </c>
      <c r="G88" s="164">
        <f>E88-F88</f>
        <v>4.3999999999999996E-4</v>
      </c>
    </row>
    <row r="89" spans="1:12" x14ac:dyDescent="0.2">
      <c r="A89" s="33" t="s">
        <v>12</v>
      </c>
      <c r="B89" s="136">
        <f t="shared" si="7"/>
        <v>1.0837333333333334E-2</v>
      </c>
      <c r="C89" s="143">
        <f t="shared" ref="C89:C93" si="9">B89*2/3</f>
        <v>7.2248888888888892E-3</v>
      </c>
      <c r="D89" s="143">
        <f t="shared" ref="D89:D93" si="10">B89-C89</f>
        <v>3.612444444444445E-3</v>
      </c>
      <c r="E89" s="136">
        <f t="shared" si="8"/>
        <v>1.0837333333333334E-2</v>
      </c>
      <c r="F89" s="143">
        <f t="shared" ref="F89:F93" si="11">E89*2/3</f>
        <v>7.2248888888888892E-3</v>
      </c>
      <c r="G89" s="151">
        <f t="shared" ref="G89:G93" si="12">E89-F89</f>
        <v>3.612444444444445E-3</v>
      </c>
    </row>
    <row r="90" spans="1:12" x14ac:dyDescent="0.2">
      <c r="A90" s="33" t="s">
        <v>13</v>
      </c>
      <c r="B90" s="136">
        <f t="shared" si="7"/>
        <v>5.5260277333333335E-3</v>
      </c>
      <c r="C90" s="143">
        <f t="shared" si="9"/>
        <v>3.6840184888888888E-3</v>
      </c>
      <c r="D90" s="143">
        <f t="shared" si="10"/>
        <v>1.8420092444444446E-3</v>
      </c>
      <c r="E90" s="136">
        <f t="shared" si="8"/>
        <v>6.9980415999999993E-3</v>
      </c>
      <c r="F90" s="143">
        <f t="shared" si="11"/>
        <v>4.6653610666666659E-3</v>
      </c>
      <c r="G90" s="151">
        <f t="shared" si="12"/>
        <v>2.3326805333333334E-3</v>
      </c>
    </row>
    <row r="91" spans="1:12" x14ac:dyDescent="0.2">
      <c r="A91" s="33" t="s">
        <v>14</v>
      </c>
      <c r="B91" s="136">
        <f t="shared" si="7"/>
        <v>4.3021840000000003E-4</v>
      </c>
      <c r="C91" s="143">
        <f t="shared" si="9"/>
        <v>2.8681226666666667E-4</v>
      </c>
      <c r="D91" s="143">
        <f t="shared" si="10"/>
        <v>1.4340613333333336E-4</v>
      </c>
      <c r="E91" s="136">
        <f t="shared" si="8"/>
        <v>4.5888506666666668E-4</v>
      </c>
      <c r="F91" s="143">
        <f t="shared" si="11"/>
        <v>3.059233777777778E-4</v>
      </c>
      <c r="G91" s="151">
        <f t="shared" si="12"/>
        <v>1.5296168888888887E-4</v>
      </c>
    </row>
    <row r="92" spans="1:12" x14ac:dyDescent="0.2">
      <c r="A92" s="33" t="s">
        <v>15</v>
      </c>
      <c r="B92" s="136">
        <f t="shared" si="7"/>
        <v>2.1000000000000001E-4</v>
      </c>
      <c r="C92" s="143">
        <f t="shared" si="9"/>
        <v>1.4000000000000001E-4</v>
      </c>
      <c r="D92" s="143">
        <f t="shared" si="10"/>
        <v>6.9999999999999994E-5</v>
      </c>
      <c r="E92" s="136">
        <f t="shared" si="8"/>
        <v>2.2399999999999997E-4</v>
      </c>
      <c r="F92" s="143">
        <f t="shared" si="11"/>
        <v>1.4933333333333332E-4</v>
      </c>
      <c r="G92" s="151">
        <f t="shared" si="12"/>
        <v>7.4666666666666647E-5</v>
      </c>
    </row>
    <row r="93" spans="1:12" x14ac:dyDescent="0.2">
      <c r="A93" s="33" t="s">
        <v>16</v>
      </c>
      <c r="B93" s="136">
        <f t="shared" si="7"/>
        <v>0</v>
      </c>
      <c r="C93" s="143">
        <f t="shared" si="9"/>
        <v>0</v>
      </c>
      <c r="D93" s="143">
        <f t="shared" si="10"/>
        <v>0</v>
      </c>
      <c r="E93" s="136">
        <f t="shared" si="8"/>
        <v>0</v>
      </c>
      <c r="F93" s="143">
        <f t="shared" si="11"/>
        <v>0</v>
      </c>
      <c r="G93" s="151">
        <f t="shared" si="12"/>
        <v>0</v>
      </c>
    </row>
    <row r="94" spans="1:12" x14ac:dyDescent="0.2">
      <c r="A94" s="33" t="s">
        <v>17</v>
      </c>
      <c r="B94" s="136">
        <v>0</v>
      </c>
      <c r="C94" s="143">
        <v>0</v>
      </c>
      <c r="D94" s="143">
        <v>0</v>
      </c>
      <c r="E94" s="136">
        <v>0</v>
      </c>
      <c r="F94" s="143">
        <v>0</v>
      </c>
      <c r="G94" s="151">
        <v>0</v>
      </c>
    </row>
    <row r="95" spans="1:12" x14ac:dyDescent="0.2">
      <c r="A95" s="30"/>
      <c r="B95" s="30"/>
      <c r="C95" s="144"/>
      <c r="D95" s="144"/>
      <c r="E95" s="30"/>
      <c r="F95" s="144"/>
      <c r="G95" s="152"/>
    </row>
    <row r="97" spans="1:11" x14ac:dyDescent="0.2">
      <c r="A97" s="145" t="s">
        <v>153</v>
      </c>
    </row>
    <row r="99" spans="1:11" x14ac:dyDescent="0.2">
      <c r="A99" s="443" t="s">
        <v>40</v>
      </c>
      <c r="B99" s="462" t="s">
        <v>136</v>
      </c>
      <c r="C99" s="463"/>
      <c r="D99" s="410" t="s">
        <v>133</v>
      </c>
      <c r="E99" s="410"/>
      <c r="F99" s="410"/>
      <c r="G99" s="409"/>
    </row>
    <row r="100" spans="1:11" x14ac:dyDescent="0.2">
      <c r="A100" s="461"/>
      <c r="B100" s="464"/>
      <c r="C100" s="465"/>
      <c r="D100" s="438" t="s">
        <v>128</v>
      </c>
      <c r="E100" s="440"/>
      <c r="F100" s="438" t="s">
        <v>134</v>
      </c>
      <c r="G100" s="440"/>
    </row>
    <row r="101" spans="1:11" x14ac:dyDescent="0.2">
      <c r="A101" s="444"/>
      <c r="B101" s="114" t="s">
        <v>131</v>
      </c>
      <c r="C101" s="115" t="s">
        <v>132</v>
      </c>
      <c r="D101" s="115" t="s">
        <v>131</v>
      </c>
      <c r="E101" s="115" t="s">
        <v>132</v>
      </c>
      <c r="F101" s="115" t="s">
        <v>131</v>
      </c>
      <c r="G101" s="115" t="s">
        <v>132</v>
      </c>
    </row>
    <row r="102" spans="1:11" x14ac:dyDescent="0.2">
      <c r="A102" s="27" t="str">
        <f t="shared" ref="A102:A110" si="13">A44</f>
        <v xml:space="preserve">0-4     </v>
      </c>
      <c r="B102" s="84">
        <f>D6*10000</f>
        <v>0</v>
      </c>
      <c r="C102" s="127">
        <f>E6*10000</f>
        <v>0</v>
      </c>
      <c r="D102" s="91">
        <f>B102*$D$20</f>
        <v>0</v>
      </c>
      <c r="E102" s="91">
        <f>C102*$D$21</f>
        <v>0</v>
      </c>
      <c r="F102" s="91">
        <f>B102*($E$20-$D$20)</f>
        <v>0</v>
      </c>
      <c r="G102" s="87">
        <f>C102*($E$21-$D$21)</f>
        <v>0</v>
      </c>
      <c r="J102" s="22" t="s">
        <v>23</v>
      </c>
    </row>
    <row r="103" spans="1:11" x14ac:dyDescent="0.2">
      <c r="A103" s="27" t="str">
        <f t="shared" si="13"/>
        <v>5-14</v>
      </c>
      <c r="B103" s="86">
        <f>D7*10000</f>
        <v>0</v>
      </c>
      <c r="C103" s="126">
        <f>E7*10000</f>
        <v>0</v>
      </c>
      <c r="D103" s="91">
        <f t="shared" ref="D103:D110" si="14">B103*$D$20</f>
        <v>0</v>
      </c>
      <c r="E103" s="91">
        <f t="shared" ref="E103:E110" si="15">C103*$D$21</f>
        <v>0</v>
      </c>
      <c r="F103" s="91">
        <f t="shared" ref="F103:F110" si="16">B103*($E$20-$D$20)</f>
        <v>0</v>
      </c>
      <c r="G103" s="87">
        <f t="shared" ref="G103:G110" si="17">C103*($E$21-$D$21)</f>
        <v>0</v>
      </c>
    </row>
    <row r="104" spans="1:11" x14ac:dyDescent="0.2">
      <c r="A104" s="27" t="str">
        <f t="shared" si="13"/>
        <v>15-24</v>
      </c>
      <c r="B104" s="86">
        <f>2/3*D8*10000</f>
        <v>10.095999999999998</v>
      </c>
      <c r="C104" s="126">
        <f>2/3*E8*10000</f>
        <v>20.175999999999995</v>
      </c>
      <c r="D104" s="91">
        <f t="shared" si="14"/>
        <v>0.16153599999999999</v>
      </c>
      <c r="E104" s="91">
        <f t="shared" si="15"/>
        <v>0.32281599999999994</v>
      </c>
      <c r="F104" s="91">
        <f t="shared" si="16"/>
        <v>0.84806399999999993</v>
      </c>
      <c r="G104" s="87">
        <f t="shared" si="17"/>
        <v>1.6947839999999996</v>
      </c>
    </row>
    <row r="105" spans="1:11" x14ac:dyDescent="0.2">
      <c r="A105" s="27" t="str">
        <f t="shared" si="13"/>
        <v>25-34</v>
      </c>
      <c r="B105" s="86">
        <f>1/3*D8+1/3*D9*10000</f>
        <v>15.078838133333335</v>
      </c>
      <c r="C105" s="126">
        <f>1/3*E8+1/3*E9*10000</f>
        <v>9.1056754666666659</v>
      </c>
      <c r="D105" s="91">
        <f t="shared" si="14"/>
        <v>0.24126141013333335</v>
      </c>
      <c r="E105" s="91">
        <f t="shared" si="15"/>
        <v>0.14569080746666666</v>
      </c>
      <c r="F105" s="91">
        <f t="shared" si="16"/>
        <v>1.2666224032000002</v>
      </c>
      <c r="G105" s="87">
        <f t="shared" si="17"/>
        <v>0.76487673919999999</v>
      </c>
    </row>
    <row r="106" spans="1:11" x14ac:dyDescent="0.2">
      <c r="A106" s="27" t="str">
        <f t="shared" si="13"/>
        <v>35-44</v>
      </c>
      <c r="B106" s="86">
        <f>2/3*D9*10000</f>
        <v>30.15666666666667</v>
      </c>
      <c r="C106" s="126">
        <f>2/3*E9*10000</f>
        <v>18.209333333333333</v>
      </c>
      <c r="D106" s="91">
        <f t="shared" si="14"/>
        <v>0.48250666666666675</v>
      </c>
      <c r="E106" s="91">
        <f t="shared" si="15"/>
        <v>0.29134933333333335</v>
      </c>
      <c r="F106" s="91">
        <f t="shared" si="16"/>
        <v>2.5331600000000005</v>
      </c>
      <c r="G106" s="87">
        <f t="shared" si="17"/>
        <v>1.5295840000000001</v>
      </c>
      <c r="K106" s="22" t="s">
        <v>23</v>
      </c>
    </row>
    <row r="107" spans="1:11" x14ac:dyDescent="0.2">
      <c r="A107" s="27" t="str">
        <f t="shared" si="13"/>
        <v>45-54</v>
      </c>
      <c r="B107" s="86">
        <f>2/3*D10*10000</f>
        <v>36.406666666666659</v>
      </c>
      <c r="C107" s="126">
        <f>2/3*E10*10000</f>
        <v>42.693333333333335</v>
      </c>
      <c r="D107" s="91">
        <f t="shared" si="14"/>
        <v>0.58250666666666651</v>
      </c>
      <c r="E107" s="91">
        <f t="shared" si="15"/>
        <v>0.68309333333333333</v>
      </c>
      <c r="F107" s="91">
        <f t="shared" si="16"/>
        <v>3.0581599999999995</v>
      </c>
      <c r="G107" s="87">
        <f t="shared" si="17"/>
        <v>3.5862400000000005</v>
      </c>
    </row>
    <row r="108" spans="1:11" x14ac:dyDescent="0.2">
      <c r="A108" s="27" t="str">
        <f t="shared" si="13"/>
        <v>55-64</v>
      </c>
      <c r="B108" s="86">
        <f>1/3*D10+1/2*D11*10000</f>
        <v>30.556820333333334</v>
      </c>
      <c r="C108" s="126">
        <f>1/3*E10+1/2*E11*10000</f>
        <v>84.612134666666662</v>
      </c>
      <c r="D108" s="91">
        <f t="shared" si="14"/>
        <v>0.48890912533333336</v>
      </c>
      <c r="E108" s="91">
        <f t="shared" si="15"/>
        <v>1.3537941546666665</v>
      </c>
      <c r="F108" s="91">
        <f t="shared" si="16"/>
        <v>2.5667729080000004</v>
      </c>
      <c r="G108" s="87">
        <f t="shared" si="17"/>
        <v>7.1074193120000002</v>
      </c>
    </row>
    <row r="109" spans="1:11" x14ac:dyDescent="0.2">
      <c r="A109" s="27" t="str">
        <f t="shared" si="13"/>
        <v>65-74</v>
      </c>
      <c r="B109" s="86">
        <f>1/2*D11+1/2*D12*10000</f>
        <v>18.2480555</v>
      </c>
      <c r="C109" s="126">
        <f>1/2*E11+1/2*E12*10000</f>
        <v>14.158461000000001</v>
      </c>
      <c r="D109" s="91">
        <f t="shared" si="14"/>
        <v>0.29196888799999998</v>
      </c>
      <c r="E109" s="91">
        <f t="shared" si="15"/>
        <v>0.22653537600000001</v>
      </c>
      <c r="F109" s="91">
        <f t="shared" si="16"/>
        <v>1.532836662</v>
      </c>
      <c r="G109" s="87">
        <f t="shared" si="17"/>
        <v>1.189310724</v>
      </c>
    </row>
    <row r="110" spans="1:11" x14ac:dyDescent="0.2">
      <c r="A110" s="27" t="str">
        <f t="shared" si="13"/>
        <v>75+</v>
      </c>
      <c r="B110" s="86">
        <f>1/2*D12+D13*10000</f>
        <v>53.071824499999998</v>
      </c>
      <c r="C110" s="126">
        <f>1/2*E12+E13*10000</f>
        <v>68.061414999999997</v>
      </c>
      <c r="D110" s="91">
        <f t="shared" si="14"/>
        <v>0.84914919199999994</v>
      </c>
      <c r="E110" s="91">
        <f t="shared" si="15"/>
        <v>1.08898264</v>
      </c>
      <c r="F110" s="91">
        <f t="shared" si="16"/>
        <v>4.4580332580000004</v>
      </c>
      <c r="G110" s="87">
        <f t="shared" si="17"/>
        <v>5.7171588600000005</v>
      </c>
    </row>
    <row r="111" spans="1:11" x14ac:dyDescent="0.2">
      <c r="A111" s="30"/>
      <c r="B111" s="30"/>
      <c r="C111" s="32"/>
      <c r="D111" s="31"/>
      <c r="E111" s="31"/>
      <c r="F111" s="31"/>
      <c r="G111" s="32"/>
    </row>
    <row r="113" spans="1:13" x14ac:dyDescent="0.2">
      <c r="A113" s="23" t="s">
        <v>156</v>
      </c>
    </row>
    <row r="115" spans="1:13" x14ac:dyDescent="0.2">
      <c r="A115" s="23" t="s">
        <v>137</v>
      </c>
      <c r="B115" s="22"/>
      <c r="C115" s="22"/>
      <c r="D115" s="22"/>
      <c r="E115" s="22"/>
      <c r="F115" s="22"/>
      <c r="G115" s="22"/>
      <c r="H115" s="22"/>
      <c r="I115" s="22"/>
    </row>
    <row r="116" spans="1:13" x14ac:dyDescent="0.2">
      <c r="A116" s="52" t="s">
        <v>40</v>
      </c>
      <c r="B116" s="134" t="str">
        <f>$A$117</f>
        <v xml:space="preserve">0-4     </v>
      </c>
      <c r="C116" s="134" t="str">
        <f>$A$118</f>
        <v>5-14</v>
      </c>
      <c r="D116" s="134" t="str">
        <f>'[4]5.Neuropathy'!B109</f>
        <v>15-24</v>
      </c>
      <c r="E116" s="134" t="str">
        <f>'[4]5.Neuropathy'!C109</f>
        <v>25-34</v>
      </c>
      <c r="F116" s="134" t="str">
        <f>'[4]5.Neuropathy'!D109</f>
        <v>35-44</v>
      </c>
      <c r="G116" s="134" t="str">
        <f>'[4]5.Neuropathy'!E109</f>
        <v>45-54</v>
      </c>
      <c r="H116" s="134" t="str">
        <f>'[4]5.Neuropathy'!F109</f>
        <v>55-64</v>
      </c>
      <c r="I116" s="134" t="str">
        <f>'[4]5.Neuropathy'!G109</f>
        <v>65-74</v>
      </c>
      <c r="J116" s="135" t="str">
        <f>'[4]5.Neuropathy'!H109</f>
        <v>75+</v>
      </c>
      <c r="L116" s="130" t="s">
        <v>40</v>
      </c>
      <c r="M116" s="131" t="s">
        <v>139</v>
      </c>
    </row>
    <row r="117" spans="1:13" x14ac:dyDescent="0.2">
      <c r="A117" s="33" t="str">
        <f>'[4]5.Neuropathy'!A110</f>
        <v xml:space="preserve">0-4     </v>
      </c>
      <c r="B117" s="91">
        <f>D102</f>
        <v>0</v>
      </c>
      <c r="C117" s="91">
        <f>F102</f>
        <v>0</v>
      </c>
      <c r="D117" s="28"/>
      <c r="E117" s="28"/>
      <c r="F117" s="28"/>
      <c r="G117" s="28"/>
      <c r="H117" s="28"/>
      <c r="I117" s="28"/>
      <c r="J117" s="29"/>
      <c r="L117" s="117" t="s">
        <v>142</v>
      </c>
      <c r="M117" s="121">
        <f>D127+E127/3</f>
        <v>0.52464447004444437</v>
      </c>
    </row>
    <row r="118" spans="1:13" x14ac:dyDescent="0.2">
      <c r="A118" s="33" t="str">
        <f>'[4]5.Neuropathy'!A111</f>
        <v>5-14</v>
      </c>
      <c r="B118" s="28"/>
      <c r="C118" s="91">
        <f>D103</f>
        <v>0</v>
      </c>
      <c r="D118" s="91">
        <f>F103</f>
        <v>0</v>
      </c>
      <c r="E118" s="28"/>
      <c r="F118" s="28"/>
      <c r="G118" s="28"/>
      <c r="H118" s="28"/>
      <c r="I118" s="28"/>
      <c r="J118" s="29"/>
      <c r="L118" s="117" t="s">
        <v>143</v>
      </c>
      <c r="M118" s="121">
        <f>E127/3+F127*2/3</f>
        <v>1.5291945166222225</v>
      </c>
    </row>
    <row r="119" spans="1:13" x14ac:dyDescent="0.2">
      <c r="A119" s="33" t="str">
        <f>'[4]5.Neuropathy'!A112</f>
        <v>15-24</v>
      </c>
      <c r="B119" s="28"/>
      <c r="C119" s="28"/>
      <c r="D119" s="91">
        <f>D104</f>
        <v>0.16153599999999999</v>
      </c>
      <c r="E119" s="91">
        <f>F104</f>
        <v>0.84806399999999993</v>
      </c>
      <c r="F119" s="28"/>
      <c r="G119" s="28"/>
      <c r="H119" s="28"/>
      <c r="I119" s="28"/>
      <c r="J119" s="29"/>
      <c r="L119" s="117" t="s">
        <v>144</v>
      </c>
      <c r="M119" s="121">
        <f>G127+H127/3</f>
        <v>4.2980230417777783</v>
      </c>
    </row>
    <row r="120" spans="1:13" x14ac:dyDescent="0.2">
      <c r="A120" s="33" t="str">
        <f>'[4]5.Neuropathy'!A113</f>
        <v>25-34</v>
      </c>
      <c r="B120" s="28"/>
      <c r="C120" s="28"/>
      <c r="D120" s="28"/>
      <c r="E120" s="91">
        <f>D105</f>
        <v>0.24126141013333335</v>
      </c>
      <c r="F120" s="91">
        <f>F105</f>
        <v>1.2666224032000002</v>
      </c>
      <c r="G120" s="28"/>
      <c r="H120" s="28"/>
      <c r="I120" s="28"/>
      <c r="J120" s="29"/>
      <c r="L120" s="117" t="s">
        <v>145</v>
      </c>
      <c r="M120" s="121">
        <f>(H127+I127)/2</f>
        <v>3.2029054606666669</v>
      </c>
    </row>
    <row r="121" spans="1:13" x14ac:dyDescent="0.2">
      <c r="A121" s="33" t="str">
        <f>'[4]5.Neuropathy'!A114</f>
        <v>35-44</v>
      </c>
      <c r="B121" s="28"/>
      <c r="C121" s="28"/>
      <c r="D121" s="28"/>
      <c r="E121" s="28"/>
      <c r="F121" s="91">
        <f>D106</f>
        <v>0.48250666666666675</v>
      </c>
      <c r="G121" s="91">
        <f>F106</f>
        <v>2.5331600000000005</v>
      </c>
      <c r="H121" s="28"/>
      <c r="I121" s="28"/>
      <c r="J121" s="29"/>
      <c r="L121" s="117" t="s">
        <v>146</v>
      </c>
      <c r="M121" s="121">
        <f>(I127+J127)/2</f>
        <v>2.6203638250000001</v>
      </c>
    </row>
    <row r="122" spans="1:13" x14ac:dyDescent="0.2">
      <c r="A122" s="33" t="str">
        <f>'[4]5.Neuropathy'!A115</f>
        <v>45-54</v>
      </c>
      <c r="B122" s="28"/>
      <c r="C122" s="28"/>
      <c r="D122" s="28"/>
      <c r="E122" s="28"/>
      <c r="F122" s="28"/>
      <c r="G122" s="91">
        <f>D107</f>
        <v>0.58250666666666651</v>
      </c>
      <c r="H122" s="91">
        <f>F107</f>
        <v>3.0581599999999995</v>
      </c>
      <c r="I122" s="28"/>
      <c r="J122" s="29"/>
      <c r="L122" s="30" t="s">
        <v>157</v>
      </c>
      <c r="M122" s="141">
        <f>J127</f>
        <v>2.3819858539999998</v>
      </c>
    </row>
    <row r="123" spans="1:13" x14ac:dyDescent="0.2">
      <c r="A123" s="33" t="str">
        <f>'[4]5.Neuropathy'!A116</f>
        <v>55-64</v>
      </c>
      <c r="B123" s="28"/>
      <c r="C123" s="28"/>
      <c r="D123" s="28"/>
      <c r="E123" s="28"/>
      <c r="F123" s="28"/>
      <c r="G123" s="28"/>
      <c r="H123" s="91">
        <f>D108</f>
        <v>0.48890912533333336</v>
      </c>
      <c r="I123" s="91">
        <f>F108</f>
        <v>2.5667729080000004</v>
      </c>
      <c r="J123" s="29"/>
    </row>
    <row r="124" spans="1:13" x14ac:dyDescent="0.2">
      <c r="A124" s="33" t="str">
        <f>'[4]5.Neuropathy'!A117</f>
        <v>65-74</v>
      </c>
      <c r="B124" s="28"/>
      <c r="C124" s="28"/>
      <c r="D124" s="28"/>
      <c r="E124" s="28"/>
      <c r="F124" s="28"/>
      <c r="G124" s="28"/>
      <c r="H124" s="28"/>
      <c r="I124" s="91">
        <f>D109</f>
        <v>0.29196888799999998</v>
      </c>
      <c r="J124" s="87">
        <f>F109</f>
        <v>1.532836662</v>
      </c>
    </row>
    <row r="125" spans="1:13" x14ac:dyDescent="0.2">
      <c r="A125" s="27" t="str">
        <f>'[4]5.Neuropathy'!A118</f>
        <v>75+</v>
      </c>
      <c r="B125" s="28"/>
      <c r="C125" s="28"/>
      <c r="D125" s="28"/>
      <c r="E125" s="28"/>
      <c r="F125" s="28"/>
      <c r="G125" s="28"/>
      <c r="H125" s="28"/>
      <c r="I125" s="28"/>
      <c r="J125" s="87">
        <f>D110</f>
        <v>0.84914919199999994</v>
      </c>
    </row>
    <row r="126" spans="1:13" x14ac:dyDescent="0.2">
      <c r="A126" s="27"/>
      <c r="B126" s="28"/>
      <c r="C126" s="28"/>
      <c r="D126" s="28"/>
      <c r="E126" s="28"/>
      <c r="F126" s="28"/>
      <c r="G126" s="28"/>
      <c r="H126" s="28"/>
      <c r="I126" s="28"/>
      <c r="J126" s="29"/>
    </row>
    <row r="127" spans="1:13" x14ac:dyDescent="0.2">
      <c r="A127" s="30" t="s">
        <v>138</v>
      </c>
      <c r="B127" s="132">
        <f>SUM(B117:B125)</f>
        <v>0</v>
      </c>
      <c r="C127" s="132">
        <f t="shared" ref="C127:I127" si="18">SUM(C117:C125)</f>
        <v>0</v>
      </c>
      <c r="D127" s="132">
        <f t="shared" si="18"/>
        <v>0.16153599999999999</v>
      </c>
      <c r="E127" s="132">
        <f t="shared" si="18"/>
        <v>1.0893254101333332</v>
      </c>
      <c r="F127" s="132">
        <f t="shared" si="18"/>
        <v>1.7491290698666671</v>
      </c>
      <c r="G127" s="132">
        <f t="shared" si="18"/>
        <v>3.1156666666666668</v>
      </c>
      <c r="H127" s="132">
        <f t="shared" si="18"/>
        <v>3.5470691253333331</v>
      </c>
      <c r="I127" s="132">
        <f t="shared" si="18"/>
        <v>2.8587417960000003</v>
      </c>
      <c r="J127" s="129">
        <f>SUM(J117:J125)</f>
        <v>2.3819858539999998</v>
      </c>
    </row>
    <row r="129" spans="1:13" x14ac:dyDescent="0.2">
      <c r="A129" s="23" t="s">
        <v>140</v>
      </c>
    </row>
    <row r="130" spans="1:13" x14ac:dyDescent="0.2">
      <c r="A130" s="52" t="str">
        <f t="shared" ref="A130:J130" si="19">A116</f>
        <v>อายุ</v>
      </c>
      <c r="B130" s="134" t="str">
        <f t="shared" si="19"/>
        <v xml:space="preserve">0-4     </v>
      </c>
      <c r="C130" s="134" t="str">
        <f t="shared" si="19"/>
        <v>5-14</v>
      </c>
      <c r="D130" s="134" t="str">
        <f t="shared" si="19"/>
        <v>15-24</v>
      </c>
      <c r="E130" s="134" t="str">
        <f t="shared" si="19"/>
        <v>25-34</v>
      </c>
      <c r="F130" s="134" t="str">
        <f t="shared" si="19"/>
        <v>35-44</v>
      </c>
      <c r="G130" s="134" t="str">
        <f t="shared" si="19"/>
        <v>45-54</v>
      </c>
      <c r="H130" s="134" t="str">
        <f t="shared" si="19"/>
        <v>55-64</v>
      </c>
      <c r="I130" s="134" t="str">
        <f t="shared" si="19"/>
        <v>65-74</v>
      </c>
      <c r="J130" s="135" t="str">
        <f t="shared" si="19"/>
        <v>75+</v>
      </c>
      <c r="L130" s="130" t="s">
        <v>40</v>
      </c>
      <c r="M130" s="131" t="s">
        <v>139</v>
      </c>
    </row>
    <row r="131" spans="1:13" x14ac:dyDescent="0.2">
      <c r="A131" s="133" t="str">
        <f t="shared" ref="A131" si="20">A117</f>
        <v xml:space="preserve">0-4     </v>
      </c>
      <c r="B131" s="91">
        <f>E102</f>
        <v>0</v>
      </c>
      <c r="C131" s="91">
        <f>G102</f>
        <v>0</v>
      </c>
      <c r="D131" s="28"/>
      <c r="E131" s="28"/>
      <c r="F131" s="28"/>
      <c r="G131" s="28"/>
      <c r="H131" s="28"/>
      <c r="I131" s="28"/>
      <c r="J131" s="29"/>
      <c r="L131" s="117" t="s">
        <v>142</v>
      </c>
      <c r="M131" s="121">
        <f>D141+E141/3</f>
        <v>0.93630760248888878</v>
      </c>
    </row>
    <row r="132" spans="1:13" x14ac:dyDescent="0.2">
      <c r="A132" s="133" t="str">
        <f t="shared" ref="A132" si="21">A118</f>
        <v>5-14</v>
      </c>
      <c r="B132" s="28"/>
      <c r="C132" s="91">
        <f>E103</f>
        <v>0</v>
      </c>
      <c r="D132" s="91">
        <f>G103</f>
        <v>0</v>
      </c>
      <c r="E132" s="28"/>
      <c r="F132" s="28"/>
      <c r="G132" s="28"/>
      <c r="H132" s="28"/>
      <c r="I132" s="28"/>
      <c r="J132" s="29"/>
      <c r="L132" s="117" t="s">
        <v>143</v>
      </c>
      <c r="M132" s="121">
        <f>E141/3+F141*2/3</f>
        <v>1.3176423175111109</v>
      </c>
    </row>
    <row r="133" spans="1:13" x14ac:dyDescent="0.2">
      <c r="A133" s="133" t="str">
        <f t="shared" ref="A133" si="22">A119</f>
        <v>15-24</v>
      </c>
      <c r="B133" s="28"/>
      <c r="C133" s="28"/>
      <c r="D133" s="91">
        <f>E104</f>
        <v>0.32281599999999994</v>
      </c>
      <c r="E133" s="91">
        <f>G104</f>
        <v>1.6947839999999996</v>
      </c>
      <c r="F133" s="28"/>
      <c r="G133" s="28"/>
      <c r="H133" s="28"/>
      <c r="I133" s="28"/>
      <c r="J133" s="29"/>
      <c r="L133" s="117" t="s">
        <v>144</v>
      </c>
      <c r="M133" s="121">
        <f>G141+H141/3</f>
        <v>3.8593553848888895</v>
      </c>
    </row>
    <row r="134" spans="1:13" x14ac:dyDescent="0.2">
      <c r="A134" s="133" t="str">
        <f t="shared" ref="A134" si="23">A120</f>
        <v>25-34</v>
      </c>
      <c r="B134" s="28"/>
      <c r="C134" s="28"/>
      <c r="D134" s="28"/>
      <c r="E134" s="91">
        <f>E105</f>
        <v>0.14569080746666666</v>
      </c>
      <c r="F134" s="91">
        <f>G105</f>
        <v>0.76487673919999999</v>
      </c>
      <c r="G134" s="28"/>
      <c r="H134" s="28"/>
      <c r="I134" s="28"/>
      <c r="J134" s="29"/>
      <c r="L134" s="117" t="s">
        <v>145</v>
      </c>
      <c r="M134" s="121">
        <f>(H141+I141)/2</f>
        <v>6.1369944213333341</v>
      </c>
    </row>
    <row r="135" spans="1:13" x14ac:dyDescent="0.2">
      <c r="A135" s="133" t="str">
        <f t="shared" ref="A135" si="24">A121</f>
        <v>35-44</v>
      </c>
      <c r="B135" s="28"/>
      <c r="C135" s="28"/>
      <c r="D135" s="28"/>
      <c r="E135" s="28"/>
      <c r="F135" s="91">
        <f>E106</f>
        <v>0.29134933333333335</v>
      </c>
      <c r="G135" s="91">
        <f>G106</f>
        <v>1.5295840000000001</v>
      </c>
      <c r="H135" s="28"/>
      <c r="I135" s="28"/>
      <c r="J135" s="29"/>
      <c r="L135" s="117" t="s">
        <v>146</v>
      </c>
      <c r="M135" s="121">
        <f>(I141+J141)/2</f>
        <v>4.806124026</v>
      </c>
    </row>
    <row r="136" spans="1:13" x14ac:dyDescent="0.2">
      <c r="A136" s="133" t="str">
        <f t="shared" ref="A136" si="25">A122</f>
        <v>45-54</v>
      </c>
      <c r="B136" s="28"/>
      <c r="C136" s="28"/>
      <c r="D136" s="28"/>
      <c r="E136" s="28"/>
      <c r="F136" s="28"/>
      <c r="G136" s="91">
        <f>E107</f>
        <v>0.68309333333333333</v>
      </c>
      <c r="H136" s="91">
        <f>G107</f>
        <v>3.5862400000000005</v>
      </c>
      <c r="I136" s="28"/>
      <c r="J136" s="29"/>
      <c r="L136" s="30" t="s">
        <v>157</v>
      </c>
      <c r="M136" s="141">
        <f>J141</f>
        <v>2.278293364</v>
      </c>
    </row>
    <row r="137" spans="1:13" x14ac:dyDescent="0.2">
      <c r="A137" s="133" t="str">
        <f t="shared" ref="A137" si="26">A123</f>
        <v>55-64</v>
      </c>
      <c r="B137" s="28"/>
      <c r="C137" s="28"/>
      <c r="D137" s="28"/>
      <c r="E137" s="28"/>
      <c r="F137" s="28"/>
      <c r="G137" s="28"/>
      <c r="H137" s="91">
        <f>E108</f>
        <v>1.3537941546666665</v>
      </c>
      <c r="I137" s="91">
        <f>G108</f>
        <v>7.1074193120000002</v>
      </c>
      <c r="J137" s="29"/>
    </row>
    <row r="138" spans="1:13" x14ac:dyDescent="0.2">
      <c r="A138" s="133" t="str">
        <f t="shared" ref="A138" si="27">A124</f>
        <v>65-74</v>
      </c>
      <c r="B138" s="28"/>
      <c r="C138" s="28"/>
      <c r="D138" s="28"/>
      <c r="E138" s="28"/>
      <c r="F138" s="28"/>
      <c r="G138" s="28"/>
      <c r="H138" s="28"/>
      <c r="I138" s="91">
        <f>E109</f>
        <v>0.22653537600000001</v>
      </c>
      <c r="J138" s="87">
        <f>G109</f>
        <v>1.189310724</v>
      </c>
    </row>
    <row r="139" spans="1:13" x14ac:dyDescent="0.2">
      <c r="A139" s="133" t="str">
        <f t="shared" ref="A139" si="28">A125</f>
        <v>75+</v>
      </c>
      <c r="B139" s="28"/>
      <c r="C139" s="28"/>
      <c r="D139" s="28"/>
      <c r="E139" s="28"/>
      <c r="F139" s="28"/>
      <c r="G139" s="28"/>
      <c r="H139" s="28"/>
      <c r="I139" s="28"/>
      <c r="J139" s="87">
        <f>E110</f>
        <v>1.08898264</v>
      </c>
    </row>
    <row r="140" spans="1:13" s="22" customFormat="1" x14ac:dyDescent="0.2">
      <c r="A140" s="133"/>
      <c r="B140" s="28"/>
      <c r="C140" s="28"/>
      <c r="D140" s="28"/>
      <c r="E140" s="28"/>
      <c r="F140" s="28"/>
      <c r="G140" s="28"/>
      <c r="H140" s="28"/>
      <c r="I140" s="28"/>
      <c r="J140" s="87"/>
    </row>
    <row r="141" spans="1:13" x14ac:dyDescent="0.2">
      <c r="A141" s="30" t="s">
        <v>138</v>
      </c>
      <c r="B141" s="132">
        <f>SUM(B131:B139)</f>
        <v>0</v>
      </c>
      <c r="C141" s="132">
        <f t="shared" ref="C141:J141" si="29">SUM(C131:C139)</f>
        <v>0</v>
      </c>
      <c r="D141" s="132">
        <f t="shared" si="29"/>
        <v>0.32281599999999994</v>
      </c>
      <c r="E141" s="132">
        <f t="shared" si="29"/>
        <v>1.8404748074666664</v>
      </c>
      <c r="F141" s="132">
        <f t="shared" si="29"/>
        <v>1.0562260725333332</v>
      </c>
      <c r="G141" s="132">
        <f t="shared" si="29"/>
        <v>2.2126773333333336</v>
      </c>
      <c r="H141" s="132">
        <f t="shared" si="29"/>
        <v>4.9400341546666668</v>
      </c>
      <c r="I141" s="132">
        <f t="shared" si="29"/>
        <v>7.3339546880000004</v>
      </c>
      <c r="J141" s="129">
        <f t="shared" si="29"/>
        <v>2.278293364</v>
      </c>
      <c r="L141" s="22" t="s">
        <v>23</v>
      </c>
    </row>
    <row r="144" spans="1:13" x14ac:dyDescent="0.2">
      <c r="A144" s="23" t="s">
        <v>158</v>
      </c>
    </row>
    <row r="146" spans="1:11" x14ac:dyDescent="0.2">
      <c r="A146" s="24" t="s">
        <v>40</v>
      </c>
      <c r="B146" s="470" t="s">
        <v>150</v>
      </c>
      <c r="C146" s="471"/>
      <c r="D146" s="472"/>
      <c r="E146" s="470" t="s">
        <v>151</v>
      </c>
      <c r="F146" s="471"/>
      <c r="G146" s="472"/>
    </row>
    <row r="147" spans="1:11" x14ac:dyDescent="0.2">
      <c r="A147" s="27"/>
      <c r="B147" s="137" t="s">
        <v>152</v>
      </c>
      <c r="C147" s="142" t="s">
        <v>148</v>
      </c>
      <c r="D147" s="150" t="s">
        <v>149</v>
      </c>
      <c r="E147" s="120" t="s">
        <v>152</v>
      </c>
      <c r="F147" s="142" t="s">
        <v>148</v>
      </c>
      <c r="G147" s="150" t="s">
        <v>149</v>
      </c>
    </row>
    <row r="148" spans="1:11" x14ac:dyDescent="0.2">
      <c r="A148" s="33" t="s">
        <v>12</v>
      </c>
      <c r="B148" s="136">
        <f t="shared" ref="B148:B153" si="30">M117</f>
        <v>0.52464447004444437</v>
      </c>
      <c r="C148" s="143">
        <f>B148*2/3</f>
        <v>0.34976298002962958</v>
      </c>
      <c r="D148" s="151">
        <f>B148-C148</f>
        <v>0.17488149001481479</v>
      </c>
      <c r="E148" s="101">
        <f t="shared" ref="E148:E153" si="31">M131</f>
        <v>0.93630760248888878</v>
      </c>
      <c r="F148" s="143">
        <f>E148*2/3</f>
        <v>0.62420506832592582</v>
      </c>
      <c r="G148" s="151">
        <f>E148-F148</f>
        <v>0.31210253416296296</v>
      </c>
      <c r="J148" s="22" t="s">
        <v>23</v>
      </c>
    </row>
    <row r="149" spans="1:11" x14ac:dyDescent="0.2">
      <c r="A149" s="33" t="s">
        <v>13</v>
      </c>
      <c r="B149" s="136">
        <f t="shared" si="30"/>
        <v>1.5291945166222225</v>
      </c>
      <c r="C149" s="143">
        <f t="shared" ref="C149:C153" si="32">B149*2/3</f>
        <v>1.0194630110814817</v>
      </c>
      <c r="D149" s="151">
        <f t="shared" ref="D149:D153" si="33">B149-C149</f>
        <v>0.50973150554074076</v>
      </c>
      <c r="E149" s="101">
        <f t="shared" si="31"/>
        <v>1.3176423175111109</v>
      </c>
      <c r="F149" s="143">
        <f t="shared" ref="F149:F153" si="34">E149*2/3</f>
        <v>0.87842821167407392</v>
      </c>
      <c r="G149" s="151">
        <f t="shared" ref="G149:G153" si="35">E149-F149</f>
        <v>0.43921410583703702</v>
      </c>
    </row>
    <row r="150" spans="1:11" x14ac:dyDescent="0.2">
      <c r="A150" s="33" t="s">
        <v>14</v>
      </c>
      <c r="B150" s="136">
        <f t="shared" si="30"/>
        <v>4.2980230417777783</v>
      </c>
      <c r="C150" s="143">
        <f t="shared" si="32"/>
        <v>2.8653486945185187</v>
      </c>
      <c r="D150" s="151">
        <f t="shared" si="33"/>
        <v>1.4326743472592596</v>
      </c>
      <c r="E150" s="101">
        <f t="shared" si="31"/>
        <v>3.8593553848888895</v>
      </c>
      <c r="F150" s="143">
        <f t="shared" si="34"/>
        <v>2.5729035899259265</v>
      </c>
      <c r="G150" s="151">
        <f t="shared" si="35"/>
        <v>1.286451794962963</v>
      </c>
      <c r="K150" s="22" t="s">
        <v>23</v>
      </c>
    </row>
    <row r="151" spans="1:11" x14ac:dyDescent="0.2">
      <c r="A151" s="33" t="s">
        <v>15</v>
      </c>
      <c r="B151" s="136">
        <f t="shared" si="30"/>
        <v>3.2029054606666669</v>
      </c>
      <c r="C151" s="143">
        <f t="shared" si="32"/>
        <v>2.1352703071111114</v>
      </c>
      <c r="D151" s="151">
        <f t="shared" si="33"/>
        <v>1.0676351535555555</v>
      </c>
      <c r="E151" s="101">
        <f t="shared" si="31"/>
        <v>6.1369944213333341</v>
      </c>
      <c r="F151" s="143">
        <f t="shared" si="34"/>
        <v>4.0913296142222224</v>
      </c>
      <c r="G151" s="151">
        <f t="shared" si="35"/>
        <v>2.0456648071111116</v>
      </c>
    </row>
    <row r="152" spans="1:11" x14ac:dyDescent="0.2">
      <c r="A152" s="33" t="s">
        <v>16</v>
      </c>
      <c r="B152" s="136">
        <f t="shared" si="30"/>
        <v>2.6203638250000001</v>
      </c>
      <c r="C152" s="143">
        <f t="shared" si="32"/>
        <v>1.7469092166666667</v>
      </c>
      <c r="D152" s="151">
        <f t="shared" si="33"/>
        <v>0.87345460833333344</v>
      </c>
      <c r="E152" s="101">
        <f t="shared" si="31"/>
        <v>4.806124026</v>
      </c>
      <c r="F152" s="143">
        <f t="shared" si="34"/>
        <v>3.2040826839999998</v>
      </c>
      <c r="G152" s="151">
        <f t="shared" si="35"/>
        <v>1.6020413420000001</v>
      </c>
    </row>
    <row r="153" spans="1:11" x14ac:dyDescent="0.2">
      <c r="A153" s="33" t="s">
        <v>17</v>
      </c>
      <c r="B153" s="136">
        <f t="shared" si="30"/>
        <v>2.3819858539999998</v>
      </c>
      <c r="C153" s="143">
        <f t="shared" si="32"/>
        <v>1.5879905693333332</v>
      </c>
      <c r="D153" s="151">
        <f t="shared" si="33"/>
        <v>0.79399528466666669</v>
      </c>
      <c r="E153" s="101">
        <f t="shared" si="31"/>
        <v>2.278293364</v>
      </c>
      <c r="F153" s="143">
        <f t="shared" si="34"/>
        <v>1.5188622426666667</v>
      </c>
      <c r="G153" s="151">
        <f t="shared" si="35"/>
        <v>0.75943112133333335</v>
      </c>
    </row>
    <row r="154" spans="1:11" x14ac:dyDescent="0.2">
      <c r="A154" s="30"/>
      <c r="B154" s="30"/>
      <c r="C154" s="144"/>
      <c r="D154" s="152"/>
      <c r="E154" s="31"/>
      <c r="F154" s="144"/>
      <c r="G154" s="152"/>
    </row>
  </sheetData>
  <mergeCells count="19">
    <mergeCell ref="B146:D146"/>
    <mergeCell ref="E146:G146"/>
    <mergeCell ref="F42:G42"/>
    <mergeCell ref="D41:G41"/>
    <mergeCell ref="B86:D86"/>
    <mergeCell ref="E86:G86"/>
    <mergeCell ref="B4:C4"/>
    <mergeCell ref="D4:E4"/>
    <mergeCell ref="A4:A5"/>
    <mergeCell ref="B18:C18"/>
    <mergeCell ref="D18:E18"/>
    <mergeCell ref="A41:A43"/>
    <mergeCell ref="B41:C42"/>
    <mergeCell ref="D42:E42"/>
    <mergeCell ref="A99:A101"/>
    <mergeCell ref="B99:C100"/>
    <mergeCell ref="D99:G99"/>
    <mergeCell ref="D100:E100"/>
    <mergeCell ref="F100:G100"/>
  </mergeCells>
  <pageMargins left="0.7" right="0.7" top="0.75" bottom="0.75" header="0.3" footer="0.3"/>
  <pageSetup paperSize="9" orientation="portrait" verticalDpi="0" r:id="rId1"/>
  <drawing r:id="rId2"/>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129"/>
  <sheetViews>
    <sheetView topLeftCell="A33" workbookViewId="0">
      <selection activeCell="C51" sqref="C51"/>
    </sheetView>
  </sheetViews>
  <sheetFormatPr baseColWidth="10" defaultColWidth="9" defaultRowHeight="15" x14ac:dyDescent="0.2"/>
  <cols>
    <col min="1" max="1" width="17.83203125" style="22" customWidth="1"/>
    <col min="2" max="2" width="19.5" style="22" customWidth="1"/>
    <col min="3" max="3" width="12.33203125" style="22" customWidth="1"/>
    <col min="4" max="4" width="12.6640625" style="22" customWidth="1"/>
    <col min="5" max="5" width="10.6640625" style="22" customWidth="1"/>
    <col min="6" max="6" width="11.83203125" style="22" customWidth="1"/>
    <col min="7" max="7" width="14.33203125" style="22" customWidth="1"/>
    <col min="8" max="8" width="8.5" style="22" customWidth="1"/>
    <col min="9" max="10" width="9" style="22"/>
    <col min="11" max="11" width="17.33203125" style="22" customWidth="1"/>
    <col min="12" max="12" width="17.5" style="22" customWidth="1"/>
    <col min="13" max="16384" width="9" style="22"/>
  </cols>
  <sheetData>
    <row r="1" spans="1:10" x14ac:dyDescent="0.2">
      <c r="A1" s="420" t="s">
        <v>165</v>
      </c>
      <c r="B1" s="420"/>
      <c r="C1" s="420"/>
      <c r="D1" s="420"/>
      <c r="E1" s="420"/>
    </row>
    <row r="2" spans="1:10" x14ac:dyDescent="0.2">
      <c r="A2" s="420" t="s">
        <v>0</v>
      </c>
      <c r="B2" s="420"/>
      <c r="C2" s="420"/>
      <c r="D2" s="420"/>
      <c r="E2" s="420"/>
    </row>
    <row r="3" spans="1:10" x14ac:dyDescent="0.2">
      <c r="A3" s="420" t="s">
        <v>50</v>
      </c>
      <c r="B3" s="420"/>
      <c r="C3" s="420"/>
      <c r="D3" s="420"/>
      <c r="E3" s="420"/>
    </row>
    <row r="4" spans="1:10" x14ac:dyDescent="0.2">
      <c r="A4" s="420" t="s">
        <v>166</v>
      </c>
      <c r="B4" s="420"/>
      <c r="C4" s="420"/>
      <c r="D4" s="420"/>
      <c r="E4" s="420"/>
    </row>
    <row r="5" spans="1:10" x14ac:dyDescent="0.2">
      <c r="A5" s="420" t="s">
        <v>46</v>
      </c>
      <c r="B5" s="420"/>
      <c r="C5" s="420"/>
      <c r="D5" s="420"/>
      <c r="E5" s="420"/>
    </row>
    <row r="6" spans="1:10" x14ac:dyDescent="0.2">
      <c r="A6" s="420" t="s">
        <v>1</v>
      </c>
      <c r="B6" s="420"/>
      <c r="C6" s="420"/>
      <c r="D6" s="420"/>
      <c r="E6" s="420"/>
    </row>
    <row r="7" spans="1:10" x14ac:dyDescent="0.2">
      <c r="A7" s="2"/>
      <c r="B7" s="2"/>
      <c r="C7" s="2"/>
      <c r="D7" s="2"/>
      <c r="E7" s="2"/>
    </row>
    <row r="8" spans="1:10" x14ac:dyDescent="0.2">
      <c r="A8" s="23" t="s">
        <v>2</v>
      </c>
    </row>
    <row r="10" spans="1:10" x14ac:dyDescent="0.2">
      <c r="A10" s="44" t="s">
        <v>3</v>
      </c>
      <c r="B10" s="65" t="s">
        <v>4</v>
      </c>
      <c r="C10" s="415" t="s">
        <v>41</v>
      </c>
      <c r="D10" s="416"/>
      <c r="E10" s="417"/>
      <c r="F10" s="49"/>
      <c r="G10" s="49"/>
    </row>
    <row r="11" spans="1:10" x14ac:dyDescent="0.2">
      <c r="A11" s="52"/>
      <c r="B11" s="66"/>
      <c r="C11" s="241" t="s">
        <v>254</v>
      </c>
      <c r="D11" s="49"/>
      <c r="E11" s="51"/>
      <c r="F11" s="49"/>
      <c r="G11" s="49"/>
    </row>
    <row r="12" spans="1:10" x14ac:dyDescent="0.2">
      <c r="A12" s="30"/>
      <c r="B12" s="68"/>
      <c r="C12" s="30"/>
      <c r="D12" s="31"/>
      <c r="E12" s="32"/>
      <c r="F12" s="28"/>
      <c r="G12" s="28"/>
    </row>
    <row r="14" spans="1:10" x14ac:dyDescent="0.2">
      <c r="A14" s="23" t="s">
        <v>5</v>
      </c>
      <c r="E14" s="28"/>
    </row>
    <row r="15" spans="1:10" x14ac:dyDescent="0.2">
      <c r="A15" s="23"/>
      <c r="B15" s="23"/>
      <c r="E15" s="28"/>
      <c r="F15" s="28"/>
      <c r="G15" s="28"/>
      <c r="H15" s="28"/>
      <c r="I15" s="28"/>
      <c r="J15" s="28"/>
    </row>
    <row r="16" spans="1:10" x14ac:dyDescent="0.2">
      <c r="A16" s="65" t="s">
        <v>4</v>
      </c>
      <c r="B16" s="43" t="s">
        <v>30</v>
      </c>
      <c r="C16" s="54" t="s">
        <v>6</v>
      </c>
    </row>
    <row r="17" spans="1:10" x14ac:dyDescent="0.2">
      <c r="A17" s="66"/>
      <c r="B17" s="55"/>
      <c r="C17" s="418"/>
    </row>
    <row r="18" spans="1:10" x14ac:dyDescent="0.2">
      <c r="A18" s="67"/>
      <c r="B18" s="41"/>
      <c r="C18" s="419"/>
      <c r="E18" s="22" t="s">
        <v>23</v>
      </c>
    </row>
    <row r="19" spans="1:10" x14ac:dyDescent="0.2">
      <c r="A19" s="53"/>
      <c r="B19" s="5"/>
      <c r="C19" s="32"/>
    </row>
    <row r="20" spans="1:10" x14ac:dyDescent="0.2">
      <c r="A20" s="92"/>
      <c r="B20" s="28"/>
      <c r="C20" s="28"/>
    </row>
    <row r="22" spans="1:10" x14ac:dyDescent="0.2">
      <c r="A22" s="23" t="s">
        <v>8</v>
      </c>
    </row>
    <row r="23" spans="1:10" x14ac:dyDescent="0.2">
      <c r="A23" s="23"/>
    </row>
    <row r="24" spans="1:10" x14ac:dyDescent="0.2">
      <c r="A24" s="436" t="s">
        <v>4</v>
      </c>
      <c r="B24" s="411" t="s">
        <v>81</v>
      </c>
      <c r="C24" s="429" t="s">
        <v>9</v>
      </c>
      <c r="D24" s="430"/>
      <c r="E24" s="421" t="s">
        <v>6</v>
      </c>
    </row>
    <row r="25" spans="1:10" x14ac:dyDescent="0.2">
      <c r="A25" s="437"/>
      <c r="B25" s="412"/>
      <c r="C25" s="94" t="s">
        <v>108</v>
      </c>
      <c r="D25" s="94" t="s">
        <v>109</v>
      </c>
      <c r="E25" s="422"/>
    </row>
    <row r="26" spans="1:10" x14ac:dyDescent="0.2">
      <c r="A26" s="124"/>
      <c r="B26" s="171"/>
      <c r="C26" s="172"/>
      <c r="D26" s="172"/>
      <c r="E26" s="173"/>
    </row>
    <row r="27" spans="1:10" x14ac:dyDescent="0.2">
      <c r="A27" s="174"/>
      <c r="B27" s="170"/>
      <c r="C27" s="104"/>
      <c r="D27" s="104"/>
      <c r="E27" s="175"/>
    </row>
    <row r="28" spans="1:10" x14ac:dyDescent="0.2">
      <c r="A28" s="125"/>
      <c r="B28" s="176"/>
      <c r="C28" s="177"/>
      <c r="D28" s="177"/>
      <c r="E28" s="178"/>
    </row>
    <row r="30" spans="1:10" x14ac:dyDescent="0.2">
      <c r="A30" s="9" t="s">
        <v>10</v>
      </c>
    </row>
    <row r="32" spans="1:10" x14ac:dyDescent="0.2">
      <c r="A32" s="24"/>
      <c r="B32" s="25" t="s">
        <v>7</v>
      </c>
      <c r="C32" s="25" t="s">
        <v>11</v>
      </c>
      <c r="D32" s="25" t="s">
        <v>12</v>
      </c>
      <c r="E32" s="25" t="s">
        <v>13</v>
      </c>
      <c r="F32" s="25" t="s">
        <v>14</v>
      </c>
      <c r="G32" s="25" t="s">
        <v>15</v>
      </c>
      <c r="H32" s="25" t="s">
        <v>16</v>
      </c>
      <c r="I32" s="25" t="s">
        <v>17</v>
      </c>
      <c r="J32" s="26" t="s">
        <v>18</v>
      </c>
    </row>
    <row r="33" spans="1:10" x14ac:dyDescent="0.2">
      <c r="A33" s="27" t="s">
        <v>19</v>
      </c>
      <c r="B33" s="28"/>
      <c r="C33" s="28"/>
      <c r="D33" s="28"/>
      <c r="E33" s="28"/>
      <c r="F33" s="28"/>
      <c r="G33" s="28"/>
      <c r="H33" s="28"/>
      <c r="I33" s="28"/>
      <c r="J33" s="29"/>
    </row>
    <row r="34" spans="1:10" x14ac:dyDescent="0.2">
      <c r="A34" s="21" t="s">
        <v>20</v>
      </c>
      <c r="B34" s="28"/>
      <c r="C34" s="28"/>
      <c r="D34" s="28"/>
      <c r="E34" s="28"/>
      <c r="F34" s="28"/>
      <c r="G34" s="28"/>
      <c r="H34" s="28"/>
      <c r="I34" s="28"/>
      <c r="J34" s="29"/>
    </row>
    <row r="35" spans="1:10" x14ac:dyDescent="0.2">
      <c r="A35" s="21" t="s">
        <v>21</v>
      </c>
      <c r="B35" s="28"/>
      <c r="C35" s="28"/>
      <c r="D35" s="28"/>
      <c r="E35" s="28"/>
      <c r="F35" s="28"/>
      <c r="G35" s="28"/>
      <c r="H35" s="28"/>
      <c r="I35" s="28"/>
      <c r="J35" s="29"/>
    </row>
    <row r="36" spans="1:10" x14ac:dyDescent="0.2">
      <c r="A36" s="27" t="s">
        <v>22</v>
      </c>
      <c r="B36" s="28"/>
      <c r="C36" s="28"/>
      <c r="D36" s="28"/>
      <c r="E36" s="28"/>
      <c r="F36" s="28"/>
      <c r="G36" s="28"/>
      <c r="H36" s="28"/>
      <c r="I36" s="28"/>
      <c r="J36" s="29"/>
    </row>
    <row r="37" spans="1:10" x14ac:dyDescent="0.2">
      <c r="A37" s="21" t="s">
        <v>20</v>
      </c>
      <c r="B37" s="28"/>
      <c r="C37" s="28"/>
      <c r="D37" s="28"/>
      <c r="E37" s="28"/>
      <c r="F37" s="28"/>
      <c r="G37" s="28"/>
      <c r="H37" s="28"/>
      <c r="I37" s="28"/>
      <c r="J37" s="29"/>
    </row>
    <row r="38" spans="1:10" x14ac:dyDescent="0.2">
      <c r="A38" s="21" t="s">
        <v>21</v>
      </c>
      <c r="B38" s="28"/>
      <c r="C38" s="28"/>
      <c r="D38" s="28"/>
      <c r="E38" s="28"/>
      <c r="F38" s="28"/>
      <c r="G38" s="28"/>
      <c r="H38" s="28"/>
      <c r="I38" s="28"/>
      <c r="J38" s="29"/>
    </row>
    <row r="39" spans="1:10" x14ac:dyDescent="0.2">
      <c r="A39" s="27"/>
      <c r="B39" s="28"/>
      <c r="C39" s="28"/>
      <c r="D39" s="28" t="s">
        <v>23</v>
      </c>
      <c r="E39" s="28"/>
      <c r="F39" s="28"/>
      <c r="G39" s="28"/>
      <c r="H39" s="28"/>
      <c r="I39" s="28"/>
      <c r="J39" s="29"/>
    </row>
    <row r="40" spans="1:10" x14ac:dyDescent="0.2">
      <c r="A40" s="30"/>
      <c r="B40" s="31"/>
      <c r="C40" s="31"/>
      <c r="D40" s="31"/>
      <c r="E40" s="31"/>
      <c r="F40" s="31"/>
      <c r="G40" s="31"/>
      <c r="H40" s="31"/>
      <c r="I40" s="31"/>
      <c r="J40" s="32"/>
    </row>
    <row r="42" spans="1:10" x14ac:dyDescent="0.2">
      <c r="A42" s="64" t="s">
        <v>24</v>
      </c>
    </row>
    <row r="44" spans="1:10" x14ac:dyDescent="0.2">
      <c r="A44" s="23" t="s">
        <v>36</v>
      </c>
      <c r="H44" s="22" t="s">
        <v>23</v>
      </c>
    </row>
    <row r="45" spans="1:10" x14ac:dyDescent="0.2">
      <c r="A45" s="23" t="s">
        <v>171</v>
      </c>
    </row>
    <row r="46" spans="1:10" x14ac:dyDescent="0.2">
      <c r="A46" s="23"/>
    </row>
    <row r="47" spans="1:10" x14ac:dyDescent="0.2">
      <c r="A47" s="24" t="s">
        <v>25</v>
      </c>
      <c r="B47" s="25" t="s">
        <v>26</v>
      </c>
      <c r="C47" s="35" t="s">
        <v>31</v>
      </c>
      <c r="D47" s="26" t="s">
        <v>31</v>
      </c>
      <c r="F47" s="37" t="s">
        <v>37</v>
      </c>
      <c r="G47" s="38" t="s">
        <v>38</v>
      </c>
    </row>
    <row r="48" spans="1:10" x14ac:dyDescent="0.2">
      <c r="A48" s="30"/>
      <c r="B48" s="31">
        <v>2014</v>
      </c>
      <c r="C48" s="36" t="s">
        <v>32</v>
      </c>
      <c r="D48" s="32" t="s">
        <v>33</v>
      </c>
      <c r="F48" s="39" t="s">
        <v>32</v>
      </c>
      <c r="G48" s="40" t="s">
        <v>39</v>
      </c>
    </row>
    <row r="49" spans="1:7" x14ac:dyDescent="0.2">
      <c r="A49" s="27"/>
      <c r="B49" s="28"/>
      <c r="C49" s="58"/>
      <c r="D49" s="29"/>
      <c r="F49" s="27"/>
      <c r="G49" s="41"/>
    </row>
    <row r="50" spans="1:7" x14ac:dyDescent="0.2">
      <c r="A50" s="48" t="s">
        <v>34</v>
      </c>
      <c r="B50" s="28"/>
      <c r="C50" s="58"/>
      <c r="D50" s="29"/>
      <c r="F50" s="27"/>
      <c r="G50" s="41"/>
    </row>
    <row r="51" spans="1:7" x14ac:dyDescent="0.2">
      <c r="A51" s="33" t="s">
        <v>7</v>
      </c>
      <c r="B51" s="28">
        <f>SUM('[2]Pop 57'!$C$5:$C$6)</f>
        <v>1966319</v>
      </c>
      <c r="C51" s="60">
        <f>'5. Cataract_DATA'!E36*'5. Cataract_DATA'!C8</f>
        <v>0</v>
      </c>
      <c r="D51" s="98">
        <f>'5. Cataract_DATA'!E36*'5. Cataract_DATA'!D8</f>
        <v>0</v>
      </c>
      <c r="F51" s="99">
        <f>'5. Cataract_DATA'!E36*'5. Cataract_DATA'!F8</f>
        <v>0</v>
      </c>
      <c r="G51" s="100">
        <f>'5. Cataract_DATA'!E36*'5. Cataract_DATA'!G8</f>
        <v>0</v>
      </c>
    </row>
    <row r="52" spans="1:7" x14ac:dyDescent="0.2">
      <c r="A52" s="33" t="s">
        <v>11</v>
      </c>
      <c r="B52" s="28">
        <f>SUM('[2]Pop 57'!$C$7:$C$8)</f>
        <v>4179206</v>
      </c>
      <c r="C52" s="60">
        <f>'5. Cataract_DATA'!E37*'5. Cataract_DATA'!C9</f>
        <v>0</v>
      </c>
      <c r="D52" s="98">
        <f>'5. Cataract_DATA'!E37*'5. Cataract_DATA'!D9</f>
        <v>0</v>
      </c>
      <c r="F52" s="99">
        <f>'5. Cataract_DATA'!E37*'5. Cataract_DATA'!F9</f>
        <v>0</v>
      </c>
      <c r="G52" s="100">
        <f>'5. Cataract_DATA'!E37*'5. Cataract_DATA'!G9</f>
        <v>0</v>
      </c>
    </row>
    <row r="53" spans="1:7" x14ac:dyDescent="0.2">
      <c r="A53" s="33" t="s">
        <v>12</v>
      </c>
      <c r="B53" s="28">
        <f>SUM('[2]Pop 57'!$C$9:$C$11)</f>
        <v>7301822</v>
      </c>
      <c r="C53" s="60">
        <f>'5. Cataract_DATA'!E38*'5. Cataract_DATA'!C10</f>
        <v>0</v>
      </c>
      <c r="D53" s="98">
        <f>'5. Cataract_DATA'!E38*'5. Cataract_DATA'!D10</f>
        <v>0</v>
      </c>
      <c r="F53" s="99">
        <f>'5. Cataract_DATA'!E38*'5. Cataract_DATA'!F10</f>
        <v>0</v>
      </c>
      <c r="G53" s="100">
        <f>'5. Cataract_DATA'!E38*'5. Cataract_DATA'!G10</f>
        <v>0</v>
      </c>
    </row>
    <row r="54" spans="1:7" x14ac:dyDescent="0.2">
      <c r="A54" s="33" t="s">
        <v>13</v>
      </c>
      <c r="B54" s="28">
        <f>SUM('[2]Pop 57'!$C$12:$C$14)</f>
        <v>7896765</v>
      </c>
      <c r="C54" s="60">
        <f>'5. Cataract_DATA'!E39*'5. Cataract_DATA'!C11</f>
        <v>24.370905321917402</v>
      </c>
      <c r="D54" s="98">
        <f>'5. Cataract_DATA'!E39*'5. Cataract_DATA'!D11</f>
        <v>22.608727147151438</v>
      </c>
      <c r="F54" s="99">
        <f>'5. Cataract_DATA'!E39*'5. Cataract_DATA'!F11</f>
        <v>25.994896527567228</v>
      </c>
      <c r="G54" s="100">
        <f>'5. Cataract_DATA'!E39*'5. Cataract_DATA'!G11</f>
        <v>73.885927033526613</v>
      </c>
    </row>
    <row r="55" spans="1:7" x14ac:dyDescent="0.2">
      <c r="A55" s="33" t="s">
        <v>14</v>
      </c>
      <c r="B55" s="28">
        <f>SUM('[2]Pop 57'!$C$15:$C$17)</f>
        <v>6554289</v>
      </c>
      <c r="C55" s="60">
        <f>'5. Cataract_DATA'!E40*'5. Cataract_DATA'!C12</f>
        <v>171.71688069135931</v>
      </c>
      <c r="D55" s="98">
        <f>'5. Cataract_DATA'!E40*'5. Cataract_DATA'!D12</f>
        <v>140.30748273294725</v>
      </c>
      <c r="F55" s="99">
        <f>'5. Cataract_DATA'!E40*'5. Cataract_DATA'!F12</f>
        <v>184.77263125015045</v>
      </c>
      <c r="G55" s="100">
        <f>'5. Cataract_DATA'!E40*'5. Cataract_DATA'!G12</f>
        <v>594.33633507929483</v>
      </c>
    </row>
    <row r="56" spans="1:7" x14ac:dyDescent="0.2">
      <c r="A56" s="33" t="s">
        <v>15</v>
      </c>
      <c r="B56" s="28">
        <f>SUM('[2]Pop 57'!$C$18:$C$19)</f>
        <v>2344057</v>
      </c>
      <c r="C56" s="60">
        <f>'5. Cataract_DATA'!E41*'5. Cataract_DATA'!C13</f>
        <v>186.51172466272908</v>
      </c>
      <c r="D56" s="98">
        <f>'5. Cataract_DATA'!E41*'5. Cataract_DATA'!D13</f>
        <v>156.68885494874149</v>
      </c>
      <c r="F56" s="99">
        <f>'5. Cataract_DATA'!E41*'5. Cataract_DATA'!F13</f>
        <v>357.20012163974246</v>
      </c>
      <c r="G56" s="100">
        <f>'5. Cataract_DATA'!E41*'5. Cataract_DATA'!G13</f>
        <v>1086.9036972012589</v>
      </c>
    </row>
    <row r="57" spans="1:7" x14ac:dyDescent="0.2">
      <c r="A57" s="33" t="s">
        <v>16</v>
      </c>
      <c r="B57" s="28">
        <f>SUM('[2]Pop 57'!$C$20:$C$21)</f>
        <v>1173067</v>
      </c>
      <c r="C57" s="60">
        <f>'5. Cataract_DATA'!E42*'5. Cataract_DATA'!C14</f>
        <v>55.631714063662017</v>
      </c>
      <c r="D57" s="98">
        <f>'5. Cataract_DATA'!E42*'5. Cataract_DATA'!D14</f>
        <v>49.79781354016594</v>
      </c>
      <c r="E57" s="22" t="s">
        <v>23</v>
      </c>
      <c r="F57" s="99">
        <f>'5. Cataract_DATA'!E42*'5. Cataract_DATA'!F14</f>
        <v>272.56097197293582</v>
      </c>
      <c r="G57" s="100">
        <f>'5. Cataract_DATA'!E42*'5. Cataract_DATA'!G14</f>
        <v>824.2090962913561</v>
      </c>
    </row>
    <row r="58" spans="1:7" x14ac:dyDescent="0.2">
      <c r="A58" s="33" t="s">
        <v>17</v>
      </c>
      <c r="B58" s="28">
        <f>SUM('[2]Pop 57'!$C$22:$C$26)</f>
        <v>506965</v>
      </c>
      <c r="C58" s="60">
        <f>'5. Cataract_DATA'!E43*'5. Cataract_DATA'!C15</f>
        <v>6.4287904161794867</v>
      </c>
      <c r="D58" s="98">
        <f>'5. Cataract_DATA'!E43*'5. Cataract_DATA'!D15</f>
        <v>6.1910965415834678</v>
      </c>
      <c r="F58" s="99">
        <f>'5. Cataract_DATA'!E43*'5. Cataract_DATA'!F15</f>
        <v>94.751019485264436</v>
      </c>
      <c r="G58" s="100">
        <f>'5. Cataract_DATA'!E43*'5. Cataract_DATA'!G15</f>
        <v>277.39383948144342</v>
      </c>
    </row>
    <row r="59" spans="1:7" x14ac:dyDescent="0.2">
      <c r="A59" s="34" t="s">
        <v>18</v>
      </c>
      <c r="B59" s="28">
        <f>SUM(B51:B58)</f>
        <v>31922490</v>
      </c>
      <c r="C59" s="60">
        <f>SUM(C51:C58)</f>
        <v>444.6600151558473</v>
      </c>
      <c r="D59" s="98">
        <f>SUM(D51:D58)</f>
        <v>375.59397491058957</v>
      </c>
      <c r="F59" s="99">
        <f>SUM(F51:F58)</f>
        <v>935.27964087566045</v>
      </c>
      <c r="G59" s="100">
        <f>SUM(G51:G58)</f>
        <v>2856.7288950868801</v>
      </c>
    </row>
    <row r="60" spans="1:7" x14ac:dyDescent="0.2">
      <c r="A60" s="27"/>
      <c r="B60" s="28"/>
      <c r="C60" s="58"/>
      <c r="D60" s="29"/>
      <c r="F60" s="99"/>
      <c r="G60" s="100"/>
    </row>
    <row r="61" spans="1:7" x14ac:dyDescent="0.2">
      <c r="A61" s="48" t="s">
        <v>35</v>
      </c>
      <c r="B61" s="28"/>
      <c r="C61" s="58"/>
      <c r="D61" s="29"/>
      <c r="F61" s="99"/>
      <c r="G61" s="100"/>
    </row>
    <row r="62" spans="1:7" x14ac:dyDescent="0.2">
      <c r="A62" s="33" t="s">
        <v>7</v>
      </c>
      <c r="B62" s="28">
        <f>SUM('[2]Pop 57'!$D$5:$D$6)</f>
        <v>1849075</v>
      </c>
      <c r="C62" s="60">
        <f>'5. Cataract_DATA'!E47*'5. Cataract_DATA'!C19</f>
        <v>0</v>
      </c>
      <c r="D62" s="98">
        <f>'5. Cataract_DATA'!E47*'5. Cataract_DATA'!D19</f>
        <v>0</v>
      </c>
      <c r="F62" s="99">
        <f>'5. Cataract_DATA'!E47*'5. Cataract_DATA'!F19</f>
        <v>0</v>
      </c>
      <c r="G62" s="100">
        <f>'5. Cataract_DATA'!E47*'5. Cataract_DATA'!G19</f>
        <v>0</v>
      </c>
    </row>
    <row r="63" spans="1:7" x14ac:dyDescent="0.2">
      <c r="A63" s="33" t="s">
        <v>11</v>
      </c>
      <c r="B63" s="28">
        <f>SUM('[2]Pop 57'!$D$7:$D$8)</f>
        <v>3940160</v>
      </c>
      <c r="C63" s="60">
        <f>'5. Cataract_DATA'!E48*'5. Cataract_DATA'!C20</f>
        <v>0</v>
      </c>
      <c r="D63" s="98">
        <f>'5. Cataract_DATA'!E48*'5. Cataract_DATA'!D20</f>
        <v>0</v>
      </c>
      <c r="F63" s="99">
        <f>'5. Cataract_DATA'!E48*'5. Cataract_DATA'!F20</f>
        <v>0</v>
      </c>
      <c r="G63" s="100">
        <f>'5. Cataract_DATA'!E48*'5. Cataract_DATA'!G20</f>
        <v>0</v>
      </c>
    </row>
    <row r="64" spans="1:7" x14ac:dyDescent="0.2">
      <c r="A64" s="33" t="s">
        <v>12</v>
      </c>
      <c r="B64" s="46">
        <f>SUM('[2]Pop 57'!$D$9:$D$11)</f>
        <v>7026158.1752900956</v>
      </c>
      <c r="C64" s="60">
        <f>'5. Cataract_DATA'!E49*'5. Cataract_DATA'!C21</f>
        <v>0</v>
      </c>
      <c r="D64" s="98">
        <f>'5. Cataract_DATA'!E49*'5. Cataract_DATA'!D21</f>
        <v>0</v>
      </c>
      <c r="F64" s="99">
        <f>'5. Cataract_DATA'!E49*'5. Cataract_DATA'!F21</f>
        <v>0</v>
      </c>
      <c r="G64" s="100">
        <f>'5. Cataract_DATA'!E49*'5. Cataract_DATA'!G21</f>
        <v>0</v>
      </c>
    </row>
    <row r="65" spans="1:12" x14ac:dyDescent="0.2">
      <c r="A65" s="33" t="s">
        <v>13</v>
      </c>
      <c r="B65" s="28">
        <f>SUM('[2]Pop 57'!$D$12:$D$14)</f>
        <v>8017814</v>
      </c>
      <c r="C65" s="60">
        <f>'5. Cataract_DATA'!E50*'5. Cataract_DATA'!C22</f>
        <v>22.005657525091436</v>
      </c>
      <c r="D65" s="98">
        <f>'5. Cataract_DATA'!E50*'5. Cataract_DATA'!D22</f>
        <v>17.531152245474434</v>
      </c>
      <c r="F65" s="99">
        <f>'5. Cataract_DATA'!E50*'5. Cataract_DATA'!F22</f>
        <v>28.10346451249713</v>
      </c>
      <c r="G65" s="100">
        <f>'5. Cataract_DATA'!E50*'5. Cataract_DATA'!G22</f>
        <v>96.847610585746295</v>
      </c>
    </row>
    <row r="66" spans="1:12" x14ac:dyDescent="0.2">
      <c r="A66" s="33" t="s">
        <v>14</v>
      </c>
      <c r="B66" s="28">
        <f>SUM('[2]Pop 57'!$D$15:$D$17)</f>
        <v>7162204</v>
      </c>
      <c r="C66" s="60">
        <f>'5. Cataract_DATA'!E51*'5. Cataract_DATA'!C23</f>
        <v>227.51289497326792</v>
      </c>
      <c r="D66" s="98">
        <f>'5. Cataract_DATA'!E51*'5. Cataract_DATA'!D23</f>
        <v>181.98865217443335</v>
      </c>
      <c r="F66" s="99">
        <f>'5. Cataract_DATA'!E51*'5. Cataract_DATA'!F23</f>
        <v>90.603212253773563</v>
      </c>
      <c r="G66" s="100">
        <f>'5. Cataract_DATA'!E51*'5. Cataract_DATA'!G23</f>
        <v>409.09305093682906</v>
      </c>
    </row>
    <row r="67" spans="1:12" x14ac:dyDescent="0.2">
      <c r="A67" s="33" t="s">
        <v>15</v>
      </c>
      <c r="B67" s="46">
        <f>SUM('[2]Pop 57'!$D$18:$D$19)</f>
        <v>2739970.5356088658</v>
      </c>
      <c r="C67" s="60">
        <f>'5. Cataract_DATA'!E52*'5. Cataract_DATA'!C24</f>
        <v>364.61111844753509</v>
      </c>
      <c r="D67" s="98">
        <f>'5. Cataract_DATA'!E52*'5. Cataract_DATA'!D24</f>
        <v>304.96879814254766</v>
      </c>
      <c r="F67" s="99">
        <f>'5. Cataract_DATA'!E52*'5. Cataract_DATA'!F24</f>
        <v>126.63367350970712</v>
      </c>
      <c r="G67" s="100">
        <f>'5. Cataract_DATA'!E52*'5. Cataract_DATA'!G24</f>
        <v>693.31250822756056</v>
      </c>
    </row>
    <row r="68" spans="1:12" x14ac:dyDescent="0.2">
      <c r="A68" s="33" t="s">
        <v>16</v>
      </c>
      <c r="B68" s="46">
        <f>SUM('[2]Pop 57'!$D$20:$D$21)</f>
        <v>1513246</v>
      </c>
      <c r="C68" s="60">
        <f>'5. Cataract_DATA'!E53*'5. Cataract_DATA'!C25</f>
        <v>94.000979757387057</v>
      </c>
      <c r="D68" s="98">
        <f>'5. Cataract_DATA'!E53*'5. Cataract_DATA'!D25</f>
        <v>83.303200052298848</v>
      </c>
      <c r="F68" s="99">
        <f>'5. Cataract_DATA'!E53*'5. Cataract_DATA'!F25</f>
        <v>97.158527799798719</v>
      </c>
      <c r="G68" s="100">
        <f>'5. Cataract_DATA'!E53*'5. Cataract_DATA'!G25</f>
        <v>510.12620215613157</v>
      </c>
    </row>
    <row r="69" spans="1:12" x14ac:dyDescent="0.2">
      <c r="A69" s="33" t="s">
        <v>17</v>
      </c>
      <c r="B69" s="46">
        <f>SUM('[2]Pop 57'!$D$22:$D$26)</f>
        <v>784195.44620730029</v>
      </c>
      <c r="C69" s="60">
        <f>'5. Cataract_DATA'!E54*'5. Cataract_DATA'!C26</f>
        <v>14.947001851624288</v>
      </c>
      <c r="D69" s="98">
        <f>'5. Cataract_DATA'!E54*'5. Cataract_DATA'!D26</f>
        <v>14.086688586249291</v>
      </c>
      <c r="F69" s="99">
        <f>'5. Cataract_DATA'!E54*'5. Cataract_DATA'!F26</f>
        <v>32.209633575296408</v>
      </c>
      <c r="G69" s="100">
        <f>'5. Cataract_DATA'!E54*'5. Cataract_DATA'!G26</f>
        <v>171.97937286163452</v>
      </c>
    </row>
    <row r="70" spans="1:12" x14ac:dyDescent="0.2">
      <c r="A70" s="34" t="s">
        <v>18</v>
      </c>
      <c r="B70" s="46">
        <f>SUM(B62:B69)</f>
        <v>33032823.157106262</v>
      </c>
      <c r="C70" s="60">
        <f>SUM(C62:C69)</f>
        <v>723.07765255490574</v>
      </c>
      <c r="D70" s="98">
        <f>SUM(D62:D69)</f>
        <v>601.8784912010035</v>
      </c>
      <c r="F70" s="99">
        <f>SUM(F62:F69)</f>
        <v>374.70851165107297</v>
      </c>
      <c r="G70" s="100">
        <f>SUM(G62:G69)</f>
        <v>1881.358744767902</v>
      </c>
    </row>
    <row r="71" spans="1:12" x14ac:dyDescent="0.2">
      <c r="A71" s="30"/>
      <c r="B71" s="31"/>
      <c r="C71" s="59"/>
      <c r="D71" s="32"/>
      <c r="F71" s="30"/>
      <c r="G71" s="5"/>
    </row>
    <row r="74" spans="1:12" x14ac:dyDescent="0.2">
      <c r="A74" s="23" t="s">
        <v>172</v>
      </c>
    </row>
    <row r="75" spans="1:12" x14ac:dyDescent="0.2">
      <c r="A75" s="23"/>
    </row>
    <row r="76" spans="1:12" s="58" customFormat="1" x14ac:dyDescent="0.2">
      <c r="A76" s="24" t="s">
        <v>25</v>
      </c>
      <c r="B76" s="25" t="s">
        <v>26</v>
      </c>
      <c r="C76" s="35" t="s">
        <v>31</v>
      </c>
      <c r="D76" s="26" t="s">
        <v>31</v>
      </c>
      <c r="E76" s="22"/>
      <c r="F76" s="37" t="s">
        <v>37</v>
      </c>
      <c r="G76" s="38" t="s">
        <v>38</v>
      </c>
      <c r="K76" s="179"/>
      <c r="L76" s="179"/>
    </row>
    <row r="77" spans="1:12" s="58" customFormat="1" x14ac:dyDescent="0.2">
      <c r="A77" s="30"/>
      <c r="B77" s="31">
        <v>2014</v>
      </c>
      <c r="C77" s="36" t="s">
        <v>32</v>
      </c>
      <c r="D77" s="32" t="s">
        <v>33</v>
      </c>
      <c r="E77" s="22"/>
      <c r="F77" s="39" t="s">
        <v>32</v>
      </c>
      <c r="G77" s="40" t="s">
        <v>39</v>
      </c>
      <c r="K77" s="179"/>
      <c r="L77" s="179"/>
    </row>
    <row r="78" spans="1:12" s="58" customFormat="1" x14ac:dyDescent="0.2">
      <c r="A78" s="27"/>
      <c r="B78" s="28"/>
      <c r="D78" s="29"/>
      <c r="E78" s="22"/>
      <c r="F78" s="27"/>
      <c r="G78" s="41"/>
    </row>
    <row r="79" spans="1:12" s="58" customFormat="1" x14ac:dyDescent="0.2">
      <c r="A79" s="48" t="s">
        <v>34</v>
      </c>
      <c r="B79" s="28"/>
      <c r="D79" s="29"/>
      <c r="E79" s="22"/>
      <c r="F79" s="27"/>
      <c r="G79" s="41"/>
    </row>
    <row r="80" spans="1:12" s="58" customFormat="1" x14ac:dyDescent="0.2">
      <c r="A80" s="33" t="s">
        <v>7</v>
      </c>
      <c r="B80" s="28">
        <f>SUM('[2]Pop 57'!$C$5:$C$6)</f>
        <v>1966319</v>
      </c>
      <c r="C80" s="60">
        <f>'5. Cataract_DATA'!F36*'5. Cataract_DATA'!C8</f>
        <v>0</v>
      </c>
      <c r="D80" s="98">
        <f>'5. Cataract_DATA'!F36*'5. Cataract_DATA'!D8</f>
        <v>0</v>
      </c>
      <c r="E80" s="22"/>
      <c r="F80" s="99">
        <f>'5. Cataract_DATA'!F36*'5. Cataract_DATA'!F8</f>
        <v>0</v>
      </c>
      <c r="G80" s="100">
        <f>'5. Cataract_DATA'!F36*'5. Cataract_DATA'!G8</f>
        <v>0</v>
      </c>
      <c r="H80" s="162"/>
      <c r="I80" s="162"/>
      <c r="K80" s="162"/>
      <c r="L80" s="162"/>
    </row>
    <row r="81" spans="1:12" s="58" customFormat="1" x14ac:dyDescent="0.2">
      <c r="A81" s="33" t="s">
        <v>11</v>
      </c>
      <c r="B81" s="28">
        <f>SUM('[2]Pop 57'!$C$7:$C$8)</f>
        <v>4179206</v>
      </c>
      <c r="C81" s="60">
        <f>'5. Cataract_DATA'!F37*'5. Cataract_DATA'!C9</f>
        <v>0</v>
      </c>
      <c r="D81" s="98">
        <f>'5. Cataract_DATA'!F37*'5. Cataract_DATA'!D9</f>
        <v>0</v>
      </c>
      <c r="E81" s="22"/>
      <c r="F81" s="99">
        <f>'5. Cataract_DATA'!F37*'5. Cataract_DATA'!F9</f>
        <v>0</v>
      </c>
      <c r="G81" s="100">
        <f>'5. Cataract_DATA'!F37*'5. Cataract_DATA'!G9</f>
        <v>0</v>
      </c>
      <c r="H81" s="162"/>
      <c r="I81" s="162"/>
      <c r="K81" s="162"/>
      <c r="L81" s="162"/>
    </row>
    <row r="82" spans="1:12" s="58" customFormat="1" x14ac:dyDescent="0.2">
      <c r="A82" s="33" t="s">
        <v>12</v>
      </c>
      <c r="B82" s="28">
        <f>SUM('[2]Pop 57'!$C$9:$C$11)</f>
        <v>7301822</v>
      </c>
      <c r="C82" s="60">
        <f>'5. Cataract_DATA'!F38*'5. Cataract_DATA'!C10</f>
        <v>0</v>
      </c>
      <c r="D82" s="98">
        <f>'5. Cataract_DATA'!F38*'5. Cataract_DATA'!D10</f>
        <v>0</v>
      </c>
      <c r="E82" s="22"/>
      <c r="F82" s="99">
        <f>'5. Cataract_DATA'!F38*'5. Cataract_DATA'!F10</f>
        <v>0</v>
      </c>
      <c r="G82" s="100">
        <f>'5. Cataract_DATA'!F38*'5. Cataract_DATA'!G10</f>
        <v>0</v>
      </c>
      <c r="H82" s="162"/>
      <c r="I82" s="162"/>
      <c r="K82" s="162"/>
      <c r="L82" s="162"/>
    </row>
    <row r="83" spans="1:12" s="58" customFormat="1" x14ac:dyDescent="0.2">
      <c r="A83" s="33" t="s">
        <v>13</v>
      </c>
      <c r="B83" s="28">
        <f>SUM('[2]Pop 57'!$C$12:$C$14)</f>
        <v>7896765</v>
      </c>
      <c r="C83" s="60">
        <f>'5. Cataract_DATA'!F39*'5. Cataract_DATA'!C11</f>
        <v>380.64315112260846</v>
      </c>
      <c r="D83" s="98">
        <f>'5. Cataract_DATA'!F39*'5. Cataract_DATA'!D11</f>
        <v>353.12012543184062</v>
      </c>
      <c r="E83" s="22"/>
      <c r="F83" s="99">
        <f>'5. Cataract_DATA'!F39*'5. Cataract_DATA'!F11</f>
        <v>406.00786867202282</v>
      </c>
      <c r="G83" s="100">
        <f>'5. Cataract_DATA'!F39*'5. Cataract_DATA'!G11</f>
        <v>1154.0060460685422</v>
      </c>
      <c r="H83" s="162"/>
      <c r="I83" s="162"/>
      <c r="K83" s="162"/>
      <c r="L83" s="162"/>
    </row>
    <row r="84" spans="1:12" s="58" customFormat="1" x14ac:dyDescent="0.2">
      <c r="A84" s="33" t="s">
        <v>14</v>
      </c>
      <c r="B84" s="28">
        <f>SUM('[2]Pop 57'!$C$15:$C$17)</f>
        <v>6554289</v>
      </c>
      <c r="C84" s="60">
        <f>'5. Cataract_DATA'!F40*'5. Cataract_DATA'!C12</f>
        <v>5234.921384496256</v>
      </c>
      <c r="D84" s="98">
        <f>'5. Cataract_DATA'!F40*'5. Cataract_DATA'!D12</f>
        <v>4277.3816925065094</v>
      </c>
      <c r="E84" s="22"/>
      <c r="F84" s="99">
        <f>'5. Cataract_DATA'!F40*'5. Cataract_DATA'!F12</f>
        <v>5632.9359973618848</v>
      </c>
      <c r="G84" s="100">
        <f>'5. Cataract_DATA'!F40*'5. Cataract_DATA'!G12</f>
        <v>18118.80100292488</v>
      </c>
      <c r="H84" s="162"/>
      <c r="I84" s="162"/>
      <c r="K84" s="162"/>
      <c r="L84" s="162"/>
    </row>
    <row r="85" spans="1:12" s="58" customFormat="1" x14ac:dyDescent="0.2">
      <c r="A85" s="33" t="s">
        <v>15</v>
      </c>
      <c r="B85" s="28">
        <f>SUM('[2]Pop 57'!$C$18:$C$19)</f>
        <v>2344057</v>
      </c>
      <c r="C85" s="60">
        <f>'5. Cataract_DATA'!F41*'5. Cataract_DATA'!C13</f>
        <v>8491.1378232028219</v>
      </c>
      <c r="D85" s="98">
        <f>'5. Cataract_DATA'!F41*'5. Cataract_DATA'!D13</f>
        <v>7133.4210497248632</v>
      </c>
      <c r="E85" s="22"/>
      <c r="F85" s="99">
        <f>'5. Cataract_DATA'!F41*'5. Cataract_DATA'!F13</f>
        <v>16261.90240207436</v>
      </c>
      <c r="G85" s="100">
        <f>'5. Cataract_DATA'!F41*'5. Cataract_DATA'!G13</f>
        <v>49482.407125737387</v>
      </c>
      <c r="H85" s="162"/>
      <c r="I85" s="162"/>
      <c r="K85" s="162"/>
      <c r="L85" s="162"/>
    </row>
    <row r="86" spans="1:12" s="58" customFormat="1" x14ac:dyDescent="0.2">
      <c r="A86" s="33" t="s">
        <v>16</v>
      </c>
      <c r="B86" s="28">
        <f>SUM('[2]Pop 57'!$C$20:$C$21)</f>
        <v>1173067</v>
      </c>
      <c r="C86" s="60">
        <f>'5. Cataract_DATA'!F42*'5. Cataract_DATA'!C14</f>
        <v>3448.0501691265958</v>
      </c>
      <c r="D86" s="98">
        <f>'5. Cataract_DATA'!F42*'5. Cataract_DATA'!D14</f>
        <v>3086.465378413709</v>
      </c>
      <c r="E86" s="22" t="s">
        <v>23</v>
      </c>
      <c r="F86" s="99">
        <f>'5. Cataract_DATA'!F42*'5. Cataract_DATA'!F14</f>
        <v>16893.312049187061</v>
      </c>
      <c r="G86" s="100">
        <f>'5. Cataract_DATA'!F42*'5. Cataract_DATA'!G14</f>
        <v>51084.428400155914</v>
      </c>
      <c r="H86" s="162"/>
      <c r="I86" s="162"/>
      <c r="K86" s="162"/>
      <c r="L86" s="162"/>
    </row>
    <row r="87" spans="1:12" s="58" customFormat="1" x14ac:dyDescent="0.2">
      <c r="A87" s="33" t="s">
        <v>17</v>
      </c>
      <c r="B87" s="28">
        <f>SUM('[2]Pop 57'!$C$22:$C$26)</f>
        <v>506965</v>
      </c>
      <c r="C87" s="60">
        <f>'5. Cataract_DATA'!F43*'5. Cataract_DATA'!C15</f>
        <v>531.89502120892553</v>
      </c>
      <c r="D87" s="98">
        <f>'5. Cataract_DATA'!F43*'5. Cataract_DATA'!D15</f>
        <v>512.22908402869075</v>
      </c>
      <c r="E87" s="22"/>
      <c r="F87" s="99">
        <f>'5. Cataract_DATA'!F43*'5. Cataract_DATA'!F15</f>
        <v>7839.3589238568484</v>
      </c>
      <c r="G87" s="100">
        <f>'5. Cataract_DATA'!F43*'5. Cataract_DATA'!G15</f>
        <v>22950.56963793363</v>
      </c>
      <c r="H87" s="162"/>
      <c r="I87" s="162"/>
      <c r="K87" s="162"/>
      <c r="L87" s="162"/>
    </row>
    <row r="88" spans="1:12" s="58" customFormat="1" x14ac:dyDescent="0.2">
      <c r="A88" s="34" t="s">
        <v>18</v>
      </c>
      <c r="B88" s="28">
        <f>SUM(B80:B87)</f>
        <v>31922490</v>
      </c>
      <c r="C88" s="60">
        <f>SUM(C80:C87)</f>
        <v>18086.647549157209</v>
      </c>
      <c r="D88" s="98">
        <f>SUM(D80:D87)</f>
        <v>15362.617330105611</v>
      </c>
      <c r="E88" s="22"/>
      <c r="F88" s="99">
        <f>SUM(F80:F87)</f>
        <v>47033.517241152171</v>
      </c>
      <c r="G88" s="100">
        <f>SUM(G80:G87)</f>
        <v>142790.21221282036</v>
      </c>
      <c r="H88" s="162"/>
      <c r="I88" s="162"/>
      <c r="K88" s="162"/>
      <c r="L88" s="162"/>
    </row>
    <row r="89" spans="1:12" s="58" customFormat="1" x14ac:dyDescent="0.2">
      <c r="A89" s="27"/>
      <c r="B89" s="28"/>
      <c r="D89" s="29"/>
      <c r="E89" s="22"/>
      <c r="F89" s="99"/>
      <c r="G89" s="100"/>
      <c r="K89" s="162"/>
      <c r="L89" s="162"/>
    </row>
    <row r="90" spans="1:12" s="58" customFormat="1" x14ac:dyDescent="0.2">
      <c r="A90" s="48" t="s">
        <v>35</v>
      </c>
      <c r="B90" s="28"/>
      <c r="D90" s="29"/>
      <c r="E90" s="22"/>
      <c r="F90" s="99"/>
      <c r="G90" s="100"/>
      <c r="K90" s="162"/>
      <c r="L90" s="162"/>
    </row>
    <row r="91" spans="1:12" s="58" customFormat="1" x14ac:dyDescent="0.2">
      <c r="A91" s="33" t="s">
        <v>7</v>
      </c>
      <c r="B91" s="28">
        <f>SUM('[2]Pop 57'!$D$5:$D$6)</f>
        <v>1849075</v>
      </c>
      <c r="C91" s="60">
        <f>'5. Cataract_DATA'!F47*'5. Cataract_DATA'!C19</f>
        <v>0</v>
      </c>
      <c r="D91" s="98">
        <f>'5. Cataract_DATA'!F47*'5. Cataract_DATA'!D19</f>
        <v>0</v>
      </c>
      <c r="E91" s="22"/>
      <c r="F91" s="99">
        <f>'5. Cataract_DATA'!F47*'5. Cataract_DATA'!F19</f>
        <v>0</v>
      </c>
      <c r="G91" s="100">
        <f>'5. Cataract_DATA'!F47*'5. Cataract_DATA'!G19</f>
        <v>0</v>
      </c>
      <c r="H91" s="162"/>
      <c r="I91" s="162"/>
      <c r="K91" s="162"/>
      <c r="L91" s="162"/>
    </row>
    <row r="92" spans="1:12" s="58" customFormat="1" x14ac:dyDescent="0.2">
      <c r="A92" s="33" t="s">
        <v>11</v>
      </c>
      <c r="B92" s="28">
        <f>SUM('[2]Pop 57'!$D$7:$D$8)</f>
        <v>3940160</v>
      </c>
      <c r="C92" s="60">
        <f>'5. Cataract_DATA'!F48*'5. Cataract_DATA'!C20</f>
        <v>0</v>
      </c>
      <c r="D92" s="98">
        <f>'5. Cataract_DATA'!F48*'5. Cataract_DATA'!D20</f>
        <v>0</v>
      </c>
      <c r="E92" s="22"/>
      <c r="F92" s="99">
        <f>'5. Cataract_DATA'!F48*'5. Cataract_DATA'!F20</f>
        <v>0</v>
      </c>
      <c r="G92" s="100">
        <f>'5. Cataract_DATA'!F48*'5. Cataract_DATA'!G20</f>
        <v>0</v>
      </c>
      <c r="H92" s="162"/>
      <c r="I92" s="162"/>
      <c r="K92" s="162"/>
      <c r="L92" s="162"/>
    </row>
    <row r="93" spans="1:12" s="58" customFormat="1" x14ac:dyDescent="0.2">
      <c r="A93" s="33" t="s">
        <v>12</v>
      </c>
      <c r="B93" s="46">
        <f>SUM('[2]Pop 57'!$D$9:$D$11)</f>
        <v>7026158.1752900956</v>
      </c>
      <c r="C93" s="60">
        <f>'5. Cataract_DATA'!F49*'5. Cataract_DATA'!C21</f>
        <v>0</v>
      </c>
      <c r="D93" s="98">
        <f>'5. Cataract_DATA'!F49*'5. Cataract_DATA'!D21</f>
        <v>0</v>
      </c>
      <c r="E93" s="22"/>
      <c r="F93" s="99">
        <f>'5. Cataract_DATA'!F49*'5. Cataract_DATA'!F21</f>
        <v>0</v>
      </c>
      <c r="G93" s="100">
        <f>'5. Cataract_DATA'!F49*'5. Cataract_DATA'!G21</f>
        <v>0</v>
      </c>
      <c r="H93" s="162"/>
      <c r="I93" s="162"/>
      <c r="K93" s="162"/>
      <c r="L93" s="162"/>
    </row>
    <row r="94" spans="1:12" s="58" customFormat="1" x14ac:dyDescent="0.2">
      <c r="A94" s="33" t="s">
        <v>13</v>
      </c>
      <c r="B94" s="28">
        <f>SUM('[2]Pop 57'!$D$12:$D$14)</f>
        <v>8017814</v>
      </c>
      <c r="C94" s="60">
        <f>'5. Cataract_DATA'!F50*'5. Cataract_DATA'!C22</f>
        <v>376.79623880434622</v>
      </c>
      <c r="D94" s="98">
        <f>'5. Cataract_DATA'!F50*'5. Cataract_DATA'!D22</f>
        <v>300.18063402419</v>
      </c>
      <c r="E94" s="22"/>
      <c r="F94" s="99">
        <f>'5. Cataract_DATA'!F50*'5. Cataract_DATA'!F22</f>
        <v>481.20714927995942</v>
      </c>
      <c r="G94" s="100">
        <f>'5. Cataract_DATA'!F50*'5. Cataract_DATA'!G22</f>
        <v>1658.2924352198179</v>
      </c>
      <c r="H94" s="162"/>
      <c r="I94" s="162"/>
      <c r="K94" s="162"/>
      <c r="L94" s="162"/>
    </row>
    <row r="95" spans="1:12" s="58" customFormat="1" x14ac:dyDescent="0.2">
      <c r="A95" s="33" t="s">
        <v>14</v>
      </c>
      <c r="B95" s="28">
        <f>SUM('[2]Pop 57'!$D$15:$D$17)</f>
        <v>7162204</v>
      </c>
      <c r="C95" s="60">
        <f>'5. Cataract_DATA'!F51*'5. Cataract_DATA'!C23</f>
        <v>6923.9522122916551</v>
      </c>
      <c r="D95" s="98">
        <f>'5. Cataract_DATA'!F51*'5. Cataract_DATA'!D23</f>
        <v>5538.5024703026174</v>
      </c>
      <c r="E95" s="22"/>
      <c r="F95" s="99">
        <f>'5. Cataract_DATA'!F51*'5. Cataract_DATA'!F23</f>
        <v>2757.348377985149</v>
      </c>
      <c r="G95" s="100">
        <f>'5. Cataract_DATA'!F51*'5. Cataract_DATA'!G23</f>
        <v>12450.022823541563</v>
      </c>
      <c r="H95" s="162"/>
      <c r="I95" s="162"/>
      <c r="K95" s="162"/>
      <c r="L95" s="162"/>
    </row>
    <row r="96" spans="1:12" s="58" customFormat="1" x14ac:dyDescent="0.2">
      <c r="A96" s="33" t="s">
        <v>15</v>
      </c>
      <c r="B96" s="46">
        <f>SUM('[2]Pop 57'!$D$18:$D$19)</f>
        <v>2739970.5356088658</v>
      </c>
      <c r="C96" s="60">
        <f>'5. Cataract_DATA'!F52*'5. Cataract_DATA'!C24</f>
        <v>21233.523687053654</v>
      </c>
      <c r="D96" s="98">
        <f>'5. Cataract_DATA'!F52*'5. Cataract_DATA'!D24</f>
        <v>17760.188517410385</v>
      </c>
      <c r="E96" s="22"/>
      <c r="F96" s="99">
        <f>'5. Cataract_DATA'!F52*'5. Cataract_DATA'!F24</f>
        <v>7374.6492358649648</v>
      </c>
      <c r="G96" s="100">
        <f>'5. Cataract_DATA'!F52*'5. Cataract_DATA'!G24</f>
        <v>40375.805402376398</v>
      </c>
      <c r="H96" s="162"/>
      <c r="I96" s="162"/>
      <c r="K96" s="162"/>
      <c r="L96" s="162"/>
    </row>
    <row r="97" spans="1:12" s="58" customFormat="1" x14ac:dyDescent="0.2">
      <c r="A97" s="33" t="s">
        <v>16</v>
      </c>
      <c r="B97" s="46">
        <f>SUM('[2]Pop 57'!$D$20:$D$21)</f>
        <v>1513246</v>
      </c>
      <c r="C97" s="60">
        <f>'5. Cataract_DATA'!F53*'5. Cataract_DATA'!C25</f>
        <v>8475.6169676915088</v>
      </c>
      <c r="D97" s="98">
        <f>'5. Cataract_DATA'!F53*'5. Cataract_DATA'!D25</f>
        <v>7511.0495406382161</v>
      </c>
      <c r="E97" s="22"/>
      <c r="F97" s="99">
        <f>'5. Cataract_DATA'!F53*'5. Cataract_DATA'!F25</f>
        <v>8760.3179126565228</v>
      </c>
      <c r="G97" s="100">
        <f>'5. Cataract_DATA'!F53*'5. Cataract_DATA'!G25</f>
        <v>45995.630107448582</v>
      </c>
      <c r="H97" s="162"/>
      <c r="I97" s="162"/>
      <c r="K97" s="162"/>
      <c r="L97" s="162"/>
    </row>
    <row r="98" spans="1:12" s="58" customFormat="1" x14ac:dyDescent="0.2">
      <c r="A98" s="33" t="s">
        <v>17</v>
      </c>
      <c r="B98" s="46">
        <f>SUM('[2]Pop 57'!$D$22:$D$26)</f>
        <v>784195.44620730029</v>
      </c>
      <c r="C98" s="60">
        <f>'5. Cataract_DATA'!F54*'5. Cataract_DATA'!C26</f>
        <v>1301.5242028663492</v>
      </c>
      <c r="D98" s="98">
        <f>'5. Cataract_DATA'!F54*'5. Cataract_DATA'!D26</f>
        <v>1226.611618520154</v>
      </c>
      <c r="E98" s="22"/>
      <c r="F98" s="99">
        <f>'5. Cataract_DATA'!F54*'5. Cataract_DATA'!F26</f>
        <v>2804.6840483363717</v>
      </c>
      <c r="G98" s="100">
        <f>'5. Cataract_DATA'!F54*'5. Cataract_DATA'!G26</f>
        <v>14975.26516656378</v>
      </c>
      <c r="H98" s="162"/>
      <c r="I98" s="162"/>
      <c r="K98" s="162"/>
      <c r="L98" s="162"/>
    </row>
    <row r="99" spans="1:12" s="58" customFormat="1" x14ac:dyDescent="0.2">
      <c r="A99" s="34" t="s">
        <v>18</v>
      </c>
      <c r="B99" s="46">
        <f>SUM(B91:B98)</f>
        <v>33032823.157106262</v>
      </c>
      <c r="C99" s="60">
        <f>SUM(C91:C98)</f>
        <v>38311.413308707517</v>
      </c>
      <c r="D99" s="98">
        <f>SUM(D91:D98)</f>
        <v>32336.532780895563</v>
      </c>
      <c r="E99" s="22"/>
      <c r="F99" s="99">
        <f>SUM(F91:F98)</f>
        <v>22178.206724122967</v>
      </c>
      <c r="G99" s="100">
        <f>SUM(G91:G98)</f>
        <v>115455.01593515014</v>
      </c>
      <c r="H99" s="162"/>
      <c r="I99" s="162"/>
      <c r="K99" s="162"/>
      <c r="L99" s="162"/>
    </row>
    <row r="100" spans="1:12" s="58" customFormat="1" x14ac:dyDescent="0.2">
      <c r="A100" s="30"/>
      <c r="B100" s="31"/>
      <c r="C100" s="59"/>
      <c r="D100" s="32"/>
      <c r="E100" s="22"/>
      <c r="F100" s="30"/>
      <c r="G100" s="5"/>
    </row>
    <row r="103" spans="1:12" x14ac:dyDescent="0.2">
      <c r="A103" s="23" t="s">
        <v>173</v>
      </c>
    </row>
    <row r="104" spans="1:12" x14ac:dyDescent="0.2">
      <c r="A104" s="23"/>
      <c r="I104" s="22" t="s">
        <v>23</v>
      </c>
    </row>
    <row r="105" spans="1:12" x14ac:dyDescent="0.2">
      <c r="A105" s="24" t="s">
        <v>25</v>
      </c>
      <c r="B105" s="35" t="s">
        <v>31</v>
      </c>
      <c r="C105" s="26" t="s">
        <v>31</v>
      </c>
      <c r="L105" s="22" t="s">
        <v>23</v>
      </c>
    </row>
    <row r="106" spans="1:12" x14ac:dyDescent="0.2">
      <c r="A106" s="30"/>
      <c r="B106" s="36" t="s">
        <v>32</v>
      </c>
      <c r="C106" s="32" t="s">
        <v>33</v>
      </c>
      <c r="J106" s="22" t="s">
        <v>23</v>
      </c>
    </row>
    <row r="107" spans="1:12" x14ac:dyDescent="0.2">
      <c r="A107" s="27"/>
      <c r="B107" s="58"/>
      <c r="C107" s="29"/>
    </row>
    <row r="108" spans="1:12" x14ac:dyDescent="0.2">
      <c r="A108" s="48" t="s">
        <v>34</v>
      </c>
      <c r="B108" s="58"/>
      <c r="C108" s="103"/>
    </row>
    <row r="109" spans="1:12" x14ac:dyDescent="0.2">
      <c r="A109" s="33" t="s">
        <v>7</v>
      </c>
      <c r="B109" s="60">
        <f>C51+C80</f>
        <v>0</v>
      </c>
      <c r="C109" s="62">
        <f>D51+D80</f>
        <v>0</v>
      </c>
    </row>
    <row r="110" spans="1:12" x14ac:dyDescent="0.2">
      <c r="A110" s="33" t="s">
        <v>11</v>
      </c>
      <c r="B110" s="60">
        <f t="shared" ref="B110:C110" si="0">C52+C81</f>
        <v>0</v>
      </c>
      <c r="C110" s="62">
        <f t="shared" si="0"/>
        <v>0</v>
      </c>
    </row>
    <row r="111" spans="1:12" x14ac:dyDescent="0.2">
      <c r="A111" s="33" t="s">
        <v>12</v>
      </c>
      <c r="B111" s="60">
        <f t="shared" ref="B111:C111" si="1">C53+C82</f>
        <v>0</v>
      </c>
      <c r="C111" s="62">
        <f t="shared" si="1"/>
        <v>0</v>
      </c>
    </row>
    <row r="112" spans="1:12" x14ac:dyDescent="0.2">
      <c r="A112" s="33" t="s">
        <v>13</v>
      </c>
      <c r="B112" s="60">
        <f t="shared" ref="B112:C112" si="2">C54+C83</f>
        <v>405.01405644452586</v>
      </c>
      <c r="C112" s="62">
        <f t="shared" si="2"/>
        <v>375.72885257899208</v>
      </c>
    </row>
    <row r="113" spans="1:3" x14ac:dyDescent="0.2">
      <c r="A113" s="33" t="s">
        <v>14</v>
      </c>
      <c r="B113" s="60">
        <f t="shared" ref="B113:C113" si="3">C55+C84</f>
        <v>5406.6382651876156</v>
      </c>
      <c r="C113" s="62">
        <f t="shared" si="3"/>
        <v>4417.6891752394567</v>
      </c>
    </row>
    <row r="114" spans="1:3" x14ac:dyDescent="0.2">
      <c r="A114" s="33" t="s">
        <v>15</v>
      </c>
      <c r="B114" s="60">
        <f t="shared" ref="B114:C114" si="4">C56+C85</f>
        <v>8677.6495478655506</v>
      </c>
      <c r="C114" s="62">
        <f t="shared" si="4"/>
        <v>7290.1099046736044</v>
      </c>
    </row>
    <row r="115" spans="1:3" x14ac:dyDescent="0.2">
      <c r="A115" s="33" t="s">
        <v>16</v>
      </c>
      <c r="B115" s="60">
        <f t="shared" ref="B115:C115" si="5">C57+C86</f>
        <v>3503.6818831902578</v>
      </c>
      <c r="C115" s="62">
        <f t="shared" si="5"/>
        <v>3136.2631919538749</v>
      </c>
    </row>
    <row r="116" spans="1:3" x14ac:dyDescent="0.2">
      <c r="A116" s="33" t="s">
        <v>17</v>
      </c>
      <c r="B116" s="60">
        <f t="shared" ref="B116:C116" si="6">C58+C87</f>
        <v>538.32381162510501</v>
      </c>
      <c r="C116" s="62">
        <f t="shared" si="6"/>
        <v>518.42018057027417</v>
      </c>
    </row>
    <row r="117" spans="1:3" x14ac:dyDescent="0.2">
      <c r="A117" s="34" t="s">
        <v>18</v>
      </c>
      <c r="B117" s="60">
        <f t="shared" ref="B117:C117" si="7">C59+C88</f>
        <v>18531.307564313058</v>
      </c>
      <c r="C117" s="62">
        <f t="shared" si="7"/>
        <v>15738.211305016201</v>
      </c>
    </row>
    <row r="118" spans="1:3" x14ac:dyDescent="0.2">
      <c r="A118" s="27"/>
      <c r="B118" s="58"/>
      <c r="C118" s="103"/>
    </row>
    <row r="119" spans="1:3" x14ac:dyDescent="0.2">
      <c r="A119" s="48" t="s">
        <v>35</v>
      </c>
      <c r="B119" s="58"/>
      <c r="C119" s="103"/>
    </row>
    <row r="120" spans="1:3" x14ac:dyDescent="0.2">
      <c r="A120" s="33" t="s">
        <v>7</v>
      </c>
      <c r="B120" s="60">
        <f>C62+C91</f>
        <v>0</v>
      </c>
      <c r="C120" s="62">
        <f>D62+D91</f>
        <v>0</v>
      </c>
    </row>
    <row r="121" spans="1:3" x14ac:dyDescent="0.2">
      <c r="A121" s="33" t="s">
        <v>11</v>
      </c>
      <c r="B121" s="60">
        <f t="shared" ref="B121:C121" si="8">C63+C92</f>
        <v>0</v>
      </c>
      <c r="C121" s="62">
        <f t="shared" si="8"/>
        <v>0</v>
      </c>
    </row>
    <row r="122" spans="1:3" x14ac:dyDescent="0.2">
      <c r="A122" s="33" t="s">
        <v>12</v>
      </c>
      <c r="B122" s="60">
        <f t="shared" ref="B122:C122" si="9">C64+C93</f>
        <v>0</v>
      </c>
      <c r="C122" s="62">
        <f t="shared" si="9"/>
        <v>0</v>
      </c>
    </row>
    <row r="123" spans="1:3" x14ac:dyDescent="0.2">
      <c r="A123" s="33" t="s">
        <v>13</v>
      </c>
      <c r="B123" s="60">
        <f t="shared" ref="B123:C123" si="10">C65+C94</f>
        <v>398.80189632943768</v>
      </c>
      <c r="C123" s="62">
        <f t="shared" si="10"/>
        <v>317.71178626966446</v>
      </c>
    </row>
    <row r="124" spans="1:3" x14ac:dyDescent="0.2">
      <c r="A124" s="33" t="s">
        <v>14</v>
      </c>
      <c r="B124" s="60">
        <f t="shared" ref="B124:C124" si="11">C66+C95</f>
        <v>7151.4651072649231</v>
      </c>
      <c r="C124" s="62">
        <f t="shared" si="11"/>
        <v>5720.4911224770512</v>
      </c>
    </row>
    <row r="125" spans="1:3" x14ac:dyDescent="0.2">
      <c r="A125" s="33" t="s">
        <v>15</v>
      </c>
      <c r="B125" s="60">
        <f t="shared" ref="B125:C125" si="12">C67+C96</f>
        <v>21598.134805501188</v>
      </c>
      <c r="C125" s="62">
        <f t="shared" si="12"/>
        <v>18065.157315552933</v>
      </c>
    </row>
    <row r="126" spans="1:3" x14ac:dyDescent="0.2">
      <c r="A126" s="33" t="s">
        <v>16</v>
      </c>
      <c r="B126" s="60">
        <f t="shared" ref="B126:C126" si="13">C68+C97</f>
        <v>8569.6179474488963</v>
      </c>
      <c r="C126" s="62">
        <f t="shared" si="13"/>
        <v>7594.352740690515</v>
      </c>
    </row>
    <row r="127" spans="1:3" x14ac:dyDescent="0.2">
      <c r="A127" s="33" t="s">
        <v>17</v>
      </c>
      <c r="B127" s="60">
        <f t="shared" ref="B127:C127" si="14">C69+C98</f>
        <v>1316.4712047179735</v>
      </c>
      <c r="C127" s="62">
        <f t="shared" si="14"/>
        <v>1240.6983071064033</v>
      </c>
    </row>
    <row r="128" spans="1:3" x14ac:dyDescent="0.2">
      <c r="A128" s="34" t="s">
        <v>18</v>
      </c>
      <c r="B128" s="60">
        <f t="shared" ref="B128:C128" si="15">C70+C99</f>
        <v>39034.490961262425</v>
      </c>
      <c r="C128" s="62">
        <f t="shared" si="15"/>
        <v>32938.411272096564</v>
      </c>
    </row>
    <row r="129" spans="1:3" x14ac:dyDescent="0.2">
      <c r="A129" s="30"/>
      <c r="B129" s="59"/>
      <c r="C129" s="61"/>
    </row>
  </sheetData>
  <mergeCells count="12">
    <mergeCell ref="A6:E6"/>
    <mergeCell ref="A1:E1"/>
    <mergeCell ref="A2:E2"/>
    <mergeCell ref="A3:E3"/>
    <mergeCell ref="A4:E4"/>
    <mergeCell ref="A5:E5"/>
    <mergeCell ref="C10:E10"/>
    <mergeCell ref="C17:C18"/>
    <mergeCell ref="A24:A25"/>
    <mergeCell ref="B24:B25"/>
    <mergeCell ref="C24:D24"/>
    <mergeCell ref="E24:E2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M56"/>
  <sheetViews>
    <sheetView workbookViewId="0">
      <selection activeCell="K20" sqref="K20"/>
    </sheetView>
  </sheetViews>
  <sheetFormatPr baseColWidth="10" defaultColWidth="9.1640625" defaultRowHeight="15" x14ac:dyDescent="0.2"/>
  <cols>
    <col min="1" max="1" width="12.5" style="242" customWidth="1"/>
    <col min="2" max="2" width="13.83203125" style="242" customWidth="1"/>
    <col min="3" max="3" width="12.5" style="242" customWidth="1"/>
    <col min="4" max="4" width="12.83203125" style="242" customWidth="1"/>
    <col min="5" max="5" width="9.6640625" style="242" customWidth="1"/>
    <col min="6" max="6" width="10.1640625" style="242" customWidth="1"/>
    <col min="7" max="7" width="11.5" style="242" customWidth="1"/>
    <col min="8" max="16384" width="9.1640625" style="242"/>
  </cols>
  <sheetData>
    <row r="2" spans="1:7" x14ac:dyDescent="0.2">
      <c r="A2" s="23" t="s">
        <v>170</v>
      </c>
    </row>
    <row r="4" spans="1:7" s="247" customFormat="1" x14ac:dyDescent="0.2">
      <c r="A4" s="243" t="s">
        <v>25</v>
      </c>
      <c r="B4" s="244" t="s">
        <v>26</v>
      </c>
      <c r="C4" s="245" t="s">
        <v>341</v>
      </c>
      <c r="D4" s="246" t="s">
        <v>342</v>
      </c>
      <c r="F4" s="248" t="s">
        <v>37</v>
      </c>
      <c r="G4" s="249" t="s">
        <v>38</v>
      </c>
    </row>
    <row r="5" spans="1:7" s="247" customFormat="1" x14ac:dyDescent="0.2">
      <c r="A5" s="250"/>
      <c r="B5" s="251">
        <v>2014</v>
      </c>
      <c r="C5" s="252"/>
      <c r="D5" s="253"/>
      <c r="F5" s="254" t="s">
        <v>32</v>
      </c>
      <c r="G5" s="255" t="s">
        <v>39</v>
      </c>
    </row>
    <row r="6" spans="1:7" s="247" customFormat="1" x14ac:dyDescent="0.2">
      <c r="A6" s="256"/>
      <c r="D6" s="257"/>
      <c r="F6" s="258"/>
      <c r="G6" s="259"/>
    </row>
    <row r="7" spans="1:7" s="247" customFormat="1" x14ac:dyDescent="0.2">
      <c r="A7" s="213" t="s">
        <v>34</v>
      </c>
      <c r="D7" s="257"/>
      <c r="F7" s="258"/>
      <c r="G7" s="259"/>
    </row>
    <row r="8" spans="1:7" s="247" customFormat="1" x14ac:dyDescent="0.2">
      <c r="A8" s="256" t="s">
        <v>7</v>
      </c>
      <c r="B8" s="397">
        <f>'5.Cataract'!B80</f>
        <v>1966319</v>
      </c>
      <c r="C8" s="260">
        <f>'[7]Cataract 2014'!H97+'[7]Cataract 2014'!H127</f>
        <v>0</v>
      </c>
      <c r="D8" s="259">
        <f>'[7]Cataract 2014'!I97+'[7]Cataract 2014'!I127</f>
        <v>0</v>
      </c>
      <c r="F8" s="398">
        <f>'[7]Cataract 2014'!K97+'[7]Cataract 2014'!K127</f>
        <v>0</v>
      </c>
      <c r="G8" s="259">
        <f>'[7]Cataract 2014'!L97+'[7]Cataract 2014'!L127</f>
        <v>0</v>
      </c>
    </row>
    <row r="9" spans="1:7" s="247" customFormat="1" x14ac:dyDescent="0.2">
      <c r="A9" s="256" t="s">
        <v>11</v>
      </c>
      <c r="B9" s="397">
        <f>'5.Cataract'!B81</f>
        <v>4179206</v>
      </c>
      <c r="C9" s="260">
        <f>'[7]Cataract 2014'!H98+'[7]Cataract 2014'!H128</f>
        <v>0</v>
      </c>
      <c r="D9" s="259">
        <f>'[7]Cataract 2014'!I98+'[7]Cataract 2014'!I128</f>
        <v>0</v>
      </c>
      <c r="F9" s="398">
        <f>'[7]Cataract 2014'!K98+'[7]Cataract 2014'!K128</f>
        <v>0</v>
      </c>
      <c r="G9" s="259">
        <f>'[7]Cataract 2014'!L98+'[7]Cataract 2014'!L128</f>
        <v>0</v>
      </c>
    </row>
    <row r="10" spans="1:7" s="247" customFormat="1" x14ac:dyDescent="0.2">
      <c r="A10" s="256" t="s">
        <v>12</v>
      </c>
      <c r="B10" s="397">
        <f>'5.Cataract'!B82</f>
        <v>7301822</v>
      </c>
      <c r="C10" s="260">
        <f>'[7]Cataract 2014'!H99+'[7]Cataract 2014'!H129</f>
        <v>0</v>
      </c>
      <c r="D10" s="259">
        <f>'[7]Cataract 2014'!I99+'[7]Cataract 2014'!I129</f>
        <v>0</v>
      </c>
      <c r="F10" s="398">
        <f>'[7]Cataract 2014'!K99+'[7]Cataract 2014'!K129</f>
        <v>0</v>
      </c>
      <c r="G10" s="259">
        <f>'[7]Cataract 2014'!L99+'[7]Cataract 2014'!L129</f>
        <v>0</v>
      </c>
    </row>
    <row r="11" spans="1:7" s="247" customFormat="1" x14ac:dyDescent="0.2">
      <c r="A11" s="256" t="s">
        <v>13</v>
      </c>
      <c r="B11" s="397">
        <f>'5.Cataract'!B83</f>
        <v>7896765</v>
      </c>
      <c r="C11" s="260">
        <f>'[7]Cataract 2014'!H100+'[7]Cataract 2014'!H130</f>
        <v>2837.9865802405002</v>
      </c>
      <c r="D11" s="259">
        <f>'[7]Cataract 2014'!I100+'[7]Cataract 2014'!I130</f>
        <v>2632.7813182315858</v>
      </c>
      <c r="F11" s="398">
        <f>'[7]Cataract 2014'!K100+'[7]Cataract 2014'!K130</f>
        <v>3027.1</v>
      </c>
      <c r="G11" s="259">
        <f>'[7]Cataract 2014'!L100+'[7]Cataract 2014'!L130</f>
        <v>8604</v>
      </c>
    </row>
    <row r="12" spans="1:7" s="247" customFormat="1" x14ac:dyDescent="0.2">
      <c r="A12" s="256" t="s">
        <v>14</v>
      </c>
      <c r="B12" s="397">
        <f>'5.Cataract'!B84</f>
        <v>6554289</v>
      </c>
      <c r="C12" s="260">
        <f>'[7]Cataract 2014'!H101+'[7]Cataract 2014'!H131</f>
        <v>21196.189387410486</v>
      </c>
      <c r="D12" s="259">
        <f>'[7]Cataract 2014'!I101+'[7]Cataract 2014'!I131</f>
        <v>17319.112509525254</v>
      </c>
      <c r="F12" s="398">
        <f>'[7]Cataract 2014'!K101+'[7]Cataract 2014'!K131</f>
        <v>22807.75</v>
      </c>
      <c r="G12" s="259">
        <f>'[7]Cataract 2014'!L101+'[7]Cataract 2014'!L131</f>
        <v>73363</v>
      </c>
    </row>
    <row r="13" spans="1:7" s="247" customFormat="1" x14ac:dyDescent="0.2">
      <c r="A13" s="256" t="s">
        <v>15</v>
      </c>
      <c r="B13" s="397">
        <f>'5.Cataract'!B85</f>
        <v>2344057</v>
      </c>
      <c r="C13" s="260">
        <f>'[7]Cataract 2014'!H102+'[7]Cataract 2014'!H132</f>
        <v>37388.189207452269</v>
      </c>
      <c r="D13" s="259">
        <f>'[7]Cataract 2014'!I102+'[7]Cataract 2014'!I132</f>
        <v>31409.888928517674</v>
      </c>
      <c r="F13" s="398">
        <f>'[7]Cataract 2014'!K102+'[7]Cataract 2014'!K132</f>
        <v>71604.429999999993</v>
      </c>
      <c r="G13" s="259">
        <f>'[7]Cataract 2014'!L102+'[7]Cataract 2014'!L132</f>
        <v>217881</v>
      </c>
    </row>
    <row r="14" spans="1:7" s="247" customFormat="1" x14ac:dyDescent="0.2">
      <c r="A14" s="256" t="s">
        <v>16</v>
      </c>
      <c r="B14" s="397">
        <f>'5.Cataract'!B86</f>
        <v>1173067</v>
      </c>
      <c r="C14" s="260">
        <f>'[7]Cataract 2014'!H103+'[7]Cataract 2014'!H133</f>
        <v>26045.168918969204</v>
      </c>
      <c r="D14" s="259">
        <f>'[7]Cataract 2014'!I103+'[7]Cataract 2014'!I133</f>
        <v>23313.904438837595</v>
      </c>
      <c r="F14" s="398">
        <f>'[7]Cataract 2014'!K103+'[7]Cataract 2014'!K133</f>
        <v>127605.21</v>
      </c>
      <c r="G14" s="259">
        <f>'[7]Cataract 2014'!L103+'[7]Cataract 2014'!L133</f>
        <v>385871</v>
      </c>
    </row>
    <row r="15" spans="1:7" s="247" customFormat="1" x14ac:dyDescent="0.2">
      <c r="A15" s="256" t="s">
        <v>17</v>
      </c>
      <c r="B15" s="397">
        <f>'5.Cataract'!B87</f>
        <v>506965</v>
      </c>
      <c r="C15" s="260">
        <f>'[7]Cataract 2014'!H104+'[7]Cataract 2014'!H134</f>
        <v>4340.4337549619686</v>
      </c>
      <c r="D15" s="259">
        <f>'[7]Cataract 2014'!I104+'[7]Cataract 2014'!I134</f>
        <v>4179.95340798289</v>
      </c>
      <c r="F15" s="398">
        <f>'[7]Cataract 2014'!K104+'[7]Cataract 2014'!K134</f>
        <v>63971.68</v>
      </c>
      <c r="G15" s="259">
        <f>'[7]Cataract 2014'!L104+'[7]Cataract 2014'!L134</f>
        <v>187284</v>
      </c>
    </row>
    <row r="16" spans="1:7" s="247" customFormat="1" x14ac:dyDescent="0.2">
      <c r="A16" s="256" t="s">
        <v>18</v>
      </c>
      <c r="B16" s="397">
        <f>'5.Cataract'!B88</f>
        <v>31922490</v>
      </c>
      <c r="C16" s="260">
        <f>'[7]Cataract 2014'!H105+'[7]Cataract 2014'!H135</f>
        <v>91807.967849034423</v>
      </c>
      <c r="D16" s="259">
        <f>'[7]Cataract 2014'!I105+'[7]Cataract 2014'!I135</f>
        <v>78855.640603095002</v>
      </c>
      <c r="F16" s="398">
        <f>'[7]Cataract 2014'!K105+'[7]Cataract 2014'!K135</f>
        <v>289016.17000000004</v>
      </c>
      <c r="G16" s="259">
        <f>'[7]Cataract 2014'!L105+'[7]Cataract 2014'!L135</f>
        <v>873003</v>
      </c>
    </row>
    <row r="17" spans="1:7" s="247" customFormat="1" x14ac:dyDescent="0.2">
      <c r="A17" s="256"/>
      <c r="B17" s="397"/>
      <c r="C17" s="261"/>
      <c r="D17" s="259"/>
      <c r="F17" s="258"/>
      <c r="G17" s="259"/>
    </row>
    <row r="18" spans="1:7" s="247" customFormat="1" x14ac:dyDescent="0.2">
      <c r="A18" s="213" t="s">
        <v>35</v>
      </c>
      <c r="B18" s="397"/>
      <c r="C18" s="261"/>
      <c r="D18" s="259"/>
      <c r="F18" s="258"/>
      <c r="G18" s="259"/>
    </row>
    <row r="19" spans="1:7" s="247" customFormat="1" x14ac:dyDescent="0.2">
      <c r="A19" s="256" t="s">
        <v>7</v>
      </c>
      <c r="B19" s="397">
        <f>'5.Cataract'!B91</f>
        <v>1849075</v>
      </c>
      <c r="C19" s="260">
        <f>'[7]Cataract 2014'!H108+'[7]Cataract 2014'!H138</f>
        <v>0</v>
      </c>
      <c r="D19" s="259">
        <f>'[7]Cataract 2014'!I108+'[7]Cataract 2014'!I138</f>
        <v>0</v>
      </c>
      <c r="F19" s="398">
        <f>'[7]Cataract 2014'!K108+'[7]Cataract 2014'!K138</f>
        <v>0</v>
      </c>
      <c r="G19" s="259">
        <f>'[7]Cataract 2014'!L108+'[7]Cataract 2014'!L138</f>
        <v>0</v>
      </c>
    </row>
    <row r="20" spans="1:7" s="247" customFormat="1" x14ac:dyDescent="0.2">
      <c r="A20" s="256" t="s">
        <v>11</v>
      </c>
      <c r="B20" s="397">
        <f>'5.Cataract'!B92</f>
        <v>3940160</v>
      </c>
      <c r="C20" s="260">
        <f>'[7]Cataract 2014'!H109+'[7]Cataract 2014'!H139</f>
        <v>0</v>
      </c>
      <c r="D20" s="259">
        <f>'[7]Cataract 2014'!I109+'[7]Cataract 2014'!I139</f>
        <v>0</v>
      </c>
      <c r="F20" s="398">
        <f>'[7]Cataract 2014'!K109+'[7]Cataract 2014'!K139</f>
        <v>0</v>
      </c>
      <c r="G20" s="259">
        <f>'[7]Cataract 2014'!L109+'[7]Cataract 2014'!L139</f>
        <v>0</v>
      </c>
    </row>
    <row r="21" spans="1:7" s="247" customFormat="1" x14ac:dyDescent="0.2">
      <c r="A21" s="256" t="s">
        <v>12</v>
      </c>
      <c r="B21" s="397">
        <f>'5.Cataract'!B93</f>
        <v>7026158.1752900956</v>
      </c>
      <c r="C21" s="260">
        <f>'[7]Cataract 2014'!H110+'[7]Cataract 2014'!H140</f>
        <v>0</v>
      </c>
      <c r="D21" s="259">
        <f>'[7]Cataract 2014'!I110+'[7]Cataract 2014'!I140</f>
        <v>0</v>
      </c>
      <c r="F21" s="398">
        <f>'[7]Cataract 2014'!K110+'[7]Cataract 2014'!K140</f>
        <v>0</v>
      </c>
      <c r="G21" s="259">
        <f>'[7]Cataract 2014'!L110+'[7]Cataract 2014'!L140</f>
        <v>0</v>
      </c>
    </row>
    <row r="22" spans="1:7" s="247" customFormat="1" x14ac:dyDescent="0.2">
      <c r="A22" s="256" t="s">
        <v>13</v>
      </c>
      <c r="B22" s="397">
        <f>'5.Cataract'!B94</f>
        <v>8017814</v>
      </c>
      <c r="C22" s="260">
        <f>'[7]Cataract 2014'!H111+'[7]Cataract 2014'!H141</f>
        <v>2542.358046409935</v>
      </c>
      <c r="D22" s="259">
        <f>'[7]Cataract 2014'!I111+'[7]Cataract 2014'!I141</f>
        <v>2025.4094167965259</v>
      </c>
      <c r="F22" s="398">
        <f>'[7]Cataract 2014'!K111+'[7]Cataract 2014'!K141</f>
        <v>3246.8500000000004</v>
      </c>
      <c r="G22" s="259">
        <f>'[7]Cataract 2014'!L111+'[7]Cataract 2014'!L141</f>
        <v>11189</v>
      </c>
    </row>
    <row r="23" spans="1:7" s="247" customFormat="1" x14ac:dyDescent="0.2">
      <c r="A23" s="256" t="s">
        <v>14</v>
      </c>
      <c r="B23" s="397">
        <f>'5.Cataract'!B95</f>
        <v>7162204</v>
      </c>
      <c r="C23" s="260">
        <f>'[7]Cataract 2014'!H112+'[7]Cataract 2014'!H142</f>
        <v>27566.17752199695</v>
      </c>
      <c r="D23" s="259">
        <f>'[7]Cataract 2014'!I112+'[7]Cataract 2014'!I142</f>
        <v>22050.317162984706</v>
      </c>
      <c r="F23" s="398">
        <f>'[7]Cataract 2014'!K112+'[7]Cataract 2014'!K142</f>
        <v>10977.77</v>
      </c>
      <c r="G23" s="259">
        <f>'[7]Cataract 2014'!L112+'[7]Cataract 2014'!L142</f>
        <v>49567</v>
      </c>
    </row>
    <row r="24" spans="1:7" s="247" customFormat="1" x14ac:dyDescent="0.2">
      <c r="A24" s="256" t="s">
        <v>15</v>
      </c>
      <c r="B24" s="397">
        <f>'5.Cataract'!B96</f>
        <v>2739970.5356088658</v>
      </c>
      <c r="C24" s="260">
        <f>'[7]Cataract 2014'!H113+'[7]Cataract 2014'!H143</f>
        <v>73488.877075235723</v>
      </c>
      <c r="D24" s="259">
        <f>'[7]Cataract 2014'!I113+'[7]Cataract 2014'!I143</f>
        <v>61467.721044565347</v>
      </c>
      <c r="F24" s="398">
        <f>'[7]Cataract 2014'!K113+'[7]Cataract 2014'!K143</f>
        <v>25523.54</v>
      </c>
      <c r="G24" s="259">
        <f>'[7]Cataract 2014'!L113+'[7]Cataract 2014'!L143</f>
        <v>139740</v>
      </c>
    </row>
    <row r="25" spans="1:7" s="247" customFormat="1" x14ac:dyDescent="0.2">
      <c r="A25" s="256" t="s">
        <v>16</v>
      </c>
      <c r="B25" s="397">
        <f>'5.Cataract'!B97</f>
        <v>1513246</v>
      </c>
      <c r="C25" s="260">
        <f>'[7]Cataract 2014'!H114+'[7]Cataract 2014'!H144</f>
        <v>47699.960355241637</v>
      </c>
      <c r="D25" s="259">
        <f>'[7]Cataract 2014'!I114+'[7]Cataract 2014'!I144</f>
        <v>42271.467278479686</v>
      </c>
      <c r="F25" s="398">
        <f>'[7]Cataract 2014'!K114+'[7]Cataract 2014'!K144</f>
        <v>49302.23</v>
      </c>
      <c r="G25" s="259">
        <f>'[7]Cataract 2014'!L114+'[7]Cataract 2014'!L144</f>
        <v>258859</v>
      </c>
    </row>
    <row r="26" spans="1:7" s="247" customFormat="1" x14ac:dyDescent="0.2">
      <c r="A26" s="256" t="s">
        <v>17</v>
      </c>
      <c r="B26" s="397">
        <f>'5.Cataract'!B98</f>
        <v>784195.44620730029</v>
      </c>
      <c r="C26" s="260">
        <f>'[7]Cataract 2014'!H115+'[7]Cataract 2014'!H145</f>
        <v>11506.486988612261</v>
      </c>
      <c r="D26" s="259">
        <f>'[7]Cataract 2014'!I115+'[7]Cataract 2014'!I145</f>
        <v>10844.201435132372</v>
      </c>
      <c r="F26" s="398">
        <f>'[7]Cataract 2014'!K115+'[7]Cataract 2014'!K145</f>
        <v>24795.590000000004</v>
      </c>
      <c r="G26" s="259">
        <f>'[7]Cataract 2014'!L115+'[7]Cataract 2014'!L145</f>
        <v>132393</v>
      </c>
    </row>
    <row r="27" spans="1:7" s="247" customFormat="1" x14ac:dyDescent="0.2">
      <c r="A27" s="256" t="s">
        <v>18</v>
      </c>
      <c r="B27" s="397">
        <f>'5.Cataract'!B99</f>
        <v>33032823.157106262</v>
      </c>
      <c r="C27" s="260">
        <f>'[7]Cataract 2014'!H116+'[7]Cataract 2014'!H146</f>
        <v>162803.85998749649</v>
      </c>
      <c r="D27" s="259">
        <f>'[7]Cataract 2014'!I116+'[7]Cataract 2014'!I146</f>
        <v>138659.11633795864</v>
      </c>
      <c r="F27" s="398">
        <f>'[7]Cataract 2014'!K116+'[7]Cataract 2014'!K146</f>
        <v>113845.98000000001</v>
      </c>
      <c r="G27" s="259">
        <f>'[7]Cataract 2014'!L116+'[7]Cataract 2014'!L146</f>
        <v>591748</v>
      </c>
    </row>
    <row r="28" spans="1:7" s="247" customFormat="1" x14ac:dyDescent="0.2">
      <c r="A28" s="250"/>
      <c r="B28" s="251"/>
      <c r="C28" s="251"/>
      <c r="D28" s="253"/>
      <c r="F28" s="262"/>
      <c r="G28" s="263"/>
    </row>
    <row r="30" spans="1:7" x14ac:dyDescent="0.2">
      <c r="A30" s="169" t="s">
        <v>210</v>
      </c>
    </row>
    <row r="31" spans="1:7" x14ac:dyDescent="0.2">
      <c r="A31" s="334" t="s">
        <v>294</v>
      </c>
    </row>
    <row r="33" spans="1:13" ht="15.75" customHeight="1" x14ac:dyDescent="0.2">
      <c r="A33" s="477" t="s">
        <v>81</v>
      </c>
      <c r="B33" s="264"/>
      <c r="C33" s="473" t="s">
        <v>168</v>
      </c>
      <c r="D33" s="474"/>
      <c r="E33" s="475" t="s">
        <v>169</v>
      </c>
      <c r="F33" s="475"/>
      <c r="G33" s="476"/>
      <c r="J33" s="296"/>
      <c r="K33" s="296"/>
      <c r="L33" s="296"/>
      <c r="M33" s="296"/>
    </row>
    <row r="34" spans="1:13" x14ac:dyDescent="0.2">
      <c r="A34" s="478"/>
      <c r="B34" s="265" t="s">
        <v>26</v>
      </c>
      <c r="C34" s="266" t="s">
        <v>123</v>
      </c>
      <c r="D34" s="267" t="s">
        <v>124</v>
      </c>
      <c r="E34" s="268" t="s">
        <v>123</v>
      </c>
      <c r="F34" s="269" t="s">
        <v>124</v>
      </c>
      <c r="G34" s="267" t="s">
        <v>18</v>
      </c>
      <c r="J34" s="296"/>
      <c r="K34" s="296"/>
      <c r="L34" s="296"/>
      <c r="M34" s="296"/>
    </row>
    <row r="35" spans="1:13" x14ac:dyDescent="0.2">
      <c r="A35" s="270" t="s">
        <v>108</v>
      </c>
      <c r="B35" s="271"/>
      <c r="C35" s="272"/>
      <c r="D35" s="273"/>
      <c r="E35" s="274"/>
      <c r="F35" s="275"/>
      <c r="G35" s="276"/>
      <c r="J35" s="296"/>
      <c r="K35" s="296"/>
      <c r="L35" s="296"/>
      <c r="M35" s="296"/>
    </row>
    <row r="36" spans="1:13" x14ac:dyDescent="0.2">
      <c r="A36" s="277" t="s">
        <v>7</v>
      </c>
      <c r="B36" s="278">
        <f>SUM('[2]Pop 57'!$C$5:$C$6)</f>
        <v>1966319</v>
      </c>
      <c r="C36" s="279">
        <f>'1.Diabetes case'!L64</f>
        <v>499</v>
      </c>
      <c r="D36" s="283">
        <f>'1.Diabetes case'!L93</f>
        <v>0</v>
      </c>
      <c r="E36" s="280">
        <f>(C36/B36)*(4-1)/(1+(C36/B36)*(4-1))</f>
        <v>7.6074185797859149E-4</v>
      </c>
      <c r="F36" s="280">
        <v>0</v>
      </c>
      <c r="G36" s="281">
        <f>E36+F36</f>
        <v>7.6074185797859149E-4</v>
      </c>
      <c r="J36" s="296"/>
      <c r="K36" s="296"/>
      <c r="L36" s="296"/>
      <c r="M36" s="296"/>
    </row>
    <row r="37" spans="1:13" x14ac:dyDescent="0.2">
      <c r="A37" s="277" t="s">
        <v>11</v>
      </c>
      <c r="B37" s="278">
        <f>SUM('[2]Pop 57'!$C$7:$C$8)</f>
        <v>4179206</v>
      </c>
      <c r="C37" s="279">
        <f>'1.Diabetes case'!L65</f>
        <v>4170</v>
      </c>
      <c r="D37" s="283">
        <f>'1.Diabetes case'!L94</f>
        <v>0</v>
      </c>
      <c r="E37" s="280">
        <f t="shared" ref="E37:E40" si="0">(C37/B37)*(4-1)/(1+(C37/B37)*(4-1))</f>
        <v>2.9844579165191538E-3</v>
      </c>
      <c r="F37" s="280">
        <v>0</v>
      </c>
      <c r="G37" s="281">
        <f t="shared" ref="G37:G43" si="1">E37+F37</f>
        <v>2.9844579165191538E-3</v>
      </c>
      <c r="J37" s="296"/>
      <c r="K37" s="296"/>
      <c r="L37" s="296"/>
      <c r="M37" s="296"/>
    </row>
    <row r="38" spans="1:13" x14ac:dyDescent="0.2">
      <c r="A38" s="282" t="s">
        <v>12</v>
      </c>
      <c r="B38" s="278">
        <f>SUM('[2]Pop 57'!$C$9:$C$11)</f>
        <v>7301822</v>
      </c>
      <c r="C38" s="279">
        <f>'1.Diabetes case'!L66</f>
        <v>16107</v>
      </c>
      <c r="D38" s="283">
        <f>'1.Diabetes case'!L95</f>
        <v>101454</v>
      </c>
      <c r="E38" s="280">
        <f t="shared" si="0"/>
        <v>6.5741578089024942E-3</v>
      </c>
      <c r="F38" s="280">
        <f>(D38/B38)*(4-1)/(1+(D38/B38)*(4-1))</f>
        <v>4.0015071946721256E-2</v>
      </c>
      <c r="G38" s="281">
        <f t="shared" si="1"/>
        <v>4.6589229755623754E-2</v>
      </c>
      <c r="J38" s="296"/>
      <c r="K38" s="296"/>
      <c r="L38" s="296"/>
      <c r="M38" s="296"/>
    </row>
    <row r="39" spans="1:13" x14ac:dyDescent="0.2">
      <c r="A39" s="282" t="s">
        <v>13</v>
      </c>
      <c r="B39" s="278">
        <f>SUM('[2]Pop 57'!$C$12:$C$14)</f>
        <v>7896765</v>
      </c>
      <c r="C39" s="279">
        <f>'1.Diabetes case'!L67</f>
        <v>22800</v>
      </c>
      <c r="D39" s="283">
        <f>'1.Diabetes case'!L96</f>
        <v>407737</v>
      </c>
      <c r="E39" s="280">
        <f t="shared" si="0"/>
        <v>8.587392728210904E-3</v>
      </c>
      <c r="F39" s="280">
        <f t="shared" ref="F39:F40" si="2">(D39/B39)*(4-1)/(1+(D39/B39)*(4-1))</f>
        <v>0.13412436611675294</v>
      </c>
      <c r="G39" s="281">
        <f t="shared" si="1"/>
        <v>0.14271175884496384</v>
      </c>
      <c r="J39" s="296"/>
      <c r="K39" s="296"/>
      <c r="L39" s="296"/>
      <c r="M39" s="296"/>
    </row>
    <row r="40" spans="1:13" x14ac:dyDescent="0.2">
      <c r="A40" s="282" t="s">
        <v>14</v>
      </c>
      <c r="B40" s="278">
        <f>SUM('[2]Pop 57'!$C$15:$C$17)</f>
        <v>6554289</v>
      </c>
      <c r="C40" s="279">
        <f>'1.Diabetes case'!L68</f>
        <v>17844</v>
      </c>
      <c r="D40" s="283">
        <f>'1.Diabetes case'!L97</f>
        <v>716551</v>
      </c>
      <c r="E40" s="280">
        <f t="shared" si="0"/>
        <v>8.1013090396970522E-3</v>
      </c>
      <c r="F40" s="280">
        <f t="shared" si="2"/>
        <v>0.24697464666009952</v>
      </c>
      <c r="G40" s="281">
        <f t="shared" si="1"/>
        <v>0.25507595569979657</v>
      </c>
      <c r="J40" s="296"/>
      <c r="K40" s="296"/>
      <c r="L40" s="296"/>
      <c r="M40" s="296"/>
    </row>
    <row r="41" spans="1:13" x14ac:dyDescent="0.2">
      <c r="A41" s="282" t="s">
        <v>15</v>
      </c>
      <c r="B41" s="278">
        <f>SUM('[2]Pop 57'!$C$18:$C$19)</f>
        <v>2344057</v>
      </c>
      <c r="C41" s="279">
        <f>'1.Diabetes case'!L69</f>
        <v>5876</v>
      </c>
      <c r="D41" s="283">
        <f>'1.Diabetes case'!L98</f>
        <v>344390</v>
      </c>
      <c r="E41" s="280">
        <f>(C41/B41)*(3-1)/(1+(C41/B41)*(3-1))</f>
        <v>4.9885198672727721E-3</v>
      </c>
      <c r="F41" s="280">
        <f>(D41/B41)*(3-1)/(1+(D41/B41)*(3-1))</f>
        <v>0.22710749044541464</v>
      </c>
      <c r="G41" s="281">
        <f t="shared" si="1"/>
        <v>0.23209601031268742</v>
      </c>
      <c r="J41" s="296"/>
      <c r="K41" s="296"/>
      <c r="L41" s="296"/>
      <c r="M41" s="296"/>
    </row>
    <row r="42" spans="1:13" x14ac:dyDescent="0.2">
      <c r="A42" s="282" t="s">
        <v>16</v>
      </c>
      <c r="B42" s="278">
        <f>SUM('[2]Pop 57'!$C$20:$C$21)</f>
        <v>1173067</v>
      </c>
      <c r="C42" s="279">
        <f>'1.Diabetes case'!L70</f>
        <v>2511</v>
      </c>
      <c r="D42" s="283">
        <f>'1.Diabetes case'!L99</f>
        <v>178996</v>
      </c>
      <c r="E42" s="280">
        <f>(C42/B42)*(2-1)/(1+(C42/B42)*(2-1))</f>
        <v>2.1359705608645276E-3</v>
      </c>
      <c r="F42" s="280">
        <f>(D42/B42)*(2-1)/(1+(D42/B42)*(2-1))</f>
        <v>0.13238732218838917</v>
      </c>
      <c r="G42" s="281">
        <f t="shared" si="1"/>
        <v>0.1345232927492537</v>
      </c>
      <c r="J42" s="296"/>
      <c r="K42" s="296"/>
      <c r="L42" s="296"/>
      <c r="M42" s="296"/>
    </row>
    <row r="43" spans="1:13" x14ac:dyDescent="0.2">
      <c r="A43" s="282" t="s">
        <v>17</v>
      </c>
      <c r="B43" s="278">
        <f>SUM('[2]Pop 57'!$C$22:$C$26)</f>
        <v>506965</v>
      </c>
      <c r="C43" s="279">
        <f>'1.Diabetes case'!L71</f>
        <v>752</v>
      </c>
      <c r="D43" s="283">
        <f>'1.Diabetes case'!L100</f>
        <v>70802</v>
      </c>
      <c r="E43" s="280">
        <f>(C43/B43)*(2-1)/(1+(C43/B43)*(2-1))</f>
        <v>1.4811400839444021E-3</v>
      </c>
      <c r="F43" s="280">
        <f>(D43/B43)*(2-1)/(1+(D43/B43)*(2-1))</f>
        <v>0.12254420899774476</v>
      </c>
      <c r="G43" s="281">
        <f t="shared" si="1"/>
        <v>0.12402534908168916</v>
      </c>
      <c r="J43" s="296"/>
    </row>
    <row r="44" spans="1:13" x14ac:dyDescent="0.2">
      <c r="A44" s="284" t="s">
        <v>160</v>
      </c>
      <c r="B44" s="278">
        <f>SUM(B36:B43)</f>
        <v>31922490</v>
      </c>
      <c r="C44" s="285">
        <f>'1.Diabetes case'!L72</f>
        <v>70559</v>
      </c>
      <c r="D44" s="286">
        <f>'1.Diabetes case'!L101</f>
        <v>1819930</v>
      </c>
      <c r="E44" s="287"/>
      <c r="F44" s="287"/>
      <c r="G44" s="288"/>
    </row>
    <row r="45" spans="1:13" x14ac:dyDescent="0.2">
      <c r="A45" s="289"/>
      <c r="B45" s="290"/>
      <c r="C45" s="289"/>
      <c r="D45" s="288"/>
      <c r="E45" s="287"/>
      <c r="F45" s="287"/>
      <c r="G45" s="288"/>
      <c r="J45" s="296"/>
    </row>
    <row r="46" spans="1:13" x14ac:dyDescent="0.2">
      <c r="A46" s="270" t="s">
        <v>109</v>
      </c>
      <c r="B46" s="278"/>
      <c r="C46" s="289"/>
      <c r="D46" s="288"/>
      <c r="E46" s="287"/>
      <c r="F46" s="287"/>
      <c r="G46" s="288"/>
      <c r="J46" s="296"/>
    </row>
    <row r="47" spans="1:13" x14ac:dyDescent="0.2">
      <c r="A47" s="277" t="s">
        <v>7</v>
      </c>
      <c r="B47" s="278">
        <f>SUM('[2]Pop 57'!$D$5:$D$6)</f>
        <v>1849075</v>
      </c>
      <c r="C47" s="285">
        <f>'1.Diabetes case'!L75</f>
        <v>469</v>
      </c>
      <c r="D47" s="286">
        <f>'1.Diabetes case'!L104</f>
        <v>0</v>
      </c>
      <c r="E47" s="280">
        <f>(C47/B47)*(4-1)/(1+(C47/B47)*(4-1))</f>
        <v>7.6034244051009412E-4</v>
      </c>
      <c r="F47" s="280">
        <v>0</v>
      </c>
      <c r="G47" s="281">
        <f>E47+F47</f>
        <v>7.6034244051009412E-4</v>
      </c>
      <c r="J47" s="296"/>
    </row>
    <row r="48" spans="1:13" x14ac:dyDescent="0.2">
      <c r="A48" s="277" t="s">
        <v>11</v>
      </c>
      <c r="B48" s="278">
        <f>SUM('[2]Pop 57'!$D$7:$D$8)</f>
        <v>3940160</v>
      </c>
      <c r="C48" s="285">
        <f>'1.Diabetes case'!L76</f>
        <v>3929</v>
      </c>
      <c r="D48" s="286">
        <f>'1.Diabetes case'!L105</f>
        <v>0</v>
      </c>
      <c r="E48" s="280">
        <f t="shared" ref="E48:E51" si="3">(C48/B48)*(4-1)/(1+(C48/B48)*(4-1))</f>
        <v>2.9825804850115655E-3</v>
      </c>
      <c r="F48" s="280">
        <v>0</v>
      </c>
      <c r="G48" s="281">
        <f t="shared" ref="G48:G54" si="4">E48+F48</f>
        <v>2.9825804850115655E-3</v>
      </c>
      <c r="J48" s="296"/>
      <c r="K48" s="242" t="s">
        <v>23</v>
      </c>
    </row>
    <row r="49" spans="1:10" x14ac:dyDescent="0.2">
      <c r="A49" s="282" t="s">
        <v>12</v>
      </c>
      <c r="B49" s="291">
        <f>SUM('[2]Pop 57'!$D$9:$D$11)</f>
        <v>7026158.1752900956</v>
      </c>
      <c r="C49" s="285">
        <f>'1.Diabetes case'!L77</f>
        <v>15515</v>
      </c>
      <c r="D49" s="286">
        <f>'1.Diabetes case'!L106</f>
        <v>153923</v>
      </c>
      <c r="E49" s="280">
        <f t="shared" si="3"/>
        <v>6.5809350182564254E-3</v>
      </c>
      <c r="F49" s="280">
        <f>(D49/B49)*(4-1)/(1+(D49/B49)*(4-1))</f>
        <v>6.1668468347798829E-2</v>
      </c>
      <c r="G49" s="281">
        <f t="shared" si="4"/>
        <v>6.8249403366055256E-2</v>
      </c>
      <c r="J49" s="296"/>
    </row>
    <row r="50" spans="1:10" x14ac:dyDescent="0.2">
      <c r="A50" s="282" t="s">
        <v>13</v>
      </c>
      <c r="B50" s="278">
        <f>SUM('[2]Pop 57'!$D$12:$D$14)</f>
        <v>8017814</v>
      </c>
      <c r="C50" s="285">
        <f>'1.Diabetes case'!L78</f>
        <v>23335</v>
      </c>
      <c r="D50" s="286">
        <f>'1.Diabetes case'!L107</f>
        <v>465019</v>
      </c>
      <c r="E50" s="280">
        <f t="shared" si="3"/>
        <v>8.6556091326969609E-3</v>
      </c>
      <c r="F50" s="280">
        <f t="shared" ref="F50:F51" si="5">(D50/B50)*(4-1)/(1+(D50/B50)*(4-1))</f>
        <v>0.14820738539814263</v>
      </c>
      <c r="G50" s="281">
        <f t="shared" si="4"/>
        <v>0.1568629945308396</v>
      </c>
      <c r="J50" s="296"/>
    </row>
    <row r="51" spans="1:10" x14ac:dyDescent="0.2">
      <c r="A51" s="282" t="s">
        <v>14</v>
      </c>
      <c r="B51" s="278">
        <f>SUM('[2]Pop 57'!$D$15:$D$17)</f>
        <v>7162204</v>
      </c>
      <c r="C51" s="285">
        <f>'1.Diabetes case'!L79</f>
        <v>19868</v>
      </c>
      <c r="D51" s="286">
        <f>'1.Diabetes case'!L108</f>
        <v>800798</v>
      </c>
      <c r="E51" s="280">
        <f t="shared" si="3"/>
        <v>8.2533348989615885E-3</v>
      </c>
      <c r="F51" s="280">
        <f t="shared" si="5"/>
        <v>0.25117563749150773</v>
      </c>
      <c r="G51" s="281">
        <f t="shared" si="4"/>
        <v>0.2594289723904693</v>
      </c>
      <c r="J51" s="296"/>
    </row>
    <row r="52" spans="1:10" x14ac:dyDescent="0.2">
      <c r="A52" s="282" t="s">
        <v>15</v>
      </c>
      <c r="B52" s="291">
        <f>SUM('[2]Pop 57'!$D$18:$D$19)</f>
        <v>2739970.5356088658</v>
      </c>
      <c r="C52" s="285">
        <f>'1.Diabetes case'!L80</f>
        <v>6831</v>
      </c>
      <c r="D52" s="286">
        <f>'1.Diabetes case'!L109</f>
        <v>556682</v>
      </c>
      <c r="E52" s="280">
        <f>(C52/B52)*(3-1)/(1+(C52/B52)*(3-1))</f>
        <v>4.9614463162126849E-3</v>
      </c>
      <c r="F52" s="280">
        <f>(D52/B52)*(3-1)/(1+(D52/B52)*(3-1))</f>
        <v>0.28893520396719907</v>
      </c>
      <c r="G52" s="281">
        <f t="shared" si="4"/>
        <v>0.29389665028341178</v>
      </c>
      <c r="J52" s="296"/>
    </row>
    <row r="53" spans="1:10" x14ac:dyDescent="0.2">
      <c r="A53" s="282" t="s">
        <v>16</v>
      </c>
      <c r="B53" s="291">
        <f>SUM('[2]Pop 57'!$D$20:$D$21)</f>
        <v>1513246</v>
      </c>
      <c r="C53" s="285">
        <f>'1.Diabetes case'!L81</f>
        <v>2988</v>
      </c>
      <c r="D53" s="286">
        <f>'1.Diabetes case'!L110</f>
        <v>326983</v>
      </c>
      <c r="E53" s="280">
        <f>(C53/B53)*(2-1)/(1+(C53/B53)*(2-1))</f>
        <v>1.9706720730441342E-3</v>
      </c>
      <c r="F53" s="280">
        <f>(D53/B53)*(2-1)/(1+(D53/B53)*(2-1))</f>
        <v>0.1776860379876635</v>
      </c>
      <c r="G53" s="281">
        <f t="shared" si="4"/>
        <v>0.17965671006070763</v>
      </c>
      <c r="J53" s="296"/>
    </row>
    <row r="54" spans="1:10" x14ac:dyDescent="0.2">
      <c r="A54" s="282" t="s">
        <v>17</v>
      </c>
      <c r="B54" s="291">
        <f>SUM('[2]Pop 57'!$D$22:$D$26)</f>
        <v>784195.44620730029</v>
      </c>
      <c r="C54" s="285">
        <f>'1.Diabetes case'!L82</f>
        <v>1020</v>
      </c>
      <c r="D54" s="286">
        <f>'1.Diabetes case'!L111</f>
        <v>100015</v>
      </c>
      <c r="E54" s="280">
        <f>(C54/B54)*(2-1)/(1+(C54/B54)*(2-1))</f>
        <v>1.299006540086217E-3</v>
      </c>
      <c r="F54" s="280">
        <f>(D54/B54)*(2-1)/(1+(D54/B54)*(2-1))</f>
        <v>0.11311221262879291</v>
      </c>
      <c r="G54" s="281">
        <f t="shared" si="4"/>
        <v>0.11441121916887913</v>
      </c>
      <c r="J54" s="296"/>
    </row>
    <row r="55" spans="1:10" x14ac:dyDescent="0.2">
      <c r="A55" s="284" t="s">
        <v>160</v>
      </c>
      <c r="B55" s="291">
        <f>SUM(B47:B54)</f>
        <v>33032823.157106262</v>
      </c>
      <c r="C55" s="285">
        <f>'1.Diabetes case'!L83</f>
        <v>73955</v>
      </c>
      <c r="D55" s="286">
        <f>'1.Diabetes case'!L112</f>
        <v>2403420</v>
      </c>
      <c r="E55" s="287"/>
      <c r="F55" s="287"/>
      <c r="G55" s="288"/>
    </row>
    <row r="56" spans="1:10" x14ac:dyDescent="0.2">
      <c r="A56" s="292"/>
      <c r="B56" s="293"/>
      <c r="C56" s="292"/>
      <c r="D56" s="294"/>
      <c r="E56" s="295"/>
      <c r="F56" s="295"/>
      <c r="G56" s="294"/>
    </row>
  </sheetData>
  <mergeCells count="3">
    <mergeCell ref="C33:D33"/>
    <mergeCell ref="E33:G33"/>
    <mergeCell ref="A33:A34"/>
  </mergeCells>
  <pageMargins left="0.7" right="0.7" top="0.75" bottom="0.75" header="0.3" footer="0.3"/>
  <pageSetup paperSize="9" orientation="portrait" verticalDpi="0" r:id="rId1"/>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129"/>
  <sheetViews>
    <sheetView topLeftCell="A118" workbookViewId="0">
      <selection activeCell="B67" sqref="B67"/>
    </sheetView>
  </sheetViews>
  <sheetFormatPr baseColWidth="10" defaultColWidth="9" defaultRowHeight="15" x14ac:dyDescent="0.2"/>
  <cols>
    <col min="1" max="1" width="17.83203125" style="22" customWidth="1"/>
    <col min="2" max="2" width="19.5" style="22" customWidth="1"/>
    <col min="3" max="3" width="12.33203125" style="22" customWidth="1"/>
    <col min="4" max="4" width="12.6640625" style="22" customWidth="1"/>
    <col min="5" max="5" width="10.6640625" style="22" customWidth="1"/>
    <col min="6" max="6" width="11.83203125" style="22" customWidth="1"/>
    <col min="7" max="7" width="14.33203125" style="22" customWidth="1"/>
    <col min="8" max="8" width="8.5" style="22" customWidth="1"/>
    <col min="9" max="10" width="9" style="22"/>
    <col min="11" max="11" width="17.33203125" style="22" customWidth="1"/>
    <col min="12" max="12" width="17.5" style="22" customWidth="1"/>
    <col min="13" max="16384" width="9" style="22"/>
  </cols>
  <sheetData>
    <row r="1" spans="1:10" x14ac:dyDescent="0.2">
      <c r="A1" s="420" t="s">
        <v>174</v>
      </c>
      <c r="B1" s="420"/>
      <c r="C1" s="420"/>
      <c r="D1" s="420"/>
      <c r="E1" s="420"/>
    </row>
    <row r="2" spans="1:10" x14ac:dyDescent="0.2">
      <c r="A2" s="420" t="s">
        <v>0</v>
      </c>
      <c r="B2" s="420"/>
      <c r="C2" s="420"/>
      <c r="D2" s="420"/>
      <c r="E2" s="420"/>
    </row>
    <row r="3" spans="1:10" x14ac:dyDescent="0.2">
      <c r="A3" s="420" t="s">
        <v>50</v>
      </c>
      <c r="B3" s="420"/>
      <c r="C3" s="420"/>
      <c r="D3" s="420"/>
      <c r="E3" s="420"/>
    </row>
    <row r="4" spans="1:10" x14ac:dyDescent="0.2">
      <c r="A4" s="420" t="s">
        <v>187</v>
      </c>
      <c r="B4" s="420"/>
      <c r="C4" s="420"/>
      <c r="D4" s="420"/>
      <c r="E4" s="420"/>
    </row>
    <row r="5" spans="1:10" x14ac:dyDescent="0.2">
      <c r="A5" s="420" t="s">
        <v>46</v>
      </c>
      <c r="B5" s="420"/>
      <c r="C5" s="420"/>
      <c r="D5" s="420"/>
      <c r="E5" s="420"/>
    </row>
    <row r="6" spans="1:10" x14ac:dyDescent="0.2">
      <c r="A6" s="420" t="s">
        <v>1</v>
      </c>
      <c r="B6" s="420"/>
      <c r="C6" s="420"/>
      <c r="D6" s="420"/>
      <c r="E6" s="420"/>
    </row>
    <row r="7" spans="1:10" x14ac:dyDescent="0.2">
      <c r="A7" s="2"/>
      <c r="B7" s="2"/>
      <c r="C7" s="2"/>
      <c r="D7" s="2"/>
      <c r="E7" s="2"/>
    </row>
    <row r="8" spans="1:10" x14ac:dyDescent="0.2">
      <c r="A8" s="23" t="s">
        <v>2</v>
      </c>
    </row>
    <row r="10" spans="1:10" x14ac:dyDescent="0.2">
      <c r="A10" s="44" t="s">
        <v>3</v>
      </c>
      <c r="B10" s="65" t="s">
        <v>4</v>
      </c>
      <c r="C10" s="415" t="s">
        <v>41</v>
      </c>
      <c r="D10" s="416"/>
      <c r="E10" s="417"/>
      <c r="F10" s="49"/>
      <c r="G10" s="49"/>
    </row>
    <row r="11" spans="1:10" x14ac:dyDescent="0.2">
      <c r="A11" s="52"/>
      <c r="B11" s="66"/>
      <c r="C11" s="50"/>
      <c r="D11" s="49"/>
      <c r="E11" s="51"/>
      <c r="F11" s="49"/>
      <c r="G11" s="49"/>
    </row>
    <row r="12" spans="1:10" x14ac:dyDescent="0.2">
      <c r="A12" s="30"/>
      <c r="B12" s="68"/>
      <c r="C12" s="30"/>
      <c r="D12" s="31"/>
      <c r="E12" s="32"/>
      <c r="F12" s="28"/>
      <c r="G12" s="28"/>
    </row>
    <row r="14" spans="1:10" x14ac:dyDescent="0.2">
      <c r="A14" s="23" t="s">
        <v>5</v>
      </c>
      <c r="E14" s="28"/>
    </row>
    <row r="15" spans="1:10" x14ac:dyDescent="0.2">
      <c r="A15" s="23"/>
      <c r="B15" s="23"/>
      <c r="E15" s="28"/>
      <c r="F15" s="28"/>
      <c r="G15" s="28"/>
      <c r="H15" s="28"/>
      <c r="I15" s="28"/>
      <c r="J15" s="28"/>
    </row>
    <row r="16" spans="1:10" x14ac:dyDescent="0.2">
      <c r="A16" s="65" t="s">
        <v>4</v>
      </c>
      <c r="B16" s="43" t="s">
        <v>30</v>
      </c>
      <c r="C16" s="54" t="s">
        <v>6</v>
      </c>
    </row>
    <row r="17" spans="1:10" x14ac:dyDescent="0.2">
      <c r="A17" s="66"/>
      <c r="B17" s="55"/>
      <c r="C17" s="418"/>
    </row>
    <row r="18" spans="1:10" x14ac:dyDescent="0.2">
      <c r="A18" s="67"/>
      <c r="B18" s="41"/>
      <c r="C18" s="419"/>
      <c r="E18" s="22" t="s">
        <v>23</v>
      </c>
    </row>
    <row r="19" spans="1:10" x14ac:dyDescent="0.2">
      <c r="A19" s="53"/>
      <c r="B19" s="5"/>
      <c r="C19" s="32"/>
    </row>
    <row r="20" spans="1:10" x14ac:dyDescent="0.2">
      <c r="A20" s="92"/>
      <c r="B20" s="28"/>
      <c r="C20" s="28"/>
    </row>
    <row r="22" spans="1:10" x14ac:dyDescent="0.2">
      <c r="A22" s="23" t="s">
        <v>8</v>
      </c>
    </row>
    <row r="23" spans="1:10" x14ac:dyDescent="0.2">
      <c r="A23" s="23"/>
    </row>
    <row r="24" spans="1:10" x14ac:dyDescent="0.2">
      <c r="A24" s="436" t="s">
        <v>4</v>
      </c>
      <c r="B24" s="411" t="s">
        <v>81</v>
      </c>
      <c r="C24" s="429" t="s">
        <v>9</v>
      </c>
      <c r="D24" s="430"/>
      <c r="E24" s="421" t="s">
        <v>6</v>
      </c>
    </row>
    <row r="25" spans="1:10" x14ac:dyDescent="0.2">
      <c r="A25" s="437"/>
      <c r="B25" s="412"/>
      <c r="C25" s="94" t="s">
        <v>108</v>
      </c>
      <c r="D25" s="94" t="s">
        <v>109</v>
      </c>
      <c r="E25" s="422"/>
    </row>
    <row r="26" spans="1:10" x14ac:dyDescent="0.2">
      <c r="A26" s="124"/>
      <c r="B26" s="171"/>
      <c r="C26" s="172"/>
      <c r="D26" s="172"/>
      <c r="E26" s="173"/>
    </row>
    <row r="27" spans="1:10" x14ac:dyDescent="0.2">
      <c r="A27" s="174"/>
      <c r="B27" s="170"/>
      <c r="C27" s="104"/>
      <c r="D27" s="104"/>
      <c r="E27" s="175"/>
    </row>
    <row r="28" spans="1:10" x14ac:dyDescent="0.2">
      <c r="A28" s="125"/>
      <c r="B28" s="176"/>
      <c r="C28" s="177"/>
      <c r="D28" s="177"/>
      <c r="E28" s="178"/>
    </row>
    <row r="30" spans="1:10" x14ac:dyDescent="0.2">
      <c r="A30" s="9" t="s">
        <v>10</v>
      </c>
    </row>
    <row r="32" spans="1:10" x14ac:dyDescent="0.2">
      <c r="A32" s="24"/>
      <c r="B32" s="25" t="s">
        <v>7</v>
      </c>
      <c r="C32" s="25" t="s">
        <v>11</v>
      </c>
      <c r="D32" s="25" t="s">
        <v>12</v>
      </c>
      <c r="E32" s="25" t="s">
        <v>13</v>
      </c>
      <c r="F32" s="25" t="s">
        <v>14</v>
      </c>
      <c r="G32" s="25" t="s">
        <v>15</v>
      </c>
      <c r="H32" s="25" t="s">
        <v>16</v>
      </c>
      <c r="I32" s="25" t="s">
        <v>17</v>
      </c>
      <c r="J32" s="26" t="s">
        <v>18</v>
      </c>
    </row>
    <row r="33" spans="1:10" x14ac:dyDescent="0.2">
      <c r="A33" s="27" t="s">
        <v>19</v>
      </c>
      <c r="B33" s="28"/>
      <c r="C33" s="28"/>
      <c r="D33" s="28"/>
      <c r="E33" s="28"/>
      <c r="F33" s="28"/>
      <c r="G33" s="28"/>
      <c r="H33" s="28"/>
      <c r="I33" s="28"/>
      <c r="J33" s="29"/>
    </row>
    <row r="34" spans="1:10" x14ac:dyDescent="0.2">
      <c r="A34" s="21" t="s">
        <v>20</v>
      </c>
      <c r="B34" s="28"/>
      <c r="C34" s="28"/>
      <c r="D34" s="28"/>
      <c r="E34" s="28"/>
      <c r="F34" s="28"/>
      <c r="G34" s="28"/>
      <c r="H34" s="28"/>
      <c r="I34" s="28"/>
      <c r="J34" s="29"/>
    </row>
    <row r="35" spans="1:10" x14ac:dyDescent="0.2">
      <c r="A35" s="21" t="s">
        <v>21</v>
      </c>
      <c r="B35" s="28"/>
      <c r="C35" s="28"/>
      <c r="D35" s="28"/>
      <c r="E35" s="28"/>
      <c r="F35" s="28"/>
      <c r="G35" s="28"/>
      <c r="H35" s="28"/>
      <c r="I35" s="28"/>
      <c r="J35" s="29"/>
    </row>
    <row r="36" spans="1:10" x14ac:dyDescent="0.2">
      <c r="A36" s="27" t="s">
        <v>22</v>
      </c>
      <c r="B36" s="28"/>
      <c r="C36" s="28"/>
      <c r="D36" s="28"/>
      <c r="E36" s="28"/>
      <c r="F36" s="28"/>
      <c r="G36" s="28"/>
      <c r="H36" s="28"/>
      <c r="I36" s="28"/>
      <c r="J36" s="29"/>
    </row>
    <row r="37" spans="1:10" x14ac:dyDescent="0.2">
      <c r="A37" s="21" t="s">
        <v>20</v>
      </c>
      <c r="B37" s="28"/>
      <c r="C37" s="28"/>
      <c r="D37" s="28"/>
      <c r="E37" s="28"/>
      <c r="F37" s="28"/>
      <c r="G37" s="28"/>
      <c r="H37" s="28"/>
      <c r="I37" s="28"/>
      <c r="J37" s="29"/>
    </row>
    <row r="38" spans="1:10" x14ac:dyDescent="0.2">
      <c r="A38" s="21" t="s">
        <v>21</v>
      </c>
      <c r="B38" s="28"/>
      <c r="C38" s="28"/>
      <c r="D38" s="28"/>
      <c r="E38" s="28"/>
      <c r="F38" s="28"/>
      <c r="G38" s="28"/>
      <c r="H38" s="28"/>
      <c r="I38" s="28"/>
      <c r="J38" s="29"/>
    </row>
    <row r="39" spans="1:10" x14ac:dyDescent="0.2">
      <c r="A39" s="27"/>
      <c r="B39" s="28"/>
      <c r="C39" s="28"/>
      <c r="D39" s="28" t="s">
        <v>23</v>
      </c>
      <c r="E39" s="28"/>
      <c r="F39" s="28"/>
      <c r="G39" s="28"/>
      <c r="H39" s="28"/>
      <c r="I39" s="28"/>
      <c r="J39" s="29"/>
    </row>
    <row r="40" spans="1:10" x14ac:dyDescent="0.2">
      <c r="A40" s="30"/>
      <c r="B40" s="31"/>
      <c r="C40" s="31"/>
      <c r="D40" s="31"/>
      <c r="E40" s="31"/>
      <c r="F40" s="31"/>
      <c r="G40" s="31"/>
      <c r="H40" s="31"/>
      <c r="I40" s="31"/>
      <c r="J40" s="32"/>
    </row>
    <row r="42" spans="1:10" x14ac:dyDescent="0.2">
      <c r="A42" s="64" t="s">
        <v>24</v>
      </c>
    </row>
    <row r="44" spans="1:10" x14ac:dyDescent="0.2">
      <c r="A44" s="23" t="s">
        <v>36</v>
      </c>
      <c r="H44" s="22" t="s">
        <v>23</v>
      </c>
    </row>
    <row r="45" spans="1:10" x14ac:dyDescent="0.2">
      <c r="A45" s="23" t="s">
        <v>190</v>
      </c>
    </row>
    <row r="46" spans="1:10" x14ac:dyDescent="0.2">
      <c r="A46" s="23"/>
    </row>
    <row r="47" spans="1:10" x14ac:dyDescent="0.2">
      <c r="A47" s="24" t="s">
        <v>25</v>
      </c>
      <c r="B47" s="25" t="s">
        <v>26</v>
      </c>
      <c r="C47" s="35" t="s">
        <v>31</v>
      </c>
      <c r="D47" s="26" t="s">
        <v>31</v>
      </c>
      <c r="F47" s="37" t="s">
        <v>37</v>
      </c>
      <c r="G47" s="38" t="s">
        <v>38</v>
      </c>
    </row>
    <row r="48" spans="1:10" x14ac:dyDescent="0.2">
      <c r="A48" s="30"/>
      <c r="B48" s="31">
        <v>2014</v>
      </c>
      <c r="C48" s="36" t="s">
        <v>32</v>
      </c>
      <c r="D48" s="32" t="s">
        <v>33</v>
      </c>
      <c r="F48" s="39" t="s">
        <v>32</v>
      </c>
      <c r="G48" s="40" t="s">
        <v>39</v>
      </c>
    </row>
    <row r="49" spans="1:7" x14ac:dyDescent="0.2">
      <c r="A49" s="27"/>
      <c r="B49" s="28"/>
      <c r="C49" s="58"/>
      <c r="D49" s="29"/>
      <c r="F49" s="27"/>
      <c r="G49" s="41"/>
    </row>
    <row r="50" spans="1:7" x14ac:dyDescent="0.2">
      <c r="A50" s="48" t="s">
        <v>34</v>
      </c>
      <c r="B50" s="28"/>
      <c r="C50" s="58"/>
      <c r="D50" s="29"/>
      <c r="F50" s="27"/>
      <c r="G50" s="41"/>
    </row>
    <row r="51" spans="1:7" x14ac:dyDescent="0.2">
      <c r="A51" s="33" t="s">
        <v>7</v>
      </c>
      <c r="B51" s="28">
        <f>SUM('[2]Pop 57'!$C$5:$C$6)</f>
        <v>1966319</v>
      </c>
      <c r="C51" s="60">
        <f>'6.Glaucoma_DATA'!E36*'6.Glaucoma_DATA'!C8</f>
        <v>0</v>
      </c>
      <c r="D51" s="98">
        <f>'6.Glaucoma_DATA'!E36*'6.Glaucoma_DATA'!D8</f>
        <v>0</v>
      </c>
      <c r="F51" s="99">
        <f>'6.Glaucoma_DATA'!E36*'6.Glaucoma_DATA'!F8</f>
        <v>0</v>
      </c>
      <c r="G51" s="100">
        <f>'6.Glaucoma_DATA'!E36*'6.Glaucoma_DATA'!G8</f>
        <v>0</v>
      </c>
    </row>
    <row r="52" spans="1:7" x14ac:dyDescent="0.2">
      <c r="A52" s="33" t="s">
        <v>11</v>
      </c>
      <c r="B52" s="28">
        <f>SUM('[2]Pop 57'!$C$7:$C$8)</f>
        <v>4179206</v>
      </c>
      <c r="C52" s="60">
        <f>'6.Glaucoma_DATA'!E37*'6.Glaucoma_DATA'!C9</f>
        <v>0</v>
      </c>
      <c r="D52" s="98">
        <f>'6.Glaucoma_DATA'!E37*'6.Glaucoma_DATA'!D9</f>
        <v>0</v>
      </c>
      <c r="F52" s="99">
        <f>'6.Glaucoma_DATA'!E37*'6.Glaucoma_DATA'!F9</f>
        <v>0</v>
      </c>
      <c r="G52" s="100">
        <f>'6.Glaucoma_DATA'!E37*'6.Glaucoma_DATA'!G9</f>
        <v>0</v>
      </c>
    </row>
    <row r="53" spans="1:7" x14ac:dyDescent="0.2">
      <c r="A53" s="33" t="s">
        <v>12</v>
      </c>
      <c r="B53" s="28">
        <f>SUM('[2]Pop 57'!$C$9:$C$11)</f>
        <v>7301822</v>
      </c>
      <c r="C53" s="60">
        <f>'6.Glaucoma_DATA'!E38*'6.Glaucoma_DATA'!C10</f>
        <v>0</v>
      </c>
      <c r="D53" s="98">
        <f>'6.Glaucoma_DATA'!E38*'6.Glaucoma_DATA'!D10</f>
        <v>0</v>
      </c>
      <c r="F53" s="99">
        <f>'6.Glaucoma_DATA'!E38*'6.Glaucoma_DATA'!F10</f>
        <v>0</v>
      </c>
      <c r="G53" s="100">
        <f>'6.Glaucoma_DATA'!E38*'6.Glaucoma_DATA'!G10</f>
        <v>0</v>
      </c>
    </row>
    <row r="54" spans="1:7" x14ac:dyDescent="0.2">
      <c r="A54" s="33" t="s">
        <v>13</v>
      </c>
      <c r="B54" s="28">
        <f>SUM('[2]Pop 57'!$C$12:$C$14)</f>
        <v>7896765</v>
      </c>
      <c r="C54" s="60">
        <f>'6.Glaucoma_DATA'!E39*'6.Glaucoma_DATA'!C11</f>
        <v>7.5829695217354285</v>
      </c>
      <c r="D54" s="98">
        <f>'6.Glaucoma_DATA'!E39*'6.Glaucoma_DATA'!D11</f>
        <v>5.928866258082321</v>
      </c>
      <c r="F54" s="99">
        <f>'6.Glaucoma_DATA'!E39*'6.Glaucoma_DATA'!F11</f>
        <v>5.6380976289525835</v>
      </c>
      <c r="G54" s="100">
        <f>'6.Glaucoma_DATA'!E39*'6.Glaucoma_DATA'!G11</f>
        <v>33.510931471614924</v>
      </c>
    </row>
    <row r="55" spans="1:7" x14ac:dyDescent="0.2">
      <c r="A55" s="33" t="s">
        <v>14</v>
      </c>
      <c r="B55" s="28">
        <f>SUM('[2]Pop 57'!$C$15:$C$17)</f>
        <v>6554289</v>
      </c>
      <c r="C55" s="60">
        <f>'6.Glaucoma_DATA'!E40*'6.Glaucoma_DATA'!C12</f>
        <v>13.075209202217433</v>
      </c>
      <c r="D55" s="98">
        <f>'6.Glaucoma_DATA'!E40*'6.Glaucoma_DATA'!D12</f>
        <v>10.529123613754177</v>
      </c>
      <c r="F55" s="99">
        <f>'6.Glaucoma_DATA'!E40*'6.Glaucoma_DATA'!F12</f>
        <v>9.4147599487228781</v>
      </c>
      <c r="G55" s="100">
        <f>'6.Glaucoma_DATA'!E40*'6.Glaucoma_DATA'!G12</f>
        <v>47.419225995578614</v>
      </c>
    </row>
    <row r="56" spans="1:7" x14ac:dyDescent="0.2">
      <c r="A56" s="33" t="s">
        <v>15</v>
      </c>
      <c r="B56" s="28">
        <f>SUM('[2]Pop 57'!$C$18:$C$19)</f>
        <v>2344057</v>
      </c>
      <c r="C56" s="60">
        <f>'6.Glaucoma_DATA'!E41*'6.Glaucoma_DATA'!C13</f>
        <v>4.2034549720950185</v>
      </c>
      <c r="D56" s="98">
        <f>'6.Glaucoma_DATA'!E41*'6.Glaucoma_DATA'!D13</f>
        <v>3.6049569916376236</v>
      </c>
      <c r="F56" s="99">
        <f>'6.Glaucoma_DATA'!E41*'6.Glaucoma_DATA'!F13</f>
        <v>5.9265904108595535</v>
      </c>
      <c r="G56" s="100">
        <f>'6.Glaucoma_DATA'!E41*'6.Glaucoma_DATA'!G13</f>
        <v>31.043668053514722</v>
      </c>
    </row>
    <row r="57" spans="1:7" x14ac:dyDescent="0.2">
      <c r="A57" s="33" t="s">
        <v>16</v>
      </c>
      <c r="B57" s="28">
        <f>SUM('[2]Pop 57'!$C$20:$C$21)</f>
        <v>1173067</v>
      </c>
      <c r="C57" s="60">
        <f>'6.Glaucoma_DATA'!E42*'6.Glaucoma_DATA'!C14</f>
        <v>10.962587984585831</v>
      </c>
      <c r="D57" s="98">
        <f>'6.Glaucoma_DATA'!E42*'6.Glaucoma_DATA'!D14</f>
        <v>9.7885276470615299</v>
      </c>
      <c r="E57" s="22" t="s">
        <v>23</v>
      </c>
      <c r="F57" s="99">
        <f>'6.Glaucoma_DATA'!E42*'6.Glaucoma_DATA'!F14</f>
        <v>10.962182224880626</v>
      </c>
      <c r="G57" s="100">
        <f>'6.Glaucoma_DATA'!E42*'6.Glaucoma_DATA'!G14</f>
        <v>63.049579015599129</v>
      </c>
    </row>
    <row r="58" spans="1:7" x14ac:dyDescent="0.2">
      <c r="A58" s="33" t="s">
        <v>17</v>
      </c>
      <c r="B58" s="28">
        <f>SUM('[2]Pop 57'!$C$22:$C$26)</f>
        <v>506965</v>
      </c>
      <c r="C58" s="60">
        <f>'6.Glaucoma_DATA'!E43*'6.Glaucoma_DATA'!C15</f>
        <v>0.71167601922275003</v>
      </c>
      <c r="D58" s="98">
        <f>'6.Glaucoma_DATA'!E43*'6.Glaucoma_DATA'!D15</f>
        <v>0.66143757589208507</v>
      </c>
      <c r="F58" s="99">
        <f>'6.Glaucoma_DATA'!E43*'6.Glaucoma_DATA'!F15</f>
        <v>3.1982751332900401</v>
      </c>
      <c r="G58" s="100">
        <f>'6.Glaucoma_DATA'!E43*'6.Glaucoma_DATA'!G15</f>
        <v>18.89490405087874</v>
      </c>
    </row>
    <row r="59" spans="1:7" x14ac:dyDescent="0.2">
      <c r="A59" s="34" t="s">
        <v>18</v>
      </c>
      <c r="B59" s="28">
        <f>SUM(B51:B58)</f>
        <v>31922490</v>
      </c>
      <c r="C59" s="60">
        <f>SUM(C51:C58)</f>
        <v>36.535897699856463</v>
      </c>
      <c r="D59" s="98">
        <f>SUM(D51:D58)</f>
        <v>30.512912086427736</v>
      </c>
      <c r="F59" s="99">
        <f>SUM(F51:F58)</f>
        <v>35.139905346705682</v>
      </c>
      <c r="G59" s="100">
        <f>SUM(G51:G58)</f>
        <v>193.91830858718615</v>
      </c>
    </row>
    <row r="60" spans="1:7" x14ac:dyDescent="0.2">
      <c r="A60" s="27"/>
      <c r="B60" s="28"/>
      <c r="C60" s="58"/>
      <c r="D60" s="29"/>
      <c r="F60" s="99"/>
      <c r="G60" s="100"/>
    </row>
    <row r="61" spans="1:7" x14ac:dyDescent="0.2">
      <c r="A61" s="48" t="s">
        <v>35</v>
      </c>
      <c r="B61" s="28"/>
      <c r="C61" s="58"/>
      <c r="D61" s="29"/>
      <c r="F61" s="99"/>
      <c r="G61" s="100"/>
    </row>
    <row r="62" spans="1:7" x14ac:dyDescent="0.2">
      <c r="A62" s="33" t="s">
        <v>7</v>
      </c>
      <c r="B62" s="28">
        <f>SUM('[2]Pop 57'!$D$5:$D$6)</f>
        <v>1849075</v>
      </c>
      <c r="C62" s="60">
        <f>'6.Glaucoma_DATA'!E47*'6.Glaucoma_DATA'!C19</f>
        <v>0</v>
      </c>
      <c r="D62" s="98">
        <f>'6.Glaucoma_DATA'!E47*'6.Glaucoma_DATA'!D19</f>
        <v>0</v>
      </c>
      <c r="F62" s="99">
        <f>'6.Glaucoma_DATA'!E47*'6.Glaucoma_DATA'!F19</f>
        <v>0</v>
      </c>
      <c r="G62" s="100">
        <f>'6.Glaucoma_DATA'!E47*'6.Glaucoma_DATA'!G19</f>
        <v>0</v>
      </c>
    </row>
    <row r="63" spans="1:7" x14ac:dyDescent="0.2">
      <c r="A63" s="33" t="s">
        <v>11</v>
      </c>
      <c r="B63" s="28">
        <f>SUM('[2]Pop 57'!$D$7:$D$8)</f>
        <v>3940160</v>
      </c>
      <c r="C63" s="60">
        <f>'6.Glaucoma_DATA'!E48*'6.Glaucoma_DATA'!C20</f>
        <v>0</v>
      </c>
      <c r="D63" s="98">
        <f>'6.Glaucoma_DATA'!E48*'6.Glaucoma_DATA'!D20</f>
        <v>0</v>
      </c>
      <c r="F63" s="99">
        <f>'6.Glaucoma_DATA'!E48*'6.Glaucoma_DATA'!F20</f>
        <v>0</v>
      </c>
      <c r="G63" s="100">
        <f>'6.Glaucoma_DATA'!E48*'6.Glaucoma_DATA'!G20</f>
        <v>0</v>
      </c>
    </row>
    <row r="64" spans="1:7" x14ac:dyDescent="0.2">
      <c r="A64" s="33" t="s">
        <v>12</v>
      </c>
      <c r="B64" s="46">
        <f>SUM('[2]Pop 57'!$D$9:$D$11)</f>
        <v>7026158.1752900956</v>
      </c>
      <c r="C64" s="60">
        <f>'6.Glaucoma_DATA'!E49*'6.Glaucoma_DATA'!C21</f>
        <v>0</v>
      </c>
      <c r="D64" s="98">
        <f>'6.Glaucoma_DATA'!E49*'6.Glaucoma_DATA'!D21</f>
        <v>0</v>
      </c>
      <c r="F64" s="99">
        <f>'6.Glaucoma_DATA'!E49*'6.Glaucoma_DATA'!F21</f>
        <v>0</v>
      </c>
      <c r="G64" s="100">
        <f>'6.Glaucoma_DATA'!E49*'6.Glaucoma_DATA'!G21</f>
        <v>0</v>
      </c>
    </row>
    <row r="65" spans="1:12" x14ac:dyDescent="0.2">
      <c r="A65" s="33" t="s">
        <v>13</v>
      </c>
      <c r="B65" s="28">
        <f>SUM('[2]Pop 57'!$D$12:$D$14)</f>
        <v>8017814</v>
      </c>
      <c r="C65" s="60">
        <f>'6.Glaucoma_DATA'!E50*'6.Glaucoma_DATA'!C22</f>
        <v>5.0812262970776469</v>
      </c>
      <c r="D65" s="98">
        <f>'6.Glaucoma_DATA'!E50*'6.Glaucoma_DATA'!D22</f>
        <v>3.6791157472997043</v>
      </c>
      <c r="F65" s="99">
        <f>'6.Glaucoma_DATA'!E50*'6.Glaucoma_DATA'!F22</f>
        <v>5.9467413735255334</v>
      </c>
      <c r="G65" s="100">
        <f>'6.Glaucoma_DATA'!E50*'6.Glaucoma_DATA'!G22</f>
        <v>21.825554407709646</v>
      </c>
    </row>
    <row r="66" spans="1:12" x14ac:dyDescent="0.2">
      <c r="A66" s="33" t="s">
        <v>14</v>
      </c>
      <c r="B66" s="28">
        <f>SUM('[2]Pop 57'!$D$15:$D$17)</f>
        <v>7162204</v>
      </c>
      <c r="C66" s="60">
        <f>'6.Glaucoma_DATA'!E51*'6.Glaucoma_DATA'!C23</f>
        <v>9.7981005721839498</v>
      </c>
      <c r="D66" s="98">
        <f>'6.Glaucoma_DATA'!E51*'6.Glaucoma_DATA'!D23</f>
        <v>7.7423299122899776</v>
      </c>
      <c r="F66" s="99">
        <f>'6.Glaucoma_DATA'!E51*'6.Glaucoma_DATA'!F23</f>
        <v>9.9187515516646236</v>
      </c>
      <c r="G66" s="100">
        <f>'6.Glaucoma_DATA'!E51*'6.Glaucoma_DATA'!G23</f>
        <v>42.064853707955031</v>
      </c>
    </row>
    <row r="67" spans="1:12" x14ac:dyDescent="0.2">
      <c r="A67" s="33" t="s">
        <v>15</v>
      </c>
      <c r="B67" s="46">
        <f>SUM('[2]Pop 57'!$D$18:$D$19)</f>
        <v>2739970.5356088658</v>
      </c>
      <c r="C67" s="60">
        <f>'6.Glaucoma_DATA'!E52*'6.Glaucoma_DATA'!C24</f>
        <v>15.865950223898242</v>
      </c>
      <c r="D67" s="98">
        <f>'6.Glaucoma_DATA'!E52*'6.Glaucoma_DATA'!D24</f>
        <v>13.418818888572714</v>
      </c>
      <c r="F67" s="99">
        <f>'6.Glaucoma_DATA'!E52*'6.Glaucoma_DATA'!F24</f>
        <v>9.1251786724355011</v>
      </c>
      <c r="G67" s="100">
        <f>'6.Glaucoma_DATA'!E52*'6.Glaucoma_DATA'!G24</f>
        <v>45.95279868737255</v>
      </c>
    </row>
    <row r="68" spans="1:12" x14ac:dyDescent="0.2">
      <c r="A68" s="33" t="s">
        <v>16</v>
      </c>
      <c r="B68" s="46">
        <f>SUM('[2]Pop 57'!$D$20:$D$21)</f>
        <v>1513246</v>
      </c>
      <c r="C68" s="60">
        <f>'6.Glaucoma_DATA'!E53*'6.Glaucoma_DATA'!C25</f>
        <v>5.8099071760425396</v>
      </c>
      <c r="D68" s="98">
        <f>'6.Glaucoma_DATA'!E53*'6.Glaucoma_DATA'!D25</f>
        <v>5.0729761361830983</v>
      </c>
      <c r="F68" s="99">
        <f>'6.Glaucoma_DATA'!E53*'6.Glaucoma_DATA'!F25</f>
        <v>8.993268062310932</v>
      </c>
      <c r="G68" s="100">
        <f>'6.Glaucoma_DATA'!E53*'6.Glaucoma_DATA'!G25</f>
        <v>49.067763946725897</v>
      </c>
    </row>
    <row r="69" spans="1:12" x14ac:dyDescent="0.2">
      <c r="A69" s="33" t="s">
        <v>17</v>
      </c>
      <c r="B69" s="46">
        <f>SUM('[2]Pop 57'!$D$22:$D$26)</f>
        <v>784195.44620730029</v>
      </c>
      <c r="C69" s="60">
        <f>'6.Glaucoma_DATA'!E54*'6.Glaucoma_DATA'!C26</f>
        <v>1.0515243617458783</v>
      </c>
      <c r="D69" s="98">
        <f>'6.Glaucoma_DATA'!E54*'6.Glaucoma_DATA'!D26</f>
        <v>0.95974159706286688</v>
      </c>
      <c r="F69" s="99">
        <f>'6.Glaucoma_DATA'!E54*'6.Glaucoma_DATA'!F26</f>
        <v>2.9704221028884383</v>
      </c>
      <c r="G69" s="100">
        <f>'6.Glaucoma_DATA'!E54*'6.Glaucoma_DATA'!G26</f>
        <v>16.761081386732457</v>
      </c>
    </row>
    <row r="70" spans="1:12" x14ac:dyDescent="0.2">
      <c r="A70" s="34" t="s">
        <v>18</v>
      </c>
      <c r="B70" s="46">
        <f>SUM(B62:B69)</f>
        <v>33032823.157106262</v>
      </c>
      <c r="C70" s="60">
        <f>SUM(C62:C69)</f>
        <v>37.606708630948255</v>
      </c>
      <c r="D70" s="98">
        <f>SUM(D62:D69)</f>
        <v>30.872982281408358</v>
      </c>
      <c r="F70" s="99">
        <f>SUM(F62:F69)</f>
        <v>36.95436176282503</v>
      </c>
      <c r="G70" s="100">
        <f>SUM(G62:G69)</f>
        <v>175.67205213649558</v>
      </c>
    </row>
    <row r="71" spans="1:12" x14ac:dyDescent="0.2">
      <c r="A71" s="30"/>
      <c r="B71" s="31"/>
      <c r="C71" s="59"/>
      <c r="D71" s="32"/>
      <c r="F71" s="30"/>
      <c r="G71" s="5"/>
    </row>
    <row r="74" spans="1:12" x14ac:dyDescent="0.2">
      <c r="A74" s="23" t="s">
        <v>189</v>
      </c>
    </row>
    <row r="75" spans="1:12" x14ac:dyDescent="0.2">
      <c r="A75" s="23"/>
    </row>
    <row r="76" spans="1:12" s="58" customFormat="1" x14ac:dyDescent="0.2">
      <c r="A76" s="24" t="s">
        <v>25</v>
      </c>
      <c r="B76" s="25" t="s">
        <v>26</v>
      </c>
      <c r="C76" s="35" t="s">
        <v>31</v>
      </c>
      <c r="D76" s="26" t="s">
        <v>31</v>
      </c>
      <c r="E76" s="22"/>
      <c r="F76" s="37" t="s">
        <v>37</v>
      </c>
      <c r="G76" s="38" t="s">
        <v>38</v>
      </c>
      <c r="K76" s="179"/>
      <c r="L76" s="179"/>
    </row>
    <row r="77" spans="1:12" s="58" customFormat="1" x14ac:dyDescent="0.2">
      <c r="A77" s="30"/>
      <c r="B77" s="31">
        <v>2014</v>
      </c>
      <c r="C77" s="36" t="s">
        <v>32</v>
      </c>
      <c r="D77" s="32" t="s">
        <v>33</v>
      </c>
      <c r="E77" s="22"/>
      <c r="F77" s="39" t="s">
        <v>32</v>
      </c>
      <c r="G77" s="40" t="s">
        <v>39</v>
      </c>
      <c r="K77" s="179"/>
      <c r="L77" s="179"/>
    </row>
    <row r="78" spans="1:12" s="58" customFormat="1" x14ac:dyDescent="0.2">
      <c r="A78" s="27"/>
      <c r="B78" s="28"/>
      <c r="D78" s="29"/>
      <c r="E78" s="22"/>
      <c r="F78" s="27"/>
      <c r="G78" s="41"/>
    </row>
    <row r="79" spans="1:12" s="58" customFormat="1" x14ac:dyDescent="0.2">
      <c r="A79" s="48" t="s">
        <v>34</v>
      </c>
      <c r="B79" s="28"/>
      <c r="D79" s="29"/>
      <c r="E79" s="22"/>
      <c r="F79" s="27"/>
      <c r="G79" s="41"/>
    </row>
    <row r="80" spans="1:12" s="58" customFormat="1" x14ac:dyDescent="0.2">
      <c r="A80" s="33" t="s">
        <v>7</v>
      </c>
      <c r="B80" s="28">
        <f>SUM('[2]Pop 57'!$C$5:$C$6)</f>
        <v>1966319</v>
      </c>
      <c r="C80" s="60">
        <f>'6.Glaucoma_DATA'!F36*'6.Glaucoma_DATA'!C8</f>
        <v>0</v>
      </c>
      <c r="D80" s="98">
        <f>'6.Glaucoma_DATA'!F36*'6.Glaucoma_DATA'!D8</f>
        <v>0</v>
      </c>
      <c r="E80" s="22"/>
      <c r="F80" s="99">
        <f>'6.Glaucoma_DATA'!F36*'6.Glaucoma_DATA'!F8</f>
        <v>0</v>
      </c>
      <c r="G80" s="100">
        <f>'6.Glaucoma_DATA'!F36*'6.Glaucoma_DATA'!G8</f>
        <v>0</v>
      </c>
      <c r="H80" s="162"/>
      <c r="I80" s="162"/>
      <c r="K80" s="162"/>
      <c r="L80" s="162"/>
    </row>
    <row r="81" spans="1:12" s="58" customFormat="1" x14ac:dyDescent="0.2">
      <c r="A81" s="33" t="s">
        <v>11</v>
      </c>
      <c r="B81" s="28">
        <f>SUM('[2]Pop 57'!$C$7:$C$8)</f>
        <v>4179206</v>
      </c>
      <c r="C81" s="60">
        <f>'6.Glaucoma_DATA'!F37*'6.Glaucoma_DATA'!C9</f>
        <v>0</v>
      </c>
      <c r="D81" s="98">
        <f>'6.Glaucoma_DATA'!F37*'6.Glaucoma_DATA'!D9</f>
        <v>0</v>
      </c>
      <c r="E81" s="22"/>
      <c r="F81" s="99">
        <f>'6.Glaucoma_DATA'!F37*'6.Glaucoma_DATA'!F9</f>
        <v>0</v>
      </c>
      <c r="G81" s="100">
        <f>'6.Glaucoma_DATA'!F37*'6.Glaucoma_DATA'!G9</f>
        <v>0</v>
      </c>
      <c r="H81" s="162"/>
      <c r="I81" s="162"/>
      <c r="K81" s="162"/>
      <c r="L81" s="162"/>
    </row>
    <row r="82" spans="1:12" s="58" customFormat="1" x14ac:dyDescent="0.2">
      <c r="A82" s="33" t="s">
        <v>12</v>
      </c>
      <c r="B82" s="28">
        <f>SUM('[2]Pop 57'!$C$9:$C$11)</f>
        <v>7301822</v>
      </c>
      <c r="C82" s="60">
        <f>'6.Glaucoma_DATA'!F38*'6.Glaucoma_DATA'!C10</f>
        <v>0</v>
      </c>
      <c r="D82" s="98">
        <f>'6.Glaucoma_DATA'!F38*'6.Glaucoma_DATA'!D10</f>
        <v>0</v>
      </c>
      <c r="E82" s="22"/>
      <c r="F82" s="99">
        <f>'6.Glaucoma_DATA'!F38*'6.Glaucoma_DATA'!F10</f>
        <v>0</v>
      </c>
      <c r="G82" s="100">
        <f>'6.Glaucoma_DATA'!F38*'6.Glaucoma_DATA'!G10</f>
        <v>0</v>
      </c>
      <c r="H82" s="162"/>
      <c r="I82" s="162"/>
      <c r="K82" s="162"/>
      <c r="L82" s="162"/>
    </row>
    <row r="83" spans="1:12" s="58" customFormat="1" x14ac:dyDescent="0.2">
      <c r="A83" s="33" t="s">
        <v>13</v>
      </c>
      <c r="B83" s="28">
        <f>SUM('[2]Pop 57'!$C$12:$C$14)</f>
        <v>7896765</v>
      </c>
      <c r="C83" s="60">
        <f>'6.Glaucoma_DATA'!F39*'6.Glaucoma_DATA'!C11</f>
        <v>129.32197253326487</v>
      </c>
      <c r="D83" s="98">
        <f>'6.Glaucoma_DATA'!F39*'6.Glaucoma_DATA'!D11</f>
        <v>101.1124569581086</v>
      </c>
      <c r="E83" s="22"/>
      <c r="F83" s="99">
        <f>'6.Glaucoma_DATA'!F39*'6.Glaucoma_DATA'!F11</f>
        <v>96.153611671698243</v>
      </c>
      <c r="G83" s="100">
        <f>'6.Glaucoma_DATA'!F39*'6.Glaucoma_DATA'!G11</f>
        <v>571.50430934931433</v>
      </c>
      <c r="H83" s="162"/>
      <c r="I83" s="162"/>
      <c r="K83" s="162"/>
      <c r="L83" s="162"/>
    </row>
    <row r="84" spans="1:12" s="58" customFormat="1" x14ac:dyDescent="0.2">
      <c r="A84" s="33" t="s">
        <v>14</v>
      </c>
      <c r="B84" s="28">
        <f>SUM('[2]Pop 57'!$C$15:$C$17)</f>
        <v>6554289</v>
      </c>
      <c r="C84" s="60">
        <f>'6.Glaucoma_DATA'!F40*'6.Glaucoma_DATA'!C12</f>
        <v>474.59733367876709</v>
      </c>
      <c r="D84" s="98">
        <f>'6.Glaucoma_DATA'!F40*'6.Glaucoma_DATA'!D12</f>
        <v>382.18080611776497</v>
      </c>
      <c r="E84" s="22"/>
      <c r="F84" s="99">
        <f>'6.Glaucoma_DATA'!F40*'6.Glaucoma_DATA'!F12</f>
        <v>341.73219715151907</v>
      </c>
      <c r="G84" s="100">
        <f>'6.Glaucoma_DATA'!F40*'6.Glaucoma_DATA'!G12</f>
        <v>1721.1990932271926</v>
      </c>
      <c r="H84" s="162"/>
      <c r="I84" s="162"/>
      <c r="K84" s="162"/>
      <c r="L84" s="162"/>
    </row>
    <row r="85" spans="1:12" s="58" customFormat="1" x14ac:dyDescent="0.2">
      <c r="A85" s="33" t="s">
        <v>15</v>
      </c>
      <c r="B85" s="28">
        <f>SUM('[2]Pop 57'!$C$18:$C$19)</f>
        <v>2344057</v>
      </c>
      <c r="C85" s="60">
        <f>'6.Glaucoma_DATA'!F41*'6.Glaucoma_DATA'!C13</f>
        <v>215.34220005257373</v>
      </c>
      <c r="D85" s="98">
        <f>'6.Glaucoma_DATA'!F41*'6.Glaucoma_DATA'!D13</f>
        <v>184.68126215879099</v>
      </c>
      <c r="E85" s="22"/>
      <c r="F85" s="99">
        <f>'6.Glaucoma_DATA'!F41*'6.Glaucoma_DATA'!F13</f>
        <v>303.61810138503699</v>
      </c>
      <c r="G85" s="100">
        <f>'6.Glaucoma_DATA'!F41*'6.Glaucoma_DATA'!G13</f>
        <v>1590.3612196930048</v>
      </c>
      <c r="H85" s="162"/>
      <c r="I85" s="162"/>
      <c r="K85" s="162"/>
      <c r="L85" s="162"/>
    </row>
    <row r="86" spans="1:12" s="58" customFormat="1" x14ac:dyDescent="0.2">
      <c r="A86" s="33" t="s">
        <v>16</v>
      </c>
      <c r="B86" s="28">
        <f>SUM('[2]Pop 57'!$C$20:$C$21)</f>
        <v>1173067</v>
      </c>
      <c r="C86" s="60">
        <f>'6.Glaucoma_DATA'!F42*'6.Glaucoma_DATA'!C14</f>
        <v>679.4605197866191</v>
      </c>
      <c r="D86" s="98">
        <f>'6.Glaucoma_DATA'!F42*'6.Glaucoma_DATA'!D14</f>
        <v>606.69233326745268</v>
      </c>
      <c r="E86" s="22" t="s">
        <v>23</v>
      </c>
      <c r="F86" s="99">
        <f>'6.Glaucoma_DATA'!F42*'6.Glaucoma_DATA'!F14</f>
        <v>679.43537082538887</v>
      </c>
      <c r="G86" s="100">
        <f>'6.Glaucoma_DATA'!F42*'6.Glaucoma_DATA'!G14</f>
        <v>3907.8089763568714</v>
      </c>
      <c r="H86" s="162"/>
      <c r="I86" s="162"/>
      <c r="K86" s="162"/>
      <c r="L86" s="162"/>
    </row>
    <row r="87" spans="1:12" s="58" customFormat="1" x14ac:dyDescent="0.2">
      <c r="A87" s="33" t="s">
        <v>17</v>
      </c>
      <c r="B87" s="28">
        <f>SUM('[2]Pop 57'!$C$22:$C$26)</f>
        <v>506965</v>
      </c>
      <c r="C87" s="60">
        <f>'6.Glaucoma_DATA'!F43*'6.Glaucoma_DATA'!C15</f>
        <v>58.881516869129157</v>
      </c>
      <c r="D87" s="98">
        <f>'6.Glaucoma_DATA'!F43*'6.Glaucoma_DATA'!D15</f>
        <v>54.724968568282925</v>
      </c>
      <c r="E87" s="22"/>
      <c r="F87" s="99">
        <f>'6.Glaucoma_DATA'!F43*'6.Glaucoma_DATA'!F15</f>
        <v>264.6137935329125</v>
      </c>
      <c r="G87" s="100">
        <f>'6.Glaucoma_DATA'!F43*'6.Glaucoma_DATA'!G15</f>
        <v>1563.29647418423</v>
      </c>
      <c r="H87" s="162"/>
      <c r="I87" s="162"/>
      <c r="K87" s="162"/>
      <c r="L87" s="162"/>
    </row>
    <row r="88" spans="1:12" s="58" customFormat="1" x14ac:dyDescent="0.2">
      <c r="A88" s="34" t="s">
        <v>18</v>
      </c>
      <c r="B88" s="28">
        <f>SUM(B80:B87)</f>
        <v>31922490</v>
      </c>
      <c r="C88" s="60">
        <f>SUM(C80:C87)</f>
        <v>1557.6035429203541</v>
      </c>
      <c r="D88" s="98">
        <f>SUM(D80:D87)</f>
        <v>1329.3918270704003</v>
      </c>
      <c r="E88" s="22"/>
      <c r="F88" s="99">
        <f>SUM(F80:F87)</f>
        <v>1685.5530745665556</v>
      </c>
      <c r="G88" s="100">
        <f>SUM(G80:G87)</f>
        <v>9354.1700728106134</v>
      </c>
      <c r="H88" s="162"/>
      <c r="I88" s="162"/>
      <c r="K88" s="162"/>
      <c r="L88" s="162"/>
    </row>
    <row r="89" spans="1:12" s="58" customFormat="1" x14ac:dyDescent="0.2">
      <c r="A89" s="27"/>
      <c r="B89" s="28"/>
      <c r="D89" s="29"/>
      <c r="E89" s="22"/>
      <c r="F89" s="99"/>
      <c r="G89" s="100"/>
      <c r="K89" s="162"/>
      <c r="L89" s="162"/>
    </row>
    <row r="90" spans="1:12" s="58" customFormat="1" x14ac:dyDescent="0.2">
      <c r="A90" s="48" t="s">
        <v>35</v>
      </c>
      <c r="B90" s="28"/>
      <c r="D90" s="29"/>
      <c r="E90" s="22"/>
      <c r="F90" s="99"/>
      <c r="G90" s="100"/>
      <c r="K90" s="162"/>
      <c r="L90" s="162"/>
    </row>
    <row r="91" spans="1:12" s="58" customFormat="1" x14ac:dyDescent="0.2">
      <c r="A91" s="33" t="s">
        <v>7</v>
      </c>
      <c r="B91" s="28">
        <f>SUM('[2]Pop 57'!$D$5:$D$6)</f>
        <v>1849075</v>
      </c>
      <c r="C91" s="60">
        <f>'6.Glaucoma_DATA'!F47*'6.Glaucoma_DATA'!C19</f>
        <v>0</v>
      </c>
      <c r="D91" s="98">
        <f>'6.Glaucoma_DATA'!F47*'6.Glaucoma_DATA'!D19</f>
        <v>0</v>
      </c>
      <c r="E91" s="22"/>
      <c r="F91" s="99">
        <f>'6.Glaucoma_DATA'!F47*'6.Glaucoma_DATA'!F19</f>
        <v>0</v>
      </c>
      <c r="G91" s="100">
        <f>'6.Glaucoma_DATA'!F47*'6.Glaucoma_DATA'!G19</f>
        <v>0</v>
      </c>
      <c r="H91" s="162"/>
      <c r="I91" s="162"/>
      <c r="K91" s="162"/>
      <c r="L91" s="162"/>
    </row>
    <row r="92" spans="1:12" s="58" customFormat="1" x14ac:dyDescent="0.2">
      <c r="A92" s="33" t="s">
        <v>11</v>
      </c>
      <c r="B92" s="28">
        <f>SUM('[2]Pop 57'!$D$7:$D$8)</f>
        <v>3940160</v>
      </c>
      <c r="C92" s="60">
        <f>'6.Glaucoma_DATA'!F48*'6.Glaucoma_DATA'!C20</f>
        <v>0</v>
      </c>
      <c r="D92" s="98">
        <f>'6.Glaucoma_DATA'!F48*'6.Glaucoma_DATA'!D20</f>
        <v>0</v>
      </c>
      <c r="E92" s="22"/>
      <c r="F92" s="99">
        <f>'6.Glaucoma_DATA'!F48*'6.Glaucoma_DATA'!F20</f>
        <v>0</v>
      </c>
      <c r="G92" s="100">
        <f>'6.Glaucoma_DATA'!F48*'6.Glaucoma_DATA'!G20</f>
        <v>0</v>
      </c>
      <c r="H92" s="162"/>
      <c r="I92" s="162"/>
      <c r="K92" s="162"/>
      <c r="L92" s="162"/>
    </row>
    <row r="93" spans="1:12" s="58" customFormat="1" x14ac:dyDescent="0.2">
      <c r="A93" s="33" t="s">
        <v>12</v>
      </c>
      <c r="B93" s="46">
        <f>SUM('[2]Pop 57'!$D$9:$D$11)</f>
        <v>7026158.1752900956</v>
      </c>
      <c r="C93" s="60">
        <f>'6.Glaucoma_DATA'!F49*'6.Glaucoma_DATA'!C21</f>
        <v>0</v>
      </c>
      <c r="D93" s="98">
        <f>'6.Glaucoma_DATA'!F49*'6.Glaucoma_DATA'!D21</f>
        <v>0</v>
      </c>
      <c r="E93" s="22"/>
      <c r="F93" s="99">
        <f>'6.Glaucoma_DATA'!F49*'6.Glaucoma_DATA'!F21</f>
        <v>0</v>
      </c>
      <c r="G93" s="100">
        <f>'6.Glaucoma_DATA'!F49*'6.Glaucoma_DATA'!G21</f>
        <v>0</v>
      </c>
      <c r="H93" s="162"/>
      <c r="I93" s="162"/>
      <c r="K93" s="162"/>
      <c r="L93" s="162"/>
    </row>
    <row r="94" spans="1:12" s="58" customFormat="1" x14ac:dyDescent="0.2">
      <c r="A94" s="33" t="s">
        <v>13</v>
      </c>
      <c r="B94" s="28">
        <f>SUM('[2]Pop 57'!$D$12:$D$14)</f>
        <v>8017814</v>
      </c>
      <c r="C94" s="60">
        <f>'6.Glaucoma_DATA'!F50*'6.Glaucoma_DATA'!C22</f>
        <v>95.986160950919114</v>
      </c>
      <c r="D94" s="98">
        <f>'6.Glaucoma_DATA'!F50*'6.Glaucoma_DATA'!D22</f>
        <v>69.49979702350069</v>
      </c>
      <c r="E94" s="22"/>
      <c r="F94" s="99">
        <f>'6.Glaucoma_DATA'!F50*'6.Glaucoma_DATA'!F22</f>
        <v>112.33604670215088</v>
      </c>
      <c r="G94" s="100">
        <f>'6.Glaucoma_DATA'!F50*'6.Glaucoma_DATA'!G22</f>
        <v>412.29243803337869</v>
      </c>
      <c r="H94" s="162"/>
      <c r="I94" s="162"/>
      <c r="K94" s="162"/>
      <c r="L94" s="162"/>
    </row>
    <row r="95" spans="1:12" s="58" customFormat="1" x14ac:dyDescent="0.2">
      <c r="A95" s="33" t="s">
        <v>14</v>
      </c>
      <c r="B95" s="28">
        <f>SUM('[2]Pop 57'!$D$15:$D$17)</f>
        <v>7162204</v>
      </c>
      <c r="C95" s="60">
        <f>'6.Glaucoma_DATA'!F51*'6.Glaucoma_DATA'!C23</f>
        <v>356.19158184691418</v>
      </c>
      <c r="D95" s="98">
        <f>'6.Glaucoma_DATA'!F51*'6.Glaucoma_DATA'!D23</f>
        <v>281.45789261117551</v>
      </c>
      <c r="E95" s="22"/>
      <c r="F95" s="99">
        <f>'6.Glaucoma_DATA'!F51*'6.Glaucoma_DATA'!F23</f>
        <v>360.57762207134328</v>
      </c>
      <c r="G95" s="100">
        <f>'6.Glaucoma_DATA'!F51*'6.Glaucoma_DATA'!G23</f>
        <v>1529.1889149343424</v>
      </c>
      <c r="H95" s="162"/>
      <c r="I95" s="162"/>
      <c r="K95" s="162"/>
      <c r="L95" s="162"/>
    </row>
    <row r="96" spans="1:12" s="58" customFormat="1" x14ac:dyDescent="0.2">
      <c r="A96" s="33" t="s">
        <v>15</v>
      </c>
      <c r="B96" s="46">
        <f>SUM('[2]Pop 57'!$D$18:$D$19)</f>
        <v>2739970.5356088658</v>
      </c>
      <c r="C96" s="60">
        <f>'6.Glaucoma_DATA'!F52*'6.Glaucoma_DATA'!C24</f>
        <v>1077.315943669548</v>
      </c>
      <c r="D96" s="98">
        <f>'6.Glaucoma_DATA'!F52*'6.Glaucoma_DATA'!D24</f>
        <v>911.15296152250085</v>
      </c>
      <c r="E96" s="22"/>
      <c r="F96" s="99">
        <f>'6.Glaucoma_DATA'!F52*'6.Glaucoma_DATA'!F24</f>
        <v>619.60994040183584</v>
      </c>
      <c r="G96" s="100">
        <f>'6.Glaucoma_DATA'!F52*'6.Glaucoma_DATA'!G24</f>
        <v>3120.2469428887471</v>
      </c>
      <c r="H96" s="162"/>
      <c r="I96" s="162"/>
      <c r="K96" s="162"/>
      <c r="L96" s="162"/>
    </row>
    <row r="97" spans="1:12" s="58" customFormat="1" x14ac:dyDescent="0.2">
      <c r="A97" s="33" t="s">
        <v>16</v>
      </c>
      <c r="B97" s="46">
        <f>SUM('[2]Pop 57'!$D$20:$D$21)</f>
        <v>1513246</v>
      </c>
      <c r="C97" s="60">
        <f>'6.Glaucoma_DATA'!F53*'6.Glaucoma_DATA'!C25</f>
        <v>523.85143185817788</v>
      </c>
      <c r="D97" s="98">
        <f>'6.Glaucoma_DATA'!F53*'6.Glaucoma_DATA'!D25</f>
        <v>457.40589861403754</v>
      </c>
      <c r="E97" s="22"/>
      <c r="F97" s="99">
        <f>'6.Glaucoma_DATA'!F53*'6.Glaucoma_DATA'!F25</f>
        <v>810.87979700478229</v>
      </c>
      <c r="G97" s="100">
        <f>'6.Glaucoma_DATA'!F53*'6.Glaucoma_DATA'!G25</f>
        <v>4424.2046598548332</v>
      </c>
      <c r="H97" s="162"/>
      <c r="I97" s="162"/>
      <c r="K97" s="162"/>
      <c r="L97" s="162"/>
    </row>
    <row r="98" spans="1:12" s="58" customFormat="1" x14ac:dyDescent="0.2">
      <c r="A98" s="33" t="s">
        <v>17</v>
      </c>
      <c r="B98" s="46">
        <f>SUM('[2]Pop 57'!$D$22:$D$26)</f>
        <v>784195.44620730029</v>
      </c>
      <c r="C98" s="60">
        <f>'6.Glaucoma_DATA'!F54*'6.Glaucoma_DATA'!C26</f>
        <v>91.562469871984874</v>
      </c>
      <c r="D98" s="98">
        <f>'6.Glaucoma_DATA'!F54*'6.Glaucoma_DATA'!D26</f>
        <v>83.570399567401026</v>
      </c>
      <c r="E98" s="22"/>
      <c r="F98" s="99">
        <f>'6.Glaucoma_DATA'!F54*'6.Glaucoma_DATA'!F26</f>
        <v>258.65229013926518</v>
      </c>
      <c r="G98" s="100">
        <f>'6.Glaucoma_DATA'!F54*'6.Glaucoma_DATA'!G26</f>
        <v>1459.4868795493148</v>
      </c>
      <c r="H98" s="162"/>
      <c r="I98" s="162"/>
      <c r="K98" s="162"/>
      <c r="L98" s="162"/>
    </row>
    <row r="99" spans="1:12" s="58" customFormat="1" x14ac:dyDescent="0.2">
      <c r="A99" s="34" t="s">
        <v>18</v>
      </c>
      <c r="B99" s="46">
        <f>SUM(B91:B98)</f>
        <v>33032823.157106262</v>
      </c>
      <c r="C99" s="60">
        <f>SUM(C91:C98)</f>
        <v>2144.9075881975441</v>
      </c>
      <c r="D99" s="98">
        <f>SUM(D91:D98)</f>
        <v>1803.0869493386156</v>
      </c>
      <c r="E99" s="22"/>
      <c r="F99" s="99">
        <f>SUM(F91:F98)</f>
        <v>2162.0556963193771</v>
      </c>
      <c r="G99" s="99">
        <f>SUM(G91:G98)</f>
        <v>10945.419835260616</v>
      </c>
      <c r="H99" s="162"/>
      <c r="I99" s="162"/>
      <c r="K99" s="162"/>
      <c r="L99" s="162"/>
    </row>
    <row r="100" spans="1:12" s="58" customFormat="1" x14ac:dyDescent="0.2">
      <c r="A100" s="30"/>
      <c r="B100" s="31"/>
      <c r="C100" s="59"/>
      <c r="D100" s="32"/>
      <c r="E100" s="22"/>
      <c r="F100" s="30"/>
      <c r="G100" s="5"/>
    </row>
    <row r="103" spans="1:12" x14ac:dyDescent="0.2">
      <c r="A103" s="23" t="s">
        <v>191</v>
      </c>
    </row>
    <row r="104" spans="1:12" x14ac:dyDescent="0.2">
      <c r="A104" s="23"/>
      <c r="I104" s="22" t="s">
        <v>23</v>
      </c>
    </row>
    <row r="105" spans="1:12" x14ac:dyDescent="0.2">
      <c r="A105" s="24" t="s">
        <v>25</v>
      </c>
      <c r="B105" s="35" t="s">
        <v>31</v>
      </c>
      <c r="C105" s="26" t="s">
        <v>31</v>
      </c>
      <c r="L105" s="22" t="s">
        <v>23</v>
      </c>
    </row>
    <row r="106" spans="1:12" x14ac:dyDescent="0.2">
      <c r="A106" s="30"/>
      <c r="B106" s="36" t="s">
        <v>32</v>
      </c>
      <c r="C106" s="32" t="s">
        <v>33</v>
      </c>
      <c r="J106" s="22" t="s">
        <v>23</v>
      </c>
    </row>
    <row r="107" spans="1:12" x14ac:dyDescent="0.2">
      <c r="A107" s="27"/>
      <c r="B107" s="58"/>
      <c r="C107" s="29"/>
    </row>
    <row r="108" spans="1:12" x14ac:dyDescent="0.2">
      <c r="A108" s="48" t="s">
        <v>34</v>
      </c>
      <c r="B108" s="58"/>
      <c r="C108" s="103"/>
    </row>
    <row r="109" spans="1:12" x14ac:dyDescent="0.2">
      <c r="A109" s="33" t="s">
        <v>7</v>
      </c>
      <c r="B109" s="60">
        <f>C51+C80</f>
        <v>0</v>
      </c>
      <c r="C109" s="62">
        <f>D51+D80</f>
        <v>0</v>
      </c>
    </row>
    <row r="110" spans="1:12" x14ac:dyDescent="0.2">
      <c r="A110" s="33" t="s">
        <v>11</v>
      </c>
      <c r="B110" s="60">
        <f t="shared" ref="B110:C117" si="0">C52+C81</f>
        <v>0</v>
      </c>
      <c r="C110" s="62">
        <f t="shared" si="0"/>
        <v>0</v>
      </c>
    </row>
    <row r="111" spans="1:12" x14ac:dyDescent="0.2">
      <c r="A111" s="33" t="s">
        <v>12</v>
      </c>
      <c r="B111" s="60">
        <f t="shared" si="0"/>
        <v>0</v>
      </c>
      <c r="C111" s="62">
        <f t="shared" si="0"/>
        <v>0</v>
      </c>
    </row>
    <row r="112" spans="1:12" x14ac:dyDescent="0.2">
      <c r="A112" s="33" t="s">
        <v>13</v>
      </c>
      <c r="B112" s="60">
        <f t="shared" si="0"/>
        <v>136.9049420550003</v>
      </c>
      <c r="C112" s="62">
        <f t="shared" si="0"/>
        <v>107.04132321619092</v>
      </c>
    </row>
    <row r="113" spans="1:3" x14ac:dyDescent="0.2">
      <c r="A113" s="33" t="s">
        <v>14</v>
      </c>
      <c r="B113" s="60">
        <f t="shared" si="0"/>
        <v>487.67254288098451</v>
      </c>
      <c r="C113" s="62">
        <f t="shared" si="0"/>
        <v>392.70992973151914</v>
      </c>
    </row>
    <row r="114" spans="1:3" x14ac:dyDescent="0.2">
      <c r="A114" s="33" t="s">
        <v>15</v>
      </c>
      <c r="B114" s="60">
        <f t="shared" si="0"/>
        <v>219.54565502466875</v>
      </c>
      <c r="C114" s="62">
        <f t="shared" si="0"/>
        <v>188.28621915042862</v>
      </c>
    </row>
    <row r="115" spans="1:3" x14ac:dyDescent="0.2">
      <c r="A115" s="33" t="s">
        <v>16</v>
      </c>
      <c r="B115" s="60">
        <f t="shared" si="0"/>
        <v>690.42310777120497</v>
      </c>
      <c r="C115" s="62">
        <f t="shared" si="0"/>
        <v>616.48086091451421</v>
      </c>
    </row>
    <row r="116" spans="1:3" x14ac:dyDescent="0.2">
      <c r="A116" s="33" t="s">
        <v>17</v>
      </c>
      <c r="B116" s="60">
        <f t="shared" si="0"/>
        <v>59.593192888351908</v>
      </c>
      <c r="C116" s="62">
        <f t="shared" si="0"/>
        <v>55.386406144175012</v>
      </c>
    </row>
    <row r="117" spans="1:3" x14ac:dyDescent="0.2">
      <c r="A117" s="34" t="s">
        <v>18</v>
      </c>
      <c r="B117" s="60">
        <f t="shared" si="0"/>
        <v>1594.1394406202105</v>
      </c>
      <c r="C117" s="62">
        <f t="shared" si="0"/>
        <v>1359.9047391568281</v>
      </c>
    </row>
    <row r="118" spans="1:3" x14ac:dyDescent="0.2">
      <c r="A118" s="27"/>
      <c r="B118" s="58"/>
      <c r="C118" s="103"/>
    </row>
    <row r="119" spans="1:3" x14ac:dyDescent="0.2">
      <c r="A119" s="48" t="s">
        <v>35</v>
      </c>
      <c r="B119" s="58"/>
      <c r="C119" s="103"/>
    </row>
    <row r="120" spans="1:3" x14ac:dyDescent="0.2">
      <c r="A120" s="33" t="s">
        <v>7</v>
      </c>
      <c r="B120" s="60">
        <f>C62+C91</f>
        <v>0</v>
      </c>
      <c r="C120" s="62">
        <f>D62+D91</f>
        <v>0</v>
      </c>
    </row>
    <row r="121" spans="1:3" x14ac:dyDescent="0.2">
      <c r="A121" s="33" t="s">
        <v>11</v>
      </c>
      <c r="B121" s="60">
        <f t="shared" ref="B121:C128" si="1">C63+C92</f>
        <v>0</v>
      </c>
      <c r="C121" s="62">
        <f t="shared" si="1"/>
        <v>0</v>
      </c>
    </row>
    <row r="122" spans="1:3" x14ac:dyDescent="0.2">
      <c r="A122" s="33" t="s">
        <v>12</v>
      </c>
      <c r="B122" s="60">
        <f t="shared" si="1"/>
        <v>0</v>
      </c>
      <c r="C122" s="62">
        <f t="shared" si="1"/>
        <v>0</v>
      </c>
    </row>
    <row r="123" spans="1:3" x14ac:dyDescent="0.2">
      <c r="A123" s="33" t="s">
        <v>13</v>
      </c>
      <c r="B123" s="60">
        <f t="shared" si="1"/>
        <v>101.06738724799676</v>
      </c>
      <c r="C123" s="62">
        <f t="shared" si="1"/>
        <v>73.178912770800395</v>
      </c>
    </row>
    <row r="124" spans="1:3" x14ac:dyDescent="0.2">
      <c r="A124" s="33" t="s">
        <v>14</v>
      </c>
      <c r="B124" s="60">
        <f t="shared" si="1"/>
        <v>365.98968241909813</v>
      </c>
      <c r="C124" s="62">
        <f t="shared" si="1"/>
        <v>289.20022252346547</v>
      </c>
    </row>
    <row r="125" spans="1:3" x14ac:dyDescent="0.2">
      <c r="A125" s="33" t="s">
        <v>15</v>
      </c>
      <c r="B125" s="60">
        <f t="shared" si="1"/>
        <v>1093.1818938934462</v>
      </c>
      <c r="C125" s="62">
        <f t="shared" si="1"/>
        <v>924.57178041107352</v>
      </c>
    </row>
    <row r="126" spans="1:3" x14ac:dyDescent="0.2">
      <c r="A126" s="33" t="s">
        <v>16</v>
      </c>
      <c r="B126" s="60">
        <f t="shared" si="1"/>
        <v>529.66133903422042</v>
      </c>
      <c r="C126" s="62">
        <f t="shared" si="1"/>
        <v>462.47887475022065</v>
      </c>
    </row>
    <row r="127" spans="1:3" x14ac:dyDescent="0.2">
      <c r="A127" s="33" t="s">
        <v>17</v>
      </c>
      <c r="B127" s="60">
        <f t="shared" si="1"/>
        <v>92.61399423373075</v>
      </c>
      <c r="C127" s="62">
        <f t="shared" si="1"/>
        <v>84.530141164463899</v>
      </c>
    </row>
    <row r="128" spans="1:3" x14ac:dyDescent="0.2">
      <c r="A128" s="34" t="s">
        <v>18</v>
      </c>
      <c r="B128" s="60">
        <f t="shared" si="1"/>
        <v>2182.5142968284922</v>
      </c>
      <c r="C128" s="62">
        <f t="shared" si="1"/>
        <v>1833.959931620024</v>
      </c>
    </row>
    <row r="129" spans="1:3" x14ac:dyDescent="0.2">
      <c r="A129" s="30"/>
      <c r="B129" s="59"/>
      <c r="C129" s="61"/>
    </row>
  </sheetData>
  <mergeCells count="12">
    <mergeCell ref="A6:E6"/>
    <mergeCell ref="A1:E1"/>
    <mergeCell ref="A2:E2"/>
    <mergeCell ref="A3:E3"/>
    <mergeCell ref="A4:E4"/>
    <mergeCell ref="A5:E5"/>
    <mergeCell ref="C10:E10"/>
    <mergeCell ref="C17:C18"/>
    <mergeCell ref="A24:A25"/>
    <mergeCell ref="B24:B25"/>
    <mergeCell ref="C24:D24"/>
    <mergeCell ref="E24:E2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J56"/>
  <sheetViews>
    <sheetView topLeftCell="A34" zoomScale="85" zoomScaleNormal="85" workbookViewId="0">
      <selection activeCell="C16" sqref="C16"/>
    </sheetView>
  </sheetViews>
  <sheetFormatPr baseColWidth="10" defaultColWidth="9.1640625" defaultRowHeight="15" x14ac:dyDescent="0.2"/>
  <cols>
    <col min="1" max="1" width="9.1640625" style="334"/>
    <col min="2" max="2" width="15.6640625" style="334" customWidth="1"/>
    <col min="3" max="3" width="15.33203125" style="334" customWidth="1"/>
    <col min="4" max="4" width="12.33203125" style="334" customWidth="1"/>
    <col min="5" max="5" width="9.1640625" style="334"/>
    <col min="6" max="6" width="12" style="334" customWidth="1"/>
    <col min="7" max="7" width="11.33203125" style="334" customWidth="1"/>
    <col min="8" max="16384" width="9.1640625" style="334"/>
  </cols>
  <sheetData>
    <row r="2" spans="1:7" x14ac:dyDescent="0.2">
      <c r="A2" s="23" t="s">
        <v>175</v>
      </c>
    </row>
    <row r="4" spans="1:7" s="335" customFormat="1" x14ac:dyDescent="0.2">
      <c r="A4" s="210" t="s">
        <v>25</v>
      </c>
      <c r="B4" s="211" t="s">
        <v>26</v>
      </c>
      <c r="C4" s="194" t="s">
        <v>341</v>
      </c>
      <c r="D4" s="212" t="s">
        <v>342</v>
      </c>
      <c r="F4" s="336" t="s">
        <v>37</v>
      </c>
      <c r="G4" s="337" t="s">
        <v>38</v>
      </c>
    </row>
    <row r="5" spans="1:7" s="335" customFormat="1" x14ac:dyDescent="0.2">
      <c r="A5" s="214"/>
      <c r="B5" s="215">
        <v>2014</v>
      </c>
      <c r="C5" s="195"/>
      <c r="D5" s="216"/>
      <c r="F5" s="338" t="s">
        <v>32</v>
      </c>
      <c r="G5" s="339" t="s">
        <v>39</v>
      </c>
    </row>
    <row r="6" spans="1:7" s="335" customFormat="1" x14ac:dyDescent="0.2">
      <c r="A6" s="340"/>
      <c r="D6" s="341"/>
      <c r="F6" s="340"/>
      <c r="G6" s="341"/>
    </row>
    <row r="7" spans="1:7" s="335" customFormat="1" x14ac:dyDescent="0.2">
      <c r="A7" s="340" t="s">
        <v>34</v>
      </c>
      <c r="D7" s="341"/>
      <c r="F7" s="340"/>
      <c r="G7" s="341"/>
    </row>
    <row r="8" spans="1:7" s="335" customFormat="1" x14ac:dyDescent="0.2">
      <c r="A8" s="340" t="s">
        <v>7</v>
      </c>
      <c r="B8" s="28">
        <f>'6.Glaucoma'!B51</f>
        <v>1966319</v>
      </c>
      <c r="C8" s="342">
        <f>'[7]Glaucoma 2014'!H71+'[7]Glaucoma 2014'!H101</f>
        <v>0</v>
      </c>
      <c r="D8" s="343">
        <f>'[7]Glaucoma 2014'!I71+'[7]Glaucoma 2014'!I101</f>
        <v>0</v>
      </c>
      <c r="F8" s="344">
        <f>'[7]Glaucoma 2014'!K71+'[7]Glaucoma 2014'!K101</f>
        <v>0</v>
      </c>
      <c r="G8" s="343">
        <f>'[7]Glaucoma 2014'!L71+'[7]Glaucoma 2014'!L101</f>
        <v>0</v>
      </c>
    </row>
    <row r="9" spans="1:7" s="335" customFormat="1" x14ac:dyDescent="0.2">
      <c r="A9" s="340" t="s">
        <v>11</v>
      </c>
      <c r="B9" s="28">
        <f>'6.Glaucoma'!B52</f>
        <v>4179206</v>
      </c>
      <c r="C9" s="342">
        <f>'[7]Glaucoma 2014'!H72+'[7]Glaucoma 2014'!H102</f>
        <v>0</v>
      </c>
      <c r="D9" s="343">
        <f>'[7]Glaucoma 2014'!I72+'[7]Glaucoma 2014'!I102</f>
        <v>0</v>
      </c>
      <c r="F9" s="344">
        <f>'[7]Glaucoma 2014'!K72+'[7]Glaucoma 2014'!K102</f>
        <v>0</v>
      </c>
      <c r="G9" s="343">
        <f>'[7]Glaucoma 2014'!L72+'[7]Glaucoma 2014'!L102</f>
        <v>0</v>
      </c>
    </row>
    <row r="10" spans="1:7" s="335" customFormat="1" x14ac:dyDescent="0.2">
      <c r="A10" s="340" t="s">
        <v>12</v>
      </c>
      <c r="B10" s="28">
        <f>'6.Glaucoma'!B53</f>
        <v>7301822</v>
      </c>
      <c r="C10" s="342">
        <f>'[7]Glaucoma 2014'!H73+'[7]Glaucoma 2014'!H103</f>
        <v>0</v>
      </c>
      <c r="D10" s="343">
        <f>'[7]Glaucoma 2014'!I73+'[7]Glaucoma 2014'!I103</f>
        <v>0</v>
      </c>
      <c r="F10" s="344">
        <f>'[7]Glaucoma 2014'!K73+'[7]Glaucoma 2014'!K103</f>
        <v>0</v>
      </c>
      <c r="G10" s="343">
        <f>'[7]Glaucoma 2014'!L73+'[7]Glaucoma 2014'!L103</f>
        <v>0</v>
      </c>
    </row>
    <row r="11" spans="1:7" s="335" customFormat="1" x14ac:dyDescent="0.2">
      <c r="A11" s="340" t="s">
        <v>13</v>
      </c>
      <c r="B11" s="28">
        <f>'6.Glaucoma'!B54</f>
        <v>7896765</v>
      </c>
      <c r="C11" s="342">
        <f>'[7]Glaucoma 2014'!H74+'[7]Glaucoma 2014'!H104</f>
        <v>2633.9394745790628</v>
      </c>
      <c r="D11" s="343">
        <f>'[7]Glaucoma 2014'!I74+'[7]Glaucoma 2014'!I104</f>
        <v>2059.3877941749874</v>
      </c>
      <c r="F11" s="344">
        <f>'[7]Glaucoma 2014'!K74+'[7]Glaucoma 2014'!K104</f>
        <v>1958.3895021419237</v>
      </c>
      <c r="G11" s="343">
        <f>'[7]Glaucoma 2014'!L74+'[7]Glaucoma 2014'!L104</f>
        <v>11640</v>
      </c>
    </row>
    <row r="12" spans="1:7" s="335" customFormat="1" x14ac:dyDescent="0.2">
      <c r="A12" s="340" t="s">
        <v>14</v>
      </c>
      <c r="B12" s="28">
        <f>'6.Glaucoma'!B55</f>
        <v>6554289</v>
      </c>
      <c r="C12" s="342">
        <f>'[7]Glaucoma 2014'!H75+'[7]Glaucoma 2014'!H105</f>
        <v>4815.7371598182499</v>
      </c>
      <c r="D12" s="343">
        <f>'[7]Glaucoma 2014'!I75+'[7]Glaucoma 2014'!I105</f>
        <v>3877.9870411921693</v>
      </c>
      <c r="F12" s="344">
        <f>'[7]Glaucoma 2014'!K75+'[7]Glaucoma 2014'!K105</f>
        <v>3467.5551751894154</v>
      </c>
      <c r="G12" s="343">
        <f>'[7]Glaucoma 2014'!L75+'[7]Glaucoma 2014'!L105</f>
        <v>17465</v>
      </c>
    </row>
    <row r="13" spans="1:7" s="335" customFormat="1" x14ac:dyDescent="0.2">
      <c r="A13" s="340" t="s">
        <v>15</v>
      </c>
      <c r="B13" s="28">
        <f>'6.Glaucoma'!B56</f>
        <v>2344057</v>
      </c>
      <c r="C13" s="342">
        <f>'[7]Glaucoma 2014'!H76+'[7]Glaucoma 2014'!H106</f>
        <v>1681.0479157488362</v>
      </c>
      <c r="D13" s="343">
        <f>'[7]Glaucoma 2014'!I76+'[7]Glaucoma 2014'!I106</f>
        <v>1441.6962896919631</v>
      </c>
      <c r="F13" s="344">
        <f>'[7]Glaucoma 2014'!K76+'[7]Glaucoma 2014'!K106</f>
        <v>2370.1651436287307</v>
      </c>
      <c r="G13" s="343">
        <f>'[7]Glaucoma 2014'!L76+'[7]Glaucoma 2014'!L106</f>
        <v>12415</v>
      </c>
    </row>
    <row r="14" spans="1:7" s="335" customFormat="1" x14ac:dyDescent="0.2">
      <c r="A14" s="340" t="s">
        <v>16</v>
      </c>
      <c r="B14" s="28">
        <f>'6.Glaucoma'!B57</f>
        <v>1173067</v>
      </c>
      <c r="C14" s="342">
        <f>'[7]Glaucoma 2014'!H77+'[7]Glaucoma 2014'!H107</f>
        <v>5132.3684817775566</v>
      </c>
      <c r="D14" s="343">
        <f>'[7]Glaucoma 2014'!I77+'[7]Glaucoma 2014'!I107</f>
        <v>4582.7071900745923</v>
      </c>
      <c r="F14" s="344">
        <f>'[7]Glaucoma 2014'!K77+'[7]Glaucoma 2014'!K107</f>
        <v>5132.178516750585</v>
      </c>
      <c r="G14" s="343">
        <f>'[7]Glaucoma 2014'!L77+'[7]Glaucoma 2014'!L107</f>
        <v>29518</v>
      </c>
    </row>
    <row r="15" spans="1:7" s="335" customFormat="1" x14ac:dyDescent="0.2">
      <c r="A15" s="340" t="s">
        <v>17</v>
      </c>
      <c r="B15" s="28">
        <f>'6.Glaucoma'!B58</f>
        <v>506965</v>
      </c>
      <c r="C15" s="342">
        <f>'[7]Glaucoma 2014'!H78+'[7]Glaucoma 2014'!H108</f>
        <v>480.49203916451722</v>
      </c>
      <c r="D15" s="343">
        <f>'[7]Glaucoma 2014'!I78+'[7]Glaucoma 2014'!I108</f>
        <v>446.57327356276829</v>
      </c>
      <c r="F15" s="344">
        <f>'[7]Glaucoma 2014'!K78+'[7]Glaucoma 2014'!K108</f>
        <v>2159.3333189476321</v>
      </c>
      <c r="G15" s="343">
        <f>'[7]Glaucoma 2014'!L78+'[7]Glaucoma 2014'!L108</f>
        <v>12757</v>
      </c>
    </row>
    <row r="16" spans="1:7" s="335" customFormat="1" x14ac:dyDescent="0.2">
      <c r="A16" s="340" t="s">
        <v>18</v>
      </c>
      <c r="B16" s="28">
        <f>'6.Glaucoma'!B59</f>
        <v>31922490</v>
      </c>
      <c r="C16" s="342">
        <f>'[7]Glaucoma 2014'!H79+'[7]Glaucoma 2014'!H109</f>
        <v>14743.585071088224</v>
      </c>
      <c r="D16" s="343">
        <f>'[7]Glaucoma 2014'!I79+'[7]Glaucoma 2014'!I109</f>
        <v>12408.351588696481</v>
      </c>
      <c r="F16" s="344">
        <f>'[7]Glaucoma 2014'!K79+'[7]Glaucoma 2014'!K109</f>
        <v>15087.621656658288</v>
      </c>
      <c r="G16" s="343">
        <f>'[7]Glaucoma 2014'!L79+'[7]Glaucoma 2014'!L109</f>
        <v>83795</v>
      </c>
    </row>
    <row r="17" spans="1:7" s="335" customFormat="1" x14ac:dyDescent="0.2">
      <c r="A17" s="340"/>
      <c r="B17" s="28"/>
      <c r="C17" s="345"/>
      <c r="D17" s="343"/>
      <c r="F17" s="344"/>
      <c r="G17" s="343"/>
    </row>
    <row r="18" spans="1:7" s="335" customFormat="1" x14ac:dyDescent="0.2">
      <c r="A18" s="340" t="s">
        <v>35</v>
      </c>
      <c r="B18" s="28"/>
      <c r="C18" s="345"/>
      <c r="D18" s="343"/>
      <c r="F18" s="344"/>
      <c r="G18" s="343"/>
    </row>
    <row r="19" spans="1:7" s="335" customFormat="1" x14ac:dyDescent="0.2">
      <c r="A19" s="340" t="s">
        <v>7</v>
      </c>
      <c r="B19" s="28">
        <f>'6.Glaucoma'!B62</f>
        <v>1849075</v>
      </c>
      <c r="C19" s="342">
        <f>'[7]Glaucoma 2014'!H82+'[7]Glaucoma 2014'!H112</f>
        <v>0</v>
      </c>
      <c r="D19" s="343">
        <f>'[7]Glaucoma 2014'!I82+'[7]Glaucoma 2014'!I112</f>
        <v>0</v>
      </c>
      <c r="F19" s="344">
        <f>'[7]Glaucoma 2014'!K82+'[7]Glaucoma 2014'!K112</f>
        <v>0</v>
      </c>
      <c r="G19" s="343">
        <f>'[7]Glaucoma 2014'!L82+'[7]Glaucoma 2014'!L112</f>
        <v>0</v>
      </c>
    </row>
    <row r="20" spans="1:7" s="335" customFormat="1" x14ac:dyDescent="0.2">
      <c r="A20" s="340" t="s">
        <v>11</v>
      </c>
      <c r="B20" s="28">
        <f>'6.Glaucoma'!B63</f>
        <v>3940160</v>
      </c>
      <c r="C20" s="342">
        <f>'[7]Glaucoma 2014'!H83+'[7]Glaucoma 2014'!H113</f>
        <v>0</v>
      </c>
      <c r="D20" s="343">
        <f>'[7]Glaucoma 2014'!I83+'[7]Glaucoma 2014'!I113</f>
        <v>0</v>
      </c>
      <c r="F20" s="344">
        <f>'[7]Glaucoma 2014'!K83+'[7]Glaucoma 2014'!K113</f>
        <v>0</v>
      </c>
      <c r="G20" s="343">
        <f>'[7]Glaucoma 2014'!L83+'[7]Glaucoma 2014'!L113</f>
        <v>0</v>
      </c>
    </row>
    <row r="21" spans="1:7" s="335" customFormat="1" x14ac:dyDescent="0.2">
      <c r="A21" s="340" t="s">
        <v>12</v>
      </c>
      <c r="B21" s="46">
        <f>'6.Glaucoma'!B64</f>
        <v>7026158.1752900956</v>
      </c>
      <c r="C21" s="342">
        <f>'[7]Glaucoma 2014'!H84+'[7]Glaucoma 2014'!H114</f>
        <v>0</v>
      </c>
      <c r="D21" s="343">
        <f>'[7]Glaucoma 2014'!I84+'[7]Glaucoma 2014'!I114</f>
        <v>0</v>
      </c>
      <c r="F21" s="344">
        <f>'[7]Glaucoma 2014'!K84+'[7]Glaucoma 2014'!K114</f>
        <v>0</v>
      </c>
      <c r="G21" s="343">
        <f>'[7]Glaucoma 2014'!L84+'[7]Glaucoma 2014'!L114</f>
        <v>0</v>
      </c>
    </row>
    <row r="22" spans="1:7" s="335" customFormat="1" x14ac:dyDescent="0.2">
      <c r="A22" s="340" t="s">
        <v>13</v>
      </c>
      <c r="B22" s="28">
        <f>'6.Glaucoma'!B65</f>
        <v>8017814</v>
      </c>
      <c r="C22" s="342">
        <f>'[7]Glaucoma 2014'!H85+'[7]Glaucoma 2014'!H115</f>
        <v>1750.9705488544942</v>
      </c>
      <c r="D22" s="343">
        <f>'[7]Glaucoma 2014'!I85+'[7]Glaucoma 2014'!I115</f>
        <v>1267.8087813277596</v>
      </c>
      <c r="F22" s="344">
        <f>'[7]Glaucoma 2014'!K85+'[7]Glaucoma 2014'!K115</f>
        <v>2049.2236318398745</v>
      </c>
      <c r="G22" s="343">
        <f>'[7]Glaucoma 2014'!L85+'[7]Glaucoma 2014'!L115</f>
        <v>7521</v>
      </c>
    </row>
    <row r="23" spans="1:7" s="335" customFormat="1" x14ac:dyDescent="0.2">
      <c r="A23" s="340" t="s">
        <v>14</v>
      </c>
      <c r="B23" s="28">
        <f>'6.Glaucoma'!B66</f>
        <v>7162204</v>
      </c>
      <c r="C23" s="342">
        <f>'[7]Glaucoma 2014'!H86+'[7]Glaucoma 2014'!H116</f>
        <v>3541.909793268891</v>
      </c>
      <c r="D23" s="343">
        <f>'[7]Glaucoma 2014'!I86+'[7]Glaucoma 2014'!I116</f>
        <v>2798.7704287205711</v>
      </c>
      <c r="F23" s="344">
        <f>'[7]Glaucoma 2014'!K86+'[7]Glaucoma 2014'!K116</f>
        <v>3585.5238470992072</v>
      </c>
      <c r="G23" s="343">
        <f>'[7]Glaucoma 2014'!L86+'[7]Glaucoma 2014'!L116</f>
        <v>15206</v>
      </c>
    </row>
    <row r="24" spans="1:7" s="335" customFormat="1" x14ac:dyDescent="0.2">
      <c r="A24" s="340" t="s">
        <v>15</v>
      </c>
      <c r="B24" s="46">
        <f>'6.Glaucoma'!B67</f>
        <v>2739970.5356088658</v>
      </c>
      <c r="C24" s="342">
        <f>'[7]Glaucoma 2014'!H87+'[7]Glaucoma 2014'!H117</f>
        <v>6379.8296646021845</v>
      </c>
      <c r="D24" s="343">
        <f>'[7]Glaucoma 2014'!I87+'[7]Glaucoma 2014'!I117</f>
        <v>5395.8179372257046</v>
      </c>
      <c r="F24" s="344">
        <f>'[7]Glaucoma 2014'!K87+'[7]Glaucoma 2014'!K117</f>
        <v>3669.3097335896805</v>
      </c>
      <c r="G24" s="343">
        <f>'[7]Glaucoma 2014'!L87+'[7]Glaucoma 2014'!L117</f>
        <v>18478</v>
      </c>
    </row>
    <row r="25" spans="1:7" s="335" customFormat="1" x14ac:dyDescent="0.2">
      <c r="A25" s="340" t="s">
        <v>16</v>
      </c>
      <c r="B25" s="46">
        <f>'6.Glaucoma'!B68</f>
        <v>1513246</v>
      </c>
      <c r="C25" s="342">
        <f>'[7]Glaucoma 2014'!H88+'[7]Glaucoma 2014'!H118</f>
        <v>2948.1856750869092</v>
      </c>
      <c r="D25" s="343">
        <f>'[7]Glaucoma 2014'!I88+'[7]Glaucoma 2014'!I118</f>
        <v>2574.2365792735759</v>
      </c>
      <c r="F25" s="344">
        <f>'[7]Glaucoma 2014'!K88+'[7]Glaucoma 2014'!K118</f>
        <v>4563.5538176673208</v>
      </c>
      <c r="G25" s="343">
        <f>'[7]Glaucoma 2014'!L88+'[7]Glaucoma 2014'!L118</f>
        <v>24899</v>
      </c>
    </row>
    <row r="26" spans="1:7" s="335" customFormat="1" x14ac:dyDescent="0.2">
      <c r="A26" s="340" t="s">
        <v>17</v>
      </c>
      <c r="B26" s="46">
        <f>'6.Glaucoma'!B69</f>
        <v>784195.44620730029</v>
      </c>
      <c r="C26" s="342">
        <f>'[7]Glaucoma 2014'!H89+'[7]Glaucoma 2014'!H119</f>
        <v>809.48350088836901</v>
      </c>
      <c r="D26" s="343">
        <f>'[7]Glaucoma 2014'!I89+'[7]Glaucoma 2014'!I119</f>
        <v>738.82737880531954</v>
      </c>
      <c r="F26" s="344">
        <f>'[7]Glaucoma 2014'!K89+'[7]Glaucoma 2014'!K119</f>
        <v>2286.687565630953</v>
      </c>
      <c r="G26" s="343">
        <f>'[7]Glaucoma 2014'!L89+'[7]Glaucoma 2014'!L119</f>
        <v>12903</v>
      </c>
    </row>
    <row r="27" spans="1:7" s="335" customFormat="1" x14ac:dyDescent="0.2">
      <c r="A27" s="340" t="s">
        <v>18</v>
      </c>
      <c r="B27" s="46">
        <f>'6.Glaucoma'!B70</f>
        <v>33032823.157106262</v>
      </c>
      <c r="C27" s="342">
        <f>'[7]Glaucoma 2014'!H90+'[7]Glaucoma 2014'!H120</f>
        <v>15430.379182700846</v>
      </c>
      <c r="D27" s="343">
        <f>'[7]Glaucoma 2014'!I90+'[7]Glaucoma 2014'!I120</f>
        <v>12775.46110535293</v>
      </c>
      <c r="F27" s="344">
        <f>'[7]Glaucoma 2014'!K90+'[7]Glaucoma 2014'!K120</f>
        <v>16154.298595827036</v>
      </c>
      <c r="G27" s="343">
        <f>'[7]Glaucoma 2014'!L90+'[7]Glaucoma 2014'!L120</f>
        <v>79007</v>
      </c>
    </row>
    <row r="28" spans="1:7" s="335" customFormat="1" x14ac:dyDescent="0.2">
      <c r="A28" s="346"/>
      <c r="B28" s="347"/>
      <c r="C28" s="348"/>
      <c r="D28" s="349"/>
      <c r="F28" s="346"/>
      <c r="G28" s="350"/>
    </row>
    <row r="29" spans="1:7" s="335" customFormat="1" ht="15.75" customHeight="1" x14ac:dyDescent="0.2"/>
    <row r="30" spans="1:7" x14ac:dyDescent="0.2">
      <c r="A30" s="169" t="s">
        <v>176</v>
      </c>
    </row>
    <row r="33" spans="1:10" x14ac:dyDescent="0.2">
      <c r="A33" s="477" t="s">
        <v>81</v>
      </c>
      <c r="B33" s="264"/>
      <c r="C33" s="473" t="s">
        <v>168</v>
      </c>
      <c r="D33" s="474"/>
      <c r="E33" s="475" t="s">
        <v>188</v>
      </c>
      <c r="F33" s="475"/>
      <c r="G33" s="476"/>
    </row>
    <row r="34" spans="1:10" x14ac:dyDescent="0.2">
      <c r="A34" s="478"/>
      <c r="B34" s="265" t="s">
        <v>26</v>
      </c>
      <c r="C34" s="266" t="s">
        <v>123</v>
      </c>
      <c r="D34" s="267" t="s">
        <v>124</v>
      </c>
      <c r="E34" s="268" t="s">
        <v>123</v>
      </c>
      <c r="F34" s="269" t="s">
        <v>124</v>
      </c>
      <c r="G34" s="267" t="s">
        <v>18</v>
      </c>
    </row>
    <row r="35" spans="1:10" x14ac:dyDescent="0.2">
      <c r="A35" s="270" t="s">
        <v>108</v>
      </c>
      <c r="B35" s="271"/>
      <c r="C35" s="272"/>
      <c r="D35" s="273"/>
      <c r="E35" s="274"/>
      <c r="F35" s="275"/>
      <c r="G35" s="276"/>
    </row>
    <row r="36" spans="1:10" x14ac:dyDescent="0.2">
      <c r="A36" s="277" t="s">
        <v>7</v>
      </c>
      <c r="B36" s="351">
        <f>SUM('[2]Pop 57'!$C$5:$C$6)</f>
        <v>1966319</v>
      </c>
      <c r="C36" s="365">
        <f>'1.Diabetes case'!L64</f>
        <v>499</v>
      </c>
      <c r="D36" s="366">
        <f>'1.Diabetes case'!L93</f>
        <v>0</v>
      </c>
      <c r="E36" s="280">
        <f>(C36/B36)*(2-1)/(1+(C36/B36)*(2-1))</f>
        <v>2.5370929084439942E-4</v>
      </c>
      <c r="F36" s="280">
        <v>0</v>
      </c>
      <c r="G36" s="281">
        <f>E36+F36</f>
        <v>2.5370929084439942E-4</v>
      </c>
    </row>
    <row r="37" spans="1:10" x14ac:dyDescent="0.2">
      <c r="A37" s="277" t="s">
        <v>11</v>
      </c>
      <c r="B37" s="351">
        <f>SUM('[2]Pop 57'!$C$7:$C$8)</f>
        <v>4179206</v>
      </c>
      <c r="C37" s="365">
        <f>'1.Diabetes case'!L65</f>
        <v>4170</v>
      </c>
      <c r="D37" s="366">
        <f>'1.Diabetes case'!L94</f>
        <v>0</v>
      </c>
      <c r="E37" s="280">
        <f t="shared" ref="E37:E43" si="0">(C37/B37)*(2-1)/(1+(C37/B37)*(2-1))</f>
        <v>9.9680258241190839E-4</v>
      </c>
      <c r="F37" s="280">
        <v>0</v>
      </c>
      <c r="G37" s="281">
        <f t="shared" ref="G37:G43" si="1">E37+F37</f>
        <v>9.9680258241190839E-4</v>
      </c>
    </row>
    <row r="38" spans="1:10" x14ac:dyDescent="0.2">
      <c r="A38" s="282" t="s">
        <v>12</v>
      </c>
      <c r="B38" s="351">
        <f>SUM('[2]Pop 57'!$C$9:$C$11)</f>
        <v>7301822</v>
      </c>
      <c r="C38" s="365">
        <f>'1.Diabetes case'!L66</f>
        <v>16107</v>
      </c>
      <c r="D38" s="366">
        <f>'1.Diabetes case'!L95</f>
        <v>101454</v>
      </c>
      <c r="E38" s="280">
        <f t="shared" si="0"/>
        <v>2.20103255989502E-3</v>
      </c>
      <c r="F38" s="280">
        <f>(D38/B38)*(2-1)/(1+(D38/B38)*(2-1))</f>
        <v>1.370393323172066E-2</v>
      </c>
      <c r="G38" s="281">
        <f t="shared" si="1"/>
        <v>1.5904965791615679E-2</v>
      </c>
    </row>
    <row r="39" spans="1:10" x14ac:dyDescent="0.2">
      <c r="A39" s="282" t="s">
        <v>13</v>
      </c>
      <c r="B39" s="351">
        <f>SUM('[2]Pop 57'!$C$12:$C$14)</f>
        <v>7896765</v>
      </c>
      <c r="C39" s="365">
        <f>'1.Diabetes case'!L67</f>
        <v>22800</v>
      </c>
      <c r="D39" s="366">
        <f>'1.Diabetes case'!L96</f>
        <v>407737</v>
      </c>
      <c r="E39" s="280">
        <f t="shared" si="0"/>
        <v>2.8789460027160586E-3</v>
      </c>
      <c r="F39" s="280">
        <f t="shared" ref="F39:F43" si="2">(D39/B39)*(2-1)/(1+(D39/B39)*(2-1))</f>
        <v>4.9098308363343154E-2</v>
      </c>
      <c r="G39" s="281">
        <f t="shared" si="1"/>
        <v>5.1977254366059211E-2</v>
      </c>
    </row>
    <row r="40" spans="1:10" x14ac:dyDescent="0.2">
      <c r="A40" s="282" t="s">
        <v>14</v>
      </c>
      <c r="B40" s="351">
        <f>SUM('[2]Pop 57'!$C$15:$C$17)</f>
        <v>6554289</v>
      </c>
      <c r="C40" s="365">
        <f>'1.Diabetes case'!L68</f>
        <v>17844</v>
      </c>
      <c r="D40" s="366">
        <f>'1.Diabetes case'!L97</f>
        <v>716551</v>
      </c>
      <c r="E40" s="280">
        <f t="shared" si="0"/>
        <v>2.7151002574050164E-3</v>
      </c>
      <c r="F40" s="280">
        <f t="shared" si="2"/>
        <v>9.8551336571840398E-2</v>
      </c>
      <c r="G40" s="281">
        <f t="shared" si="1"/>
        <v>0.10126643682924541</v>
      </c>
    </row>
    <row r="41" spans="1:10" x14ac:dyDescent="0.2">
      <c r="A41" s="282" t="s">
        <v>15</v>
      </c>
      <c r="B41" s="351">
        <f>SUM('[2]Pop 57'!$C$18:$C$19)</f>
        <v>2344057</v>
      </c>
      <c r="C41" s="365">
        <f>'1.Diabetes case'!L69</f>
        <v>5876</v>
      </c>
      <c r="D41" s="366">
        <f>'1.Diabetes case'!L98</f>
        <v>344390</v>
      </c>
      <c r="E41" s="280">
        <f t="shared" si="0"/>
        <v>2.5004968226753702E-3</v>
      </c>
      <c r="F41" s="280">
        <f t="shared" si="2"/>
        <v>0.12809997742190937</v>
      </c>
      <c r="G41" s="281">
        <f t="shared" si="1"/>
        <v>0.13060047424458474</v>
      </c>
    </row>
    <row r="42" spans="1:10" x14ac:dyDescent="0.2">
      <c r="A42" s="282" t="s">
        <v>16</v>
      </c>
      <c r="B42" s="351">
        <f>SUM('[2]Pop 57'!$C$20:$C$21)</f>
        <v>1173067</v>
      </c>
      <c r="C42" s="365">
        <f>'1.Diabetes case'!L70</f>
        <v>2511</v>
      </c>
      <c r="D42" s="366">
        <f>'1.Diabetes case'!L99</f>
        <v>178996</v>
      </c>
      <c r="E42" s="280">
        <f t="shared" si="0"/>
        <v>2.1359705608645276E-3</v>
      </c>
      <c r="F42" s="280">
        <f t="shared" si="2"/>
        <v>0.13238732218838917</v>
      </c>
      <c r="G42" s="281">
        <f t="shared" si="1"/>
        <v>0.1345232927492537</v>
      </c>
    </row>
    <row r="43" spans="1:10" x14ac:dyDescent="0.2">
      <c r="A43" s="282" t="s">
        <v>17</v>
      </c>
      <c r="B43" s="351">
        <f>SUM('[2]Pop 57'!$C$22:$C$26)</f>
        <v>506965</v>
      </c>
      <c r="C43" s="365">
        <f>'1.Diabetes case'!L71</f>
        <v>752</v>
      </c>
      <c r="D43" s="366">
        <f>'1.Diabetes case'!L100</f>
        <v>70802</v>
      </c>
      <c r="E43" s="280">
        <f t="shared" si="0"/>
        <v>1.4811400839444021E-3</v>
      </c>
      <c r="F43" s="280">
        <f t="shared" si="2"/>
        <v>0.12254420899774476</v>
      </c>
      <c r="G43" s="281">
        <f t="shared" si="1"/>
        <v>0.12402534908168916</v>
      </c>
    </row>
    <row r="44" spans="1:10" x14ac:dyDescent="0.2">
      <c r="A44" s="284" t="s">
        <v>160</v>
      </c>
      <c r="B44" s="351">
        <f>SUM(B36:B43)</f>
        <v>31922490</v>
      </c>
      <c r="C44" s="352">
        <f>'1.Diabetes case'!L72</f>
        <v>70559</v>
      </c>
      <c r="D44" s="353">
        <f>'1.Diabetes case'!L101</f>
        <v>1819930</v>
      </c>
      <c r="E44" s="354"/>
      <c r="F44" s="354"/>
      <c r="G44" s="355"/>
    </row>
    <row r="45" spans="1:10" x14ac:dyDescent="0.2">
      <c r="A45" s="356"/>
      <c r="B45" s="357"/>
      <c r="C45" s="352"/>
      <c r="D45" s="353"/>
      <c r="E45" s="354"/>
      <c r="F45" s="354"/>
      <c r="G45" s="355"/>
    </row>
    <row r="46" spans="1:10" x14ac:dyDescent="0.2">
      <c r="A46" s="270" t="s">
        <v>109</v>
      </c>
      <c r="B46" s="351"/>
      <c r="C46" s="352"/>
      <c r="D46" s="353"/>
      <c r="E46" s="354"/>
      <c r="F46" s="354"/>
      <c r="G46" s="355"/>
    </row>
    <row r="47" spans="1:10" x14ac:dyDescent="0.2">
      <c r="A47" s="277" t="s">
        <v>7</v>
      </c>
      <c r="B47" s="351">
        <f>SUM('[2]Pop 57'!$D$5:$D$6)</f>
        <v>1849075</v>
      </c>
      <c r="C47" s="352">
        <f>'1.Diabetes case'!L75</f>
        <v>469</v>
      </c>
      <c r="D47" s="353">
        <f>'1.Diabetes case'!L104</f>
        <v>0</v>
      </c>
      <c r="E47" s="280">
        <f>(C47/B47)*(2-1)/(1+(C47/B47)*(2-1))</f>
        <v>2.5357601657489633E-4</v>
      </c>
      <c r="F47" s="280">
        <v>0</v>
      </c>
      <c r="G47" s="281">
        <f>E47+F47</f>
        <v>2.5357601657489633E-4</v>
      </c>
    </row>
    <row r="48" spans="1:10" x14ac:dyDescent="0.2">
      <c r="A48" s="277" t="s">
        <v>11</v>
      </c>
      <c r="B48" s="351">
        <f>SUM('[2]Pop 57'!$D$7:$D$8)</f>
        <v>3940160</v>
      </c>
      <c r="C48" s="352">
        <f>'1.Diabetes case'!L76</f>
        <v>3929</v>
      </c>
      <c r="D48" s="353">
        <f>'1.Diabetes case'!L105</f>
        <v>0</v>
      </c>
      <c r="E48" s="280">
        <f t="shared" ref="E48:E54" si="3">(C48/B48)*(2-1)/(1+(C48/B48)*(2-1))</f>
        <v>9.9617427497198968E-4</v>
      </c>
      <c r="F48" s="280">
        <v>0</v>
      </c>
      <c r="G48" s="281">
        <f t="shared" ref="G48:G54" si="4">E48+F48</f>
        <v>9.9617427497198968E-4</v>
      </c>
      <c r="J48" s="334" t="s">
        <v>23</v>
      </c>
    </row>
    <row r="49" spans="1:7" x14ac:dyDescent="0.2">
      <c r="A49" s="282" t="s">
        <v>12</v>
      </c>
      <c r="B49" s="358">
        <f>SUM('[2]Pop 57'!$D$9:$D$11)</f>
        <v>7026158.1752900956</v>
      </c>
      <c r="C49" s="352">
        <f>'1.Diabetes case'!L77</f>
        <v>15515</v>
      </c>
      <c r="D49" s="353">
        <f>'1.Diabetes case'!L106</f>
        <v>153923</v>
      </c>
      <c r="E49" s="280">
        <f t="shared" si="3"/>
        <v>2.2033115729431494E-3</v>
      </c>
      <c r="F49" s="280">
        <f>(D49/B49)*(2-1)/(1+(D49/B49)*(2-1))</f>
        <v>2.1437501365544249E-2</v>
      </c>
      <c r="G49" s="281">
        <f t="shared" si="4"/>
        <v>2.36408129384874E-2</v>
      </c>
    </row>
    <row r="50" spans="1:7" x14ac:dyDescent="0.2">
      <c r="A50" s="282" t="s">
        <v>13</v>
      </c>
      <c r="B50" s="351">
        <f>SUM('[2]Pop 57'!$D$12:$D$14)</f>
        <v>8017814</v>
      </c>
      <c r="C50" s="352">
        <f>'1.Diabetes case'!L78</f>
        <v>23335</v>
      </c>
      <c r="D50" s="353">
        <f>'1.Diabetes case'!L107</f>
        <v>465019</v>
      </c>
      <c r="E50" s="280">
        <f t="shared" si="3"/>
        <v>2.9019484653250425E-3</v>
      </c>
      <c r="F50" s="280">
        <f t="shared" ref="F50:F54" si="5">(D50/B50)*(2-1)/(1+(D50/B50)*(2-1))</f>
        <v>5.4818832340563582E-2</v>
      </c>
      <c r="G50" s="281">
        <f t="shared" si="4"/>
        <v>5.7720780805888626E-2</v>
      </c>
    </row>
    <row r="51" spans="1:7" x14ac:dyDescent="0.2">
      <c r="A51" s="282" t="s">
        <v>14</v>
      </c>
      <c r="B51" s="351">
        <f>SUM('[2]Pop 57'!$D$15:$D$17)</f>
        <v>7162204</v>
      </c>
      <c r="C51" s="352">
        <f>'1.Diabetes case'!L79</f>
        <v>19868</v>
      </c>
      <c r="D51" s="353">
        <f>'1.Diabetes case'!L108</f>
        <v>800798</v>
      </c>
      <c r="E51" s="280">
        <f t="shared" si="3"/>
        <v>2.7663326126499427E-3</v>
      </c>
      <c r="F51" s="280">
        <f t="shared" si="5"/>
        <v>0.10056483723098399</v>
      </c>
      <c r="G51" s="281">
        <f t="shared" si="4"/>
        <v>0.10333116984363393</v>
      </c>
    </row>
    <row r="52" spans="1:7" x14ac:dyDescent="0.2">
      <c r="A52" s="282" t="s">
        <v>15</v>
      </c>
      <c r="B52" s="358">
        <f>SUM('[2]Pop 57'!$D$18:$D$19)</f>
        <v>2739970.5356088658</v>
      </c>
      <c r="C52" s="352">
        <f>'1.Diabetes case'!L80</f>
        <v>6831</v>
      </c>
      <c r="D52" s="353">
        <f>'1.Diabetes case'!L109</f>
        <v>556682</v>
      </c>
      <c r="E52" s="280">
        <f t="shared" si="3"/>
        <v>2.4868924497982764E-3</v>
      </c>
      <c r="F52" s="280">
        <f t="shared" si="5"/>
        <v>0.16886280673713319</v>
      </c>
      <c r="G52" s="281">
        <f t="shared" si="4"/>
        <v>0.17134969918693146</v>
      </c>
    </row>
    <row r="53" spans="1:7" x14ac:dyDescent="0.2">
      <c r="A53" s="282" t="s">
        <v>16</v>
      </c>
      <c r="B53" s="358">
        <f>SUM('[2]Pop 57'!$D$20:$D$21)</f>
        <v>1513246</v>
      </c>
      <c r="C53" s="352">
        <f>'1.Diabetes case'!L81</f>
        <v>2988</v>
      </c>
      <c r="D53" s="353">
        <f>'1.Diabetes case'!L110</f>
        <v>326983</v>
      </c>
      <c r="E53" s="280">
        <f t="shared" si="3"/>
        <v>1.9706720730441342E-3</v>
      </c>
      <c r="F53" s="280">
        <f t="shared" si="5"/>
        <v>0.1776860379876635</v>
      </c>
      <c r="G53" s="281">
        <f t="shared" si="4"/>
        <v>0.17965671006070763</v>
      </c>
    </row>
    <row r="54" spans="1:7" x14ac:dyDescent="0.2">
      <c r="A54" s="282" t="s">
        <v>17</v>
      </c>
      <c r="B54" s="358">
        <f>SUM('[2]Pop 57'!$D$22:$D$26)</f>
        <v>784195.44620730029</v>
      </c>
      <c r="C54" s="352">
        <f>'1.Diabetes case'!L82</f>
        <v>1020</v>
      </c>
      <c r="D54" s="353">
        <f>'1.Diabetes case'!L111</f>
        <v>100015</v>
      </c>
      <c r="E54" s="280">
        <f t="shared" si="3"/>
        <v>1.299006540086217E-3</v>
      </c>
      <c r="F54" s="280">
        <f t="shared" si="5"/>
        <v>0.11311221262879291</v>
      </c>
      <c r="G54" s="281">
        <f t="shared" si="4"/>
        <v>0.11441121916887913</v>
      </c>
    </row>
    <row r="55" spans="1:7" x14ac:dyDescent="0.2">
      <c r="A55" s="284" t="s">
        <v>160</v>
      </c>
      <c r="B55" s="358">
        <f>SUM(B47:B54)</f>
        <v>33032823.157106262</v>
      </c>
      <c r="C55" s="359">
        <f>'1.Diabetes case'!L83</f>
        <v>73955</v>
      </c>
      <c r="D55" s="360">
        <f>'1.Diabetes case'!L112</f>
        <v>2403420</v>
      </c>
      <c r="E55" s="354"/>
      <c r="F55" s="354"/>
      <c r="G55" s="355"/>
    </row>
    <row r="56" spans="1:7" x14ac:dyDescent="0.2">
      <c r="A56" s="361"/>
      <c r="B56" s="362"/>
      <c r="C56" s="361"/>
      <c r="D56" s="363"/>
      <c r="E56" s="364"/>
      <c r="F56" s="364"/>
      <c r="G56" s="363"/>
    </row>
  </sheetData>
  <mergeCells count="3">
    <mergeCell ref="A33:A34"/>
    <mergeCell ref="C33:D33"/>
    <mergeCell ref="E33:G33"/>
  </mergeCells>
  <pageMargins left="0.7" right="0.7" top="0.75" bottom="0.75" header="0.3" footer="0.3"/>
  <pageSetup paperSize="9" orientation="portrait" verticalDpi="0" r:id="rId1"/>
  <drawing r:id="rId2"/>
  <legacy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S175"/>
  <sheetViews>
    <sheetView topLeftCell="B144" workbookViewId="0">
      <selection activeCell="R155" sqref="R155"/>
    </sheetView>
  </sheetViews>
  <sheetFormatPr baseColWidth="10" defaultColWidth="9" defaultRowHeight="15" x14ac:dyDescent="0.2"/>
  <cols>
    <col min="1" max="1" width="18" style="22" customWidth="1"/>
    <col min="2" max="2" width="11.83203125" style="22" customWidth="1"/>
    <col min="3" max="3" width="17.6640625" style="22" customWidth="1"/>
    <col min="4" max="4" width="16.1640625" style="22" customWidth="1"/>
    <col min="5" max="5" width="17.6640625" style="22" customWidth="1"/>
    <col min="6" max="6" width="11.83203125" style="22" customWidth="1"/>
    <col min="7" max="7" width="14.33203125" style="22" customWidth="1"/>
    <col min="8" max="8" width="11.5" style="22" customWidth="1"/>
    <col min="9" max="10" width="9" style="22"/>
    <col min="11" max="11" width="17.33203125" style="22" customWidth="1"/>
    <col min="12" max="12" width="17.5" style="22" customWidth="1"/>
    <col min="13" max="16384" width="9" style="22"/>
  </cols>
  <sheetData>
    <row r="1" spans="1:10" x14ac:dyDescent="0.2">
      <c r="A1" s="420" t="s">
        <v>177</v>
      </c>
      <c r="B1" s="420"/>
      <c r="C1" s="420"/>
      <c r="D1" s="420"/>
      <c r="E1" s="420"/>
    </row>
    <row r="2" spans="1:10" x14ac:dyDescent="0.2">
      <c r="A2" s="420" t="s">
        <v>0</v>
      </c>
      <c r="B2" s="420"/>
      <c r="C2" s="420"/>
      <c r="D2" s="420"/>
      <c r="E2" s="420"/>
    </row>
    <row r="3" spans="1:10" x14ac:dyDescent="0.2">
      <c r="A3" s="420" t="s">
        <v>50</v>
      </c>
      <c r="B3" s="420"/>
      <c r="C3" s="420"/>
      <c r="D3" s="420"/>
      <c r="E3" s="420"/>
    </row>
    <row r="4" spans="1:10" x14ac:dyDescent="0.2">
      <c r="A4" s="420" t="s">
        <v>235</v>
      </c>
      <c r="B4" s="420"/>
      <c r="C4" s="420"/>
      <c r="D4" s="420"/>
      <c r="E4" s="420"/>
    </row>
    <row r="5" spans="1:10" x14ac:dyDescent="0.2">
      <c r="A5" s="420" t="s">
        <v>46</v>
      </c>
      <c r="B5" s="420"/>
      <c r="C5" s="420"/>
      <c r="D5" s="420"/>
      <c r="E5" s="420"/>
    </row>
    <row r="6" spans="1:10" x14ac:dyDescent="0.2">
      <c r="A6" s="420" t="s">
        <v>1</v>
      </c>
      <c r="B6" s="420"/>
      <c r="C6" s="420"/>
      <c r="D6" s="420"/>
      <c r="E6" s="420"/>
    </row>
    <row r="7" spans="1:10" x14ac:dyDescent="0.2">
      <c r="A7" s="2"/>
      <c r="B7" s="2"/>
      <c r="C7" s="2"/>
      <c r="D7" s="2"/>
      <c r="E7" s="2"/>
    </row>
    <row r="8" spans="1:10" x14ac:dyDescent="0.2">
      <c r="A8" s="23" t="s">
        <v>2</v>
      </c>
    </row>
    <row r="10" spans="1:10" x14ac:dyDescent="0.2">
      <c r="A10" s="44" t="s">
        <v>3</v>
      </c>
      <c r="B10" s="65" t="s">
        <v>4</v>
      </c>
      <c r="C10" s="483" t="s">
        <v>41</v>
      </c>
      <c r="D10" s="484"/>
      <c r="E10" s="485"/>
      <c r="F10" s="49"/>
      <c r="G10" s="49"/>
    </row>
    <row r="11" spans="1:10" x14ac:dyDescent="0.2">
      <c r="A11" s="52"/>
      <c r="B11" s="66" t="s">
        <v>178</v>
      </c>
      <c r="C11" s="50"/>
      <c r="D11" s="49"/>
      <c r="E11" s="51"/>
      <c r="F11" s="49"/>
      <c r="G11" s="49"/>
    </row>
    <row r="12" spans="1:10" x14ac:dyDescent="0.2">
      <c r="A12" s="30"/>
      <c r="B12" s="68" t="s">
        <v>179</v>
      </c>
      <c r="C12" s="30"/>
      <c r="D12" s="31"/>
      <c r="E12" s="32"/>
      <c r="F12" s="28"/>
      <c r="G12" s="28"/>
    </row>
    <row r="14" spans="1:10" x14ac:dyDescent="0.2">
      <c r="A14" s="23" t="s">
        <v>5</v>
      </c>
      <c r="E14" s="28"/>
    </row>
    <row r="15" spans="1:10" x14ac:dyDescent="0.2">
      <c r="A15" s="23"/>
      <c r="B15" s="23"/>
      <c r="E15" s="28"/>
      <c r="F15" s="28"/>
      <c r="G15" s="28"/>
      <c r="H15" s="28"/>
      <c r="I15" s="28"/>
      <c r="J15" s="28"/>
    </row>
    <row r="16" spans="1:10" x14ac:dyDescent="0.2">
      <c r="A16" s="65" t="s">
        <v>4</v>
      </c>
      <c r="B16" s="43" t="s">
        <v>30</v>
      </c>
      <c r="C16" s="54" t="s">
        <v>6</v>
      </c>
    </row>
    <row r="17" spans="1:7" x14ac:dyDescent="0.2">
      <c r="A17" s="66" t="s">
        <v>178</v>
      </c>
      <c r="B17" s="55">
        <v>6.4000000000000001E-2</v>
      </c>
      <c r="C17" s="418" t="s">
        <v>42</v>
      </c>
    </row>
    <row r="18" spans="1:7" x14ac:dyDescent="0.2">
      <c r="A18" s="67" t="s">
        <v>180</v>
      </c>
      <c r="B18" s="41">
        <v>0.3</v>
      </c>
      <c r="C18" s="419"/>
      <c r="E18" s="160"/>
    </row>
    <row r="19" spans="1:7" x14ac:dyDescent="0.2">
      <c r="A19" s="53"/>
      <c r="B19" s="5"/>
      <c r="C19" s="32"/>
    </row>
    <row r="20" spans="1:7" x14ac:dyDescent="0.2">
      <c r="A20" s="92"/>
      <c r="B20" s="28"/>
      <c r="C20" s="28"/>
    </row>
    <row r="21" spans="1:7" x14ac:dyDescent="0.2">
      <c r="A21" s="23" t="s">
        <v>8</v>
      </c>
    </row>
    <row r="22" spans="1:7" x14ac:dyDescent="0.2">
      <c r="A22" s="180"/>
      <c r="B22" s="28"/>
      <c r="C22" s="28"/>
      <c r="D22" s="28"/>
      <c r="E22" s="28"/>
      <c r="F22" s="28"/>
      <c r="G22" s="28"/>
    </row>
    <row r="23" spans="1:7" x14ac:dyDescent="0.2">
      <c r="A23" s="479" t="s">
        <v>4</v>
      </c>
      <c r="B23" s="481" t="s">
        <v>81</v>
      </c>
      <c r="C23" s="429" t="s">
        <v>9</v>
      </c>
      <c r="D23" s="430"/>
      <c r="E23" s="421" t="s">
        <v>6</v>
      </c>
      <c r="F23" s="28"/>
      <c r="G23" s="28"/>
    </row>
    <row r="24" spans="1:7" x14ac:dyDescent="0.2">
      <c r="A24" s="480"/>
      <c r="B24" s="482"/>
      <c r="C24" s="65" t="s">
        <v>108</v>
      </c>
      <c r="D24" s="94" t="s">
        <v>109</v>
      </c>
      <c r="E24" s="422"/>
      <c r="F24" s="28"/>
    </row>
    <row r="25" spans="1:7" ht="14.25" customHeight="1" x14ac:dyDescent="0.2">
      <c r="A25" s="446" t="s">
        <v>181</v>
      </c>
      <c r="B25" s="167" t="s">
        <v>7</v>
      </c>
      <c r="C25" s="192"/>
      <c r="D25" s="186"/>
      <c r="E25" s="424" t="s">
        <v>161</v>
      </c>
      <c r="F25" s="28"/>
    </row>
    <row r="26" spans="1:7" x14ac:dyDescent="0.2">
      <c r="A26" s="446"/>
      <c r="B26" s="167" t="s">
        <v>11</v>
      </c>
      <c r="C26" s="190">
        <f>'[4]8.Amput'!$E$48</f>
        <v>46.292099999999998</v>
      </c>
      <c r="D26" s="190">
        <f>'[4]8.Amput'!$E$74</f>
        <v>52.119799999999998</v>
      </c>
      <c r="E26" s="424"/>
      <c r="F26" s="28"/>
    </row>
    <row r="27" spans="1:7" x14ac:dyDescent="0.2">
      <c r="A27" s="446"/>
      <c r="B27" s="168" t="s">
        <v>12</v>
      </c>
      <c r="C27" s="190">
        <f>'[4]8.Amput'!$E$51</f>
        <v>36.958599999999997</v>
      </c>
      <c r="D27" s="190">
        <f>'[4]8.Amput'!$E$77</f>
        <v>42.664000000000001</v>
      </c>
      <c r="E27" s="424"/>
      <c r="F27" s="28"/>
    </row>
    <row r="28" spans="1:7" x14ac:dyDescent="0.2">
      <c r="A28" s="446"/>
      <c r="B28" s="168" t="s">
        <v>13</v>
      </c>
      <c r="C28" s="190">
        <f>'[4]8.Amput'!$E$54</f>
        <v>28.647300000000001</v>
      </c>
      <c r="D28" s="190">
        <f>'[4]8.Amput'!$E$80</f>
        <v>31.043700000000001</v>
      </c>
      <c r="E28" s="424"/>
      <c r="F28" s="28"/>
    </row>
    <row r="29" spans="1:7" x14ac:dyDescent="0.2">
      <c r="A29" s="446"/>
      <c r="B29" s="168" t="s">
        <v>14</v>
      </c>
      <c r="C29" s="190">
        <f>'[4]8.Amput'!$E$57</f>
        <v>19.3565</v>
      </c>
      <c r="D29" s="190">
        <f>'[4]8.Amput'!$E$83</f>
        <v>20.033000000000001</v>
      </c>
      <c r="E29" s="424"/>
      <c r="F29" s="28"/>
    </row>
    <row r="30" spans="1:7" x14ac:dyDescent="0.2">
      <c r="A30" s="446"/>
      <c r="B30" s="168" t="s">
        <v>15</v>
      </c>
      <c r="C30" s="190">
        <f>'[4]8.Amput'!$E$60</f>
        <v>11.209</v>
      </c>
      <c r="D30" s="190">
        <f>'[4]8.Amput'!$E$86</f>
        <v>11.3413</v>
      </c>
      <c r="E30" s="424"/>
      <c r="F30" s="28"/>
    </row>
    <row r="31" spans="1:7" s="28" customFormat="1" x14ac:dyDescent="0.2">
      <c r="A31" s="446"/>
      <c r="B31" s="168" t="s">
        <v>16</v>
      </c>
      <c r="C31" s="190">
        <f>'[4]8.Amput'!$E$63</f>
        <v>6.6559999999999997</v>
      </c>
      <c r="D31" s="190">
        <f>'[4]8.Amput'!$E$89</f>
        <v>6.9034000000000004</v>
      </c>
      <c r="E31" s="424"/>
    </row>
    <row r="32" spans="1:7" s="28" customFormat="1" x14ac:dyDescent="0.2">
      <c r="A32" s="446"/>
      <c r="B32" s="168" t="s">
        <v>17</v>
      </c>
      <c r="C32" s="190">
        <f>'[4]8.Amput'!$E$66</f>
        <v>3.5499000000000001</v>
      </c>
      <c r="D32" s="190">
        <f>'[4]8.Amput'!$E$92</f>
        <v>3.5044</v>
      </c>
      <c r="E32" s="424"/>
      <c r="F32" s="49"/>
    </row>
    <row r="33" spans="1:10" s="28" customFormat="1" x14ac:dyDescent="0.2">
      <c r="A33" s="445" t="s">
        <v>182</v>
      </c>
      <c r="B33" s="188" t="s">
        <v>7</v>
      </c>
      <c r="C33" s="158"/>
      <c r="D33" s="158"/>
      <c r="E33" s="426" t="s">
        <v>161</v>
      </c>
      <c r="F33" s="49"/>
    </row>
    <row r="34" spans="1:10" s="28" customFormat="1" x14ac:dyDescent="0.2">
      <c r="A34" s="446"/>
      <c r="B34" s="167" t="s">
        <v>11</v>
      </c>
      <c r="C34" s="157">
        <f>'[4]8.Amput'!$E$102</f>
        <v>48.913933999999998</v>
      </c>
      <c r="D34" s="157">
        <f>'[4]8.Amput'!$E$125</f>
        <v>53.684730000000002</v>
      </c>
      <c r="E34" s="427"/>
      <c r="F34" s="49"/>
    </row>
    <row r="35" spans="1:10" s="28" customFormat="1" x14ac:dyDescent="0.2">
      <c r="A35" s="446"/>
      <c r="B35" s="168" t="s">
        <v>12</v>
      </c>
      <c r="C35" s="157">
        <f>'[4]8.Amput'!$E$105</f>
        <v>37.208547000000003</v>
      </c>
      <c r="D35" s="157">
        <f>'[4]8.Amput'!$E$128</f>
        <v>41.179048999999999</v>
      </c>
      <c r="E35" s="427"/>
      <c r="F35" s="49"/>
    </row>
    <row r="36" spans="1:10" s="28" customFormat="1" x14ac:dyDescent="0.2">
      <c r="A36" s="446"/>
      <c r="B36" s="168" t="s">
        <v>13</v>
      </c>
      <c r="C36" s="157">
        <f>'[4]8.Amput'!$E$108</f>
        <v>28.871127999999999</v>
      </c>
      <c r="D36" s="157">
        <f>'[4]8.Amput'!$E$131</f>
        <v>30.992930999999999</v>
      </c>
      <c r="E36" s="427"/>
      <c r="F36" s="49"/>
    </row>
    <row r="37" spans="1:10" s="28" customFormat="1" x14ac:dyDescent="0.2">
      <c r="A37" s="446"/>
      <c r="B37" s="168" t="s">
        <v>14</v>
      </c>
      <c r="C37" s="157">
        <f>'[4]8.Amput'!$E$111</f>
        <v>20.647977000000001</v>
      </c>
      <c r="D37" s="157">
        <f>'[4]8.Amput'!$E$134</f>
        <v>19.623028999999999</v>
      </c>
      <c r="E37" s="427"/>
      <c r="F37" s="49"/>
    </row>
    <row r="38" spans="1:10" s="28" customFormat="1" x14ac:dyDescent="0.2">
      <c r="A38" s="446"/>
      <c r="B38" s="168" t="s">
        <v>15</v>
      </c>
      <c r="C38" s="157">
        <f>'[4]8.Amput'!$E$114</f>
        <v>12.564418</v>
      </c>
      <c r="D38" s="157">
        <f>'[4]8.Amput'!$E$137</f>
        <v>12.178243</v>
      </c>
      <c r="E38" s="427"/>
      <c r="F38" s="49"/>
      <c r="G38" s="28" t="s">
        <v>23</v>
      </c>
    </row>
    <row r="39" spans="1:10" s="28" customFormat="1" x14ac:dyDescent="0.2">
      <c r="A39" s="446"/>
      <c r="B39" s="168" t="s">
        <v>16</v>
      </c>
      <c r="C39" s="42">
        <f>'[4]8.Amput'!$E$117</f>
        <v>7.7921500000000004</v>
      </c>
      <c r="D39" s="42">
        <f>'[4]8.Amput'!$E$140</f>
        <v>7.7903609999999999</v>
      </c>
      <c r="E39" s="427"/>
      <c r="F39" s="49"/>
    </row>
    <row r="40" spans="1:10" s="28" customFormat="1" x14ac:dyDescent="0.2">
      <c r="A40" s="447"/>
      <c r="B40" s="189" t="s">
        <v>17</v>
      </c>
      <c r="C40" s="159">
        <f>'[4]8.Amput'!$E$120</f>
        <v>4.7727680000000001</v>
      </c>
      <c r="D40" s="159">
        <f>'[4]8.Amput'!$E$143</f>
        <v>4.5154180000000004</v>
      </c>
      <c r="E40" s="428"/>
      <c r="F40" s="49"/>
    </row>
    <row r="41" spans="1:10" s="28" customFormat="1" x14ac:dyDescent="0.2"/>
    <row r="42" spans="1:10" x14ac:dyDescent="0.2">
      <c r="A42" s="28"/>
      <c r="B42" s="28"/>
      <c r="C42" s="28"/>
      <c r="D42" s="28"/>
      <c r="E42" s="28"/>
      <c r="F42" s="28"/>
    </row>
    <row r="43" spans="1:10" x14ac:dyDescent="0.2">
      <c r="A43" s="9" t="s">
        <v>10</v>
      </c>
    </row>
    <row r="45" spans="1:10" x14ac:dyDescent="0.2">
      <c r="A45" s="24"/>
      <c r="B45" s="25" t="s">
        <v>7</v>
      </c>
      <c r="C45" s="25" t="s">
        <v>11</v>
      </c>
      <c r="D45" s="25" t="s">
        <v>12</v>
      </c>
      <c r="E45" s="25" t="s">
        <v>13</v>
      </c>
      <c r="F45" s="25" t="s">
        <v>14</v>
      </c>
      <c r="G45" s="25" t="s">
        <v>15</v>
      </c>
      <c r="H45" s="25" t="s">
        <v>16</v>
      </c>
      <c r="I45" s="25" t="s">
        <v>17</v>
      </c>
      <c r="J45" s="26" t="s">
        <v>18</v>
      </c>
    </row>
    <row r="46" spans="1:10" x14ac:dyDescent="0.2">
      <c r="A46" s="27" t="s">
        <v>19</v>
      </c>
      <c r="B46" s="28"/>
      <c r="C46" s="28"/>
      <c r="D46" s="28"/>
      <c r="E46" s="28"/>
      <c r="F46" s="28"/>
      <c r="G46" s="28"/>
      <c r="H46" s="28"/>
      <c r="I46" s="28"/>
      <c r="J46" s="29"/>
    </row>
    <row r="47" spans="1:10" x14ac:dyDescent="0.2">
      <c r="A47" s="21" t="s">
        <v>20</v>
      </c>
      <c r="B47" s="28"/>
      <c r="C47" s="28"/>
      <c r="D47" s="28"/>
      <c r="E47" s="28"/>
      <c r="F47" s="28"/>
      <c r="G47" s="28"/>
      <c r="H47" s="28"/>
      <c r="I47" s="28"/>
      <c r="J47" s="29"/>
    </row>
    <row r="48" spans="1:10" x14ac:dyDescent="0.2">
      <c r="A48" s="21" t="s">
        <v>21</v>
      </c>
      <c r="B48" s="28"/>
      <c r="C48" s="28"/>
      <c r="D48" s="28"/>
      <c r="E48" s="28"/>
      <c r="F48" s="28"/>
      <c r="G48" s="28"/>
      <c r="H48" s="28"/>
      <c r="I48" s="28"/>
      <c r="J48" s="29"/>
    </row>
    <row r="49" spans="1:13" x14ac:dyDescent="0.2">
      <c r="A49" s="27" t="s">
        <v>22</v>
      </c>
      <c r="B49" s="28"/>
      <c r="C49" s="28"/>
      <c r="D49" s="28"/>
      <c r="E49" s="28"/>
      <c r="F49" s="28"/>
      <c r="G49" s="28"/>
      <c r="H49" s="28"/>
      <c r="I49" s="28"/>
      <c r="J49" s="29"/>
    </row>
    <row r="50" spans="1:13" x14ac:dyDescent="0.2">
      <c r="A50" s="21" t="s">
        <v>20</v>
      </c>
      <c r="B50" s="28"/>
      <c r="C50" s="28"/>
      <c r="D50" s="28"/>
      <c r="E50" s="28"/>
      <c r="F50" s="28"/>
      <c r="G50" s="28"/>
      <c r="H50" s="28"/>
      <c r="I50" s="28"/>
      <c r="J50" s="29"/>
    </row>
    <row r="51" spans="1:13" x14ac:dyDescent="0.2">
      <c r="A51" s="21" t="s">
        <v>21</v>
      </c>
      <c r="B51" s="28"/>
      <c r="C51" s="28"/>
      <c r="D51" s="28"/>
      <c r="E51" s="28"/>
      <c r="F51" s="28"/>
      <c r="G51" s="28"/>
      <c r="H51" s="28"/>
      <c r="I51" s="28"/>
      <c r="J51" s="29"/>
    </row>
    <row r="52" spans="1:13" x14ac:dyDescent="0.2">
      <c r="A52" s="27"/>
      <c r="B52" s="28"/>
      <c r="C52" s="28"/>
      <c r="D52" s="28" t="s">
        <v>23</v>
      </c>
      <c r="E52" s="28"/>
      <c r="F52" s="28"/>
      <c r="G52" s="28"/>
      <c r="H52" s="28"/>
      <c r="I52" s="28"/>
      <c r="J52" s="29"/>
    </row>
    <row r="53" spans="1:13" x14ac:dyDescent="0.2">
      <c r="A53" s="30"/>
      <c r="B53" s="31"/>
      <c r="C53" s="31"/>
      <c r="D53" s="31"/>
      <c r="E53" s="31"/>
      <c r="F53" s="31"/>
      <c r="G53" s="31"/>
      <c r="H53" s="31"/>
      <c r="I53" s="31"/>
      <c r="J53" s="32"/>
    </row>
    <row r="55" spans="1:13" x14ac:dyDescent="0.2">
      <c r="A55" s="64" t="s">
        <v>24</v>
      </c>
    </row>
    <row r="57" spans="1:13" x14ac:dyDescent="0.2">
      <c r="A57" s="23" t="s">
        <v>36</v>
      </c>
      <c r="H57" s="22" t="s">
        <v>23</v>
      </c>
    </row>
    <row r="58" spans="1:13" x14ac:dyDescent="0.2">
      <c r="A58" s="23" t="s">
        <v>186</v>
      </c>
    </row>
    <row r="59" spans="1:13" x14ac:dyDescent="0.2">
      <c r="A59" s="23"/>
    </row>
    <row r="60" spans="1:13" x14ac:dyDescent="0.2">
      <c r="A60" s="24" t="s">
        <v>25</v>
      </c>
      <c r="B60" s="25" t="s">
        <v>26</v>
      </c>
      <c r="C60" s="25" t="s">
        <v>159</v>
      </c>
      <c r="D60" s="25" t="s">
        <v>27</v>
      </c>
      <c r="E60" s="25" t="s">
        <v>28</v>
      </c>
      <c r="F60" s="25" t="s">
        <v>9</v>
      </c>
      <c r="G60" s="25" t="s">
        <v>29</v>
      </c>
      <c r="H60" s="25" t="s">
        <v>30</v>
      </c>
      <c r="I60" s="35" t="s">
        <v>31</v>
      </c>
      <c r="J60" s="26" t="s">
        <v>31</v>
      </c>
      <c r="L60" s="37" t="s">
        <v>37</v>
      </c>
      <c r="M60" s="38" t="s">
        <v>38</v>
      </c>
    </row>
    <row r="61" spans="1:13" x14ac:dyDescent="0.2">
      <c r="A61" s="30"/>
      <c r="B61" s="31">
        <v>2014</v>
      </c>
      <c r="C61" s="31"/>
      <c r="D61" s="31"/>
      <c r="E61" s="31" t="s">
        <v>164</v>
      </c>
      <c r="F61" s="31"/>
      <c r="G61" s="31"/>
      <c r="H61" s="31"/>
      <c r="I61" s="36" t="s">
        <v>32</v>
      </c>
      <c r="J61" s="32" t="s">
        <v>33</v>
      </c>
      <c r="L61" s="39" t="s">
        <v>32</v>
      </c>
      <c r="M61" s="40" t="s">
        <v>39</v>
      </c>
    </row>
    <row r="62" spans="1:13" x14ac:dyDescent="0.2">
      <c r="A62" s="27"/>
      <c r="B62" s="28"/>
      <c r="C62" s="28"/>
      <c r="D62" s="28"/>
      <c r="E62" s="28"/>
      <c r="F62" s="28"/>
      <c r="G62" s="28"/>
      <c r="H62" s="28"/>
      <c r="I62" s="58"/>
      <c r="J62" s="29"/>
      <c r="L62" s="27"/>
      <c r="M62" s="41"/>
    </row>
    <row r="63" spans="1:13" x14ac:dyDescent="0.2">
      <c r="A63" s="48" t="s">
        <v>34</v>
      </c>
      <c r="B63" s="28"/>
      <c r="C63" s="28"/>
      <c r="D63" s="28"/>
      <c r="E63" s="28"/>
      <c r="F63" s="42"/>
      <c r="G63" s="47"/>
      <c r="H63" s="45"/>
      <c r="I63" s="58"/>
      <c r="J63" s="29"/>
      <c r="L63" s="27"/>
      <c r="M63" s="41"/>
    </row>
    <row r="64" spans="1:13" x14ac:dyDescent="0.2">
      <c r="A64" s="33" t="s">
        <v>7</v>
      </c>
      <c r="B64" s="28">
        <f>SUM('[2]Pop 57'!$C$5:$C$6)</f>
        <v>1966319</v>
      </c>
      <c r="C64" s="28" t="s">
        <v>183</v>
      </c>
      <c r="D64" s="46">
        <f>'7. Amputations_DATA'!C59</f>
        <v>0</v>
      </c>
      <c r="E64" s="42">
        <f>D64/B64*100000</f>
        <v>0</v>
      </c>
      <c r="F64" s="42"/>
      <c r="G64" s="128">
        <f>'[4]8.Amput'!J45</f>
        <v>10</v>
      </c>
      <c r="H64" s="45">
        <f>$B$17</f>
        <v>6.4000000000000001E-2</v>
      </c>
      <c r="I64" s="60">
        <v>0</v>
      </c>
      <c r="J64" s="98">
        <v>0</v>
      </c>
      <c r="L64" s="99">
        <f>M64*H64</f>
        <v>0</v>
      </c>
      <c r="M64" s="100">
        <f>D64*F64</f>
        <v>0</v>
      </c>
    </row>
    <row r="65" spans="1:15" x14ac:dyDescent="0.2">
      <c r="A65" s="33"/>
      <c r="B65" s="28"/>
      <c r="C65" s="28" t="s">
        <v>234</v>
      </c>
      <c r="D65" s="46">
        <f>'7. Amputations_DATA'!G59</f>
        <v>0</v>
      </c>
      <c r="E65" s="42">
        <f>D65/B64*100000</f>
        <v>0</v>
      </c>
      <c r="F65" s="42"/>
      <c r="G65" s="128">
        <f>'[4]8.Amput'!J46</f>
        <v>10</v>
      </c>
      <c r="H65" s="45">
        <f>B18</f>
        <v>0.3</v>
      </c>
      <c r="I65" s="60">
        <v>0</v>
      </c>
      <c r="J65" s="98">
        <v>0</v>
      </c>
      <c r="L65" s="99">
        <f t="shared" ref="L65:L78" si="0">M65*H65</f>
        <v>0</v>
      </c>
      <c r="M65" s="100">
        <f t="shared" ref="M65:M98" si="1">D65*F65</f>
        <v>0</v>
      </c>
    </row>
    <row r="66" spans="1:15" x14ac:dyDescent="0.2">
      <c r="A66" s="33" t="s">
        <v>11</v>
      </c>
      <c r="B66" s="28">
        <f>SUM('[2]Pop 57'!$C$7:$C$8)</f>
        <v>4179206</v>
      </c>
      <c r="C66" s="28" t="s">
        <v>183</v>
      </c>
      <c r="D66" s="46">
        <f>'7. Amputations_DATA'!C60</f>
        <v>0</v>
      </c>
      <c r="E66" s="42">
        <f>D66/B66*100000</f>
        <v>0</v>
      </c>
      <c r="F66" s="42">
        <f>$C$26</f>
        <v>46.292099999999998</v>
      </c>
      <c r="G66" s="193">
        <f>'[4]8.Amput'!J48</f>
        <v>20</v>
      </c>
      <c r="H66" s="45">
        <f t="shared" ref="H66:H78" si="2">$B$17</f>
        <v>6.4000000000000001E-2</v>
      </c>
      <c r="I66" s="60">
        <f>D66*F66*H66</f>
        <v>0</v>
      </c>
      <c r="J66" s="98">
        <f>D66*H66*(1-EXP(-0.03*F66))/0.03</f>
        <v>0</v>
      </c>
      <c r="L66" s="99">
        <f t="shared" si="0"/>
        <v>0</v>
      </c>
      <c r="M66" s="100">
        <f t="shared" si="1"/>
        <v>0</v>
      </c>
    </row>
    <row r="67" spans="1:15" x14ac:dyDescent="0.2">
      <c r="A67" s="33"/>
      <c r="B67" s="28"/>
      <c r="C67" s="28" t="s">
        <v>225</v>
      </c>
      <c r="D67" s="46">
        <f>'7. Amputations_DATA'!G60</f>
        <v>0</v>
      </c>
      <c r="E67" s="42">
        <f>D67/B66*100000</f>
        <v>0</v>
      </c>
      <c r="F67" s="42">
        <f>C26</f>
        <v>46.292099999999998</v>
      </c>
      <c r="G67" s="193">
        <f>'[4]8.Amput'!J49</f>
        <v>20</v>
      </c>
      <c r="H67" s="45">
        <f>B18</f>
        <v>0.3</v>
      </c>
      <c r="I67" s="60">
        <f t="shared" ref="I67:I79" si="3">D67*F67*H67</f>
        <v>0</v>
      </c>
      <c r="J67" s="98">
        <f t="shared" ref="J67:J79" si="4">D67*H67*(1-EXP(-0.03*F67))/0.03</f>
        <v>0</v>
      </c>
      <c r="K67" s="22" t="s">
        <v>23</v>
      </c>
      <c r="L67" s="99">
        <f t="shared" si="0"/>
        <v>0</v>
      </c>
      <c r="M67" s="100">
        <f t="shared" si="1"/>
        <v>0</v>
      </c>
    </row>
    <row r="68" spans="1:15" x14ac:dyDescent="0.2">
      <c r="A68" s="33" t="s">
        <v>12</v>
      </c>
      <c r="B68" s="28">
        <f>SUM('[2]Pop 57'!$C$9:$C$11)</f>
        <v>7301822</v>
      </c>
      <c r="C68" s="28" t="s">
        <v>183</v>
      </c>
      <c r="D68" s="46">
        <f>'7. Amputations_DATA'!C61</f>
        <v>4</v>
      </c>
      <c r="E68" s="42">
        <f>D68/B68*100000</f>
        <v>5.4780847848660233E-2</v>
      </c>
      <c r="F68" s="42">
        <f>$C$27</f>
        <v>36.958599999999997</v>
      </c>
      <c r="G68" s="193">
        <f>'[4]8.Amput'!J51</f>
        <v>30</v>
      </c>
      <c r="H68" s="45">
        <f t="shared" si="2"/>
        <v>6.4000000000000001E-2</v>
      </c>
      <c r="I68" s="60">
        <f t="shared" si="3"/>
        <v>9.4614016000000003</v>
      </c>
      <c r="J68" s="98">
        <f t="shared" si="4"/>
        <v>5.7176018978730374</v>
      </c>
      <c r="L68" s="99">
        <f t="shared" si="0"/>
        <v>9.4614016000000003</v>
      </c>
      <c r="M68" s="100">
        <f t="shared" si="1"/>
        <v>147.83439999999999</v>
      </c>
    </row>
    <row r="69" spans="1:15" x14ac:dyDescent="0.2">
      <c r="A69" s="33"/>
      <c r="B69" s="28"/>
      <c r="C69" s="28" t="s">
        <v>225</v>
      </c>
      <c r="D69" s="46">
        <f>'7. Amputations_DATA'!G61</f>
        <v>3</v>
      </c>
      <c r="E69" s="42">
        <f>D69/B68*100000</f>
        <v>4.1085635886495178E-2</v>
      </c>
      <c r="F69" s="42">
        <f>$C$27</f>
        <v>36.958599999999997</v>
      </c>
      <c r="G69" s="193">
        <f>'[4]8.Amput'!J52</f>
        <v>30</v>
      </c>
      <c r="H69" s="45">
        <f>B18</f>
        <v>0.3</v>
      </c>
      <c r="I69" s="60">
        <f t="shared" si="3"/>
        <v>33.262740000000001</v>
      </c>
      <c r="J69" s="98">
        <f t="shared" si="4"/>
        <v>20.100944172209893</v>
      </c>
      <c r="L69" s="99">
        <f t="shared" si="0"/>
        <v>33.262740000000001</v>
      </c>
      <c r="M69" s="100">
        <f t="shared" si="1"/>
        <v>110.8758</v>
      </c>
    </row>
    <row r="70" spans="1:15" x14ac:dyDescent="0.2">
      <c r="A70" s="33" t="s">
        <v>13</v>
      </c>
      <c r="B70" s="28">
        <f>SUM('[2]Pop 57'!$C$12:$C$14)</f>
        <v>7896765</v>
      </c>
      <c r="C70" s="28" t="s">
        <v>183</v>
      </c>
      <c r="D70" s="46">
        <f>'7. Amputations_DATA'!C62</f>
        <v>7.1029178951649214</v>
      </c>
      <c r="E70" s="42">
        <f>D70/B70*100000</f>
        <v>8.9947185906696245E-2</v>
      </c>
      <c r="F70" s="42">
        <f>$C$28</f>
        <v>28.647300000000001</v>
      </c>
      <c r="G70" s="193">
        <f>'[4]8.Amput'!J54</f>
        <v>40</v>
      </c>
      <c r="H70" s="45">
        <f t="shared" si="2"/>
        <v>6.4000000000000001E-2</v>
      </c>
      <c r="I70" s="60">
        <f t="shared" si="3"/>
        <v>13.022682868362116</v>
      </c>
      <c r="J70" s="98">
        <f t="shared" si="4"/>
        <v>8.7370358558386094</v>
      </c>
      <c r="L70" s="99">
        <f t="shared" si="0"/>
        <v>13.022682868362116</v>
      </c>
      <c r="M70" s="100">
        <f t="shared" si="1"/>
        <v>203.47941981815805</v>
      </c>
    </row>
    <row r="71" spans="1:15" x14ac:dyDescent="0.2">
      <c r="A71" s="33"/>
      <c r="B71" s="28"/>
      <c r="C71" s="28" t="s">
        <v>225</v>
      </c>
      <c r="D71" s="46">
        <f>'7. Amputations_DATA'!G62</f>
        <v>7.3241220495106507</v>
      </c>
      <c r="E71" s="42">
        <f>D71/B70*100000</f>
        <v>9.2748385566882779E-2</v>
      </c>
      <c r="F71" s="42">
        <f>$C$28</f>
        <v>28.647300000000001</v>
      </c>
      <c r="G71" s="193">
        <f>'[4]8.Amput'!J55</f>
        <v>40</v>
      </c>
      <c r="H71" s="45">
        <f>B18</f>
        <v>0.3</v>
      </c>
      <c r="I71" s="60">
        <f t="shared" si="3"/>
        <v>62.944896476683937</v>
      </c>
      <c r="J71" s="98">
        <f t="shared" si="4"/>
        <v>42.230301007706665</v>
      </c>
      <c r="L71" s="99">
        <f t="shared" si="0"/>
        <v>62.944896476683937</v>
      </c>
      <c r="M71" s="100">
        <f t="shared" si="1"/>
        <v>209.81632158894647</v>
      </c>
    </row>
    <row r="72" spans="1:15" x14ac:dyDescent="0.2">
      <c r="A72" s="33" t="s">
        <v>14</v>
      </c>
      <c r="B72" s="28">
        <f>SUM('[2]Pop 57'!$C$15:$C$17)</f>
        <v>6554289</v>
      </c>
      <c r="C72" s="28" t="s">
        <v>183</v>
      </c>
      <c r="D72" s="46">
        <f>'7. Amputations_DATA'!C63</f>
        <v>5</v>
      </c>
      <c r="E72" s="42">
        <f>D72/B72*100000</f>
        <v>7.6285925140011368E-2</v>
      </c>
      <c r="F72" s="42">
        <f>$C$29</f>
        <v>19.3565</v>
      </c>
      <c r="G72" s="193">
        <f>'[4]8.Amput'!J57</f>
        <v>50</v>
      </c>
      <c r="H72" s="45">
        <f t="shared" si="2"/>
        <v>6.4000000000000001E-2</v>
      </c>
      <c r="I72" s="60">
        <f t="shared" si="3"/>
        <v>6.1940800000000005</v>
      </c>
      <c r="J72" s="98">
        <f t="shared" si="4"/>
        <v>4.6985666944877629</v>
      </c>
      <c r="L72" s="99">
        <f t="shared" si="0"/>
        <v>6.1940800000000005</v>
      </c>
      <c r="M72" s="100">
        <f t="shared" si="1"/>
        <v>96.782499999999999</v>
      </c>
    </row>
    <row r="73" spans="1:15" x14ac:dyDescent="0.2">
      <c r="A73" s="33"/>
      <c r="B73" s="28"/>
      <c r="C73" s="28" t="s">
        <v>225</v>
      </c>
      <c r="D73" s="46">
        <f>'7. Amputations_DATA'!G63</f>
        <v>2</v>
      </c>
      <c r="E73" s="42">
        <f>D73/B72*100000</f>
        <v>3.0514370056004551E-2</v>
      </c>
      <c r="F73" s="42">
        <f>$C$29</f>
        <v>19.3565</v>
      </c>
      <c r="G73" s="193">
        <f>'[4]8.Amput'!J58</f>
        <v>50</v>
      </c>
      <c r="H73" s="45">
        <f>B18</f>
        <v>0.3</v>
      </c>
      <c r="I73" s="60">
        <f t="shared" si="3"/>
        <v>11.613899999999999</v>
      </c>
      <c r="J73" s="98">
        <f t="shared" si="4"/>
        <v>8.8098125521645549</v>
      </c>
      <c r="L73" s="99">
        <f t="shared" si="0"/>
        <v>11.613899999999999</v>
      </c>
      <c r="M73" s="100">
        <f t="shared" si="1"/>
        <v>38.713000000000001</v>
      </c>
    </row>
    <row r="74" spans="1:15" x14ac:dyDescent="0.2">
      <c r="A74" s="33" t="s">
        <v>15</v>
      </c>
      <c r="B74" s="28">
        <f>SUM('[2]Pop 57'!$C$18:$C$19)</f>
        <v>2344057</v>
      </c>
      <c r="C74" s="28" t="s">
        <v>183</v>
      </c>
      <c r="D74" s="46">
        <f>'7. Amputations_DATA'!C64</f>
        <v>5</v>
      </c>
      <c r="E74" s="42">
        <f>D74/B74*100000</f>
        <v>0.21330539317089986</v>
      </c>
      <c r="F74" s="42">
        <f>$C$30</f>
        <v>11.209</v>
      </c>
      <c r="G74" s="193">
        <f>'[4]8.Amput'!J60</f>
        <v>59.9</v>
      </c>
      <c r="H74" s="45">
        <f t="shared" si="2"/>
        <v>6.4000000000000001E-2</v>
      </c>
      <c r="I74" s="60">
        <f t="shared" si="3"/>
        <v>3.5868800000000003</v>
      </c>
      <c r="J74" s="98">
        <f t="shared" si="4"/>
        <v>3.0460780413530135</v>
      </c>
      <c r="L74" s="99">
        <f t="shared" si="0"/>
        <v>3.5868800000000003</v>
      </c>
      <c r="M74" s="100">
        <f t="shared" si="1"/>
        <v>56.045000000000002</v>
      </c>
      <c r="O74" s="22" t="s">
        <v>23</v>
      </c>
    </row>
    <row r="75" spans="1:15" x14ac:dyDescent="0.2">
      <c r="A75" s="33"/>
      <c r="B75" s="28"/>
      <c r="C75" s="28" t="s">
        <v>225</v>
      </c>
      <c r="D75" s="46">
        <f>'7. Amputations_DATA'!G64</f>
        <v>2</v>
      </c>
      <c r="E75" s="42">
        <f>D75/B74*100000</f>
        <v>8.5322157268359941E-2</v>
      </c>
      <c r="F75" s="42">
        <f>$C$30</f>
        <v>11.209</v>
      </c>
      <c r="G75" s="193">
        <f>'[4]8.Amput'!J61</f>
        <v>59.9</v>
      </c>
      <c r="H75" s="45">
        <f>B18</f>
        <v>0.3</v>
      </c>
      <c r="I75" s="60">
        <f t="shared" si="3"/>
        <v>6.7253999999999996</v>
      </c>
      <c r="J75" s="98">
        <f t="shared" si="4"/>
        <v>5.7113963275368995</v>
      </c>
      <c r="K75" s="22" t="s">
        <v>23</v>
      </c>
      <c r="L75" s="99">
        <f t="shared" si="0"/>
        <v>6.7253999999999996</v>
      </c>
      <c r="M75" s="100">
        <f t="shared" si="1"/>
        <v>22.417999999999999</v>
      </c>
    </row>
    <row r="76" spans="1:15" x14ac:dyDescent="0.2">
      <c r="A76" s="33" t="s">
        <v>16</v>
      </c>
      <c r="B76" s="28">
        <f>SUM('[2]Pop 57'!$C$20:$C$21)</f>
        <v>1173067</v>
      </c>
      <c r="C76" s="28" t="s">
        <v>183</v>
      </c>
      <c r="D76" s="46">
        <f>'7. Amputations_DATA'!C65</f>
        <v>2</v>
      </c>
      <c r="E76" s="42">
        <f>D76/B76*100000</f>
        <v>0.17049324548384703</v>
      </c>
      <c r="F76" s="42">
        <f>$C$31</f>
        <v>6.6559999999999997</v>
      </c>
      <c r="G76" s="193">
        <f>'[4]8.Amput'!J63</f>
        <v>69.8</v>
      </c>
      <c r="H76" s="45">
        <f t="shared" si="2"/>
        <v>6.4000000000000001E-2</v>
      </c>
      <c r="I76" s="60">
        <f t="shared" si="3"/>
        <v>0.85196799999999995</v>
      </c>
      <c r="J76" s="98">
        <f t="shared" si="4"/>
        <v>0.77229743427220021</v>
      </c>
      <c r="K76" s="22" t="s">
        <v>23</v>
      </c>
      <c r="L76" s="99">
        <f t="shared" si="0"/>
        <v>0.85196799999999995</v>
      </c>
      <c r="M76" s="100">
        <f t="shared" si="1"/>
        <v>13.311999999999999</v>
      </c>
    </row>
    <row r="77" spans="1:15" x14ac:dyDescent="0.2">
      <c r="A77" s="33"/>
      <c r="B77" s="28"/>
      <c r="C77" s="28" t="s">
        <v>225</v>
      </c>
      <c r="D77" s="46">
        <f>'7. Amputations_DATA'!G65</f>
        <v>2</v>
      </c>
      <c r="E77" s="42">
        <f>D77/B76*100000</f>
        <v>0.17049324548384703</v>
      </c>
      <c r="F77" s="42">
        <f>$C$31</f>
        <v>6.6559999999999997</v>
      </c>
      <c r="G77" s="193">
        <f>'[4]8.Amput'!J64</f>
        <v>69.8</v>
      </c>
      <c r="H77" s="45">
        <f>B18</f>
        <v>0.3</v>
      </c>
      <c r="I77" s="60">
        <f t="shared" si="3"/>
        <v>3.9935999999999998</v>
      </c>
      <c r="J77" s="98">
        <f t="shared" si="4"/>
        <v>3.6201442231509384</v>
      </c>
      <c r="L77" s="99">
        <f t="shared" si="0"/>
        <v>3.9935999999999998</v>
      </c>
      <c r="M77" s="100">
        <f>D77*F77</f>
        <v>13.311999999999999</v>
      </c>
    </row>
    <row r="78" spans="1:15" x14ac:dyDescent="0.2">
      <c r="A78" s="33" t="s">
        <v>17</v>
      </c>
      <c r="B78" s="28">
        <f>SUM('[2]Pop 57'!$C$22:$C$26)</f>
        <v>506965</v>
      </c>
      <c r="C78" s="28" t="s">
        <v>183</v>
      </c>
      <c r="D78" s="46">
        <f>'7. Amputations_DATA'!C66</f>
        <v>0</v>
      </c>
      <c r="E78" s="42">
        <f>D78/B78*100000</f>
        <v>0</v>
      </c>
      <c r="F78" s="42">
        <f>$C$32</f>
        <v>3.5499000000000001</v>
      </c>
      <c r="G78" s="193">
        <f>'[4]8.Amput'!J66</f>
        <v>80.7</v>
      </c>
      <c r="H78" s="45">
        <f t="shared" si="2"/>
        <v>6.4000000000000001E-2</v>
      </c>
      <c r="I78" s="60">
        <f t="shared" si="3"/>
        <v>0</v>
      </c>
      <c r="J78" s="98">
        <f t="shared" si="4"/>
        <v>0</v>
      </c>
      <c r="L78" s="99">
        <f t="shared" si="0"/>
        <v>0</v>
      </c>
      <c r="M78" s="100">
        <f t="shared" si="1"/>
        <v>0</v>
      </c>
    </row>
    <row r="79" spans="1:15" x14ac:dyDescent="0.2">
      <c r="A79" s="33"/>
      <c r="B79" s="28"/>
      <c r="C79" s="28" t="s">
        <v>225</v>
      </c>
      <c r="D79" s="46">
        <f>'7. Amputations_DATA'!G66</f>
        <v>14.096810719003585</v>
      </c>
      <c r="E79" s="42">
        <f>D79/B78*100000</f>
        <v>2.7806279958189588</v>
      </c>
      <c r="F79" s="42">
        <f>$C$32</f>
        <v>3.5499000000000001</v>
      </c>
      <c r="G79" s="193">
        <f>'[4]8.Amput'!J67</f>
        <v>80.7</v>
      </c>
      <c r="H79" s="42">
        <f>B18</f>
        <v>0.3</v>
      </c>
      <c r="I79" s="60">
        <f t="shared" si="3"/>
        <v>15.012680511417248</v>
      </c>
      <c r="J79" s="98">
        <f t="shared" si="4"/>
        <v>14.240916058672619</v>
      </c>
      <c r="L79" s="99">
        <f>M79*H79</f>
        <v>15.012680511417248</v>
      </c>
      <c r="M79" s="100">
        <f t="shared" si="1"/>
        <v>50.042268371390826</v>
      </c>
    </row>
    <row r="80" spans="1:15" x14ac:dyDescent="0.2">
      <c r="A80" s="34" t="s">
        <v>18</v>
      </c>
      <c r="B80" s="28">
        <f>SUM(B64:B78)</f>
        <v>31922490</v>
      </c>
      <c r="C80" s="28"/>
      <c r="D80" s="46">
        <f>SUM(D64:D79)</f>
        <v>53.523850663679156</v>
      </c>
      <c r="E80" s="42"/>
      <c r="F80" s="42"/>
      <c r="H80" s="42"/>
      <c r="I80" s="60">
        <f>SUM(I64:I79)</f>
        <v>166.67022945646329</v>
      </c>
      <c r="J80" s="98">
        <f>SUM(J64:J79)</f>
        <v>117.68509426526623</v>
      </c>
      <c r="L80" s="99">
        <f>SUM(L64:L79)</f>
        <v>166.67022945646329</v>
      </c>
      <c r="M80" s="99">
        <f>SUM(M64:M79)</f>
        <v>962.63070977849532</v>
      </c>
    </row>
    <row r="81" spans="1:15" x14ac:dyDescent="0.2">
      <c r="A81" s="27"/>
      <c r="B81" s="28"/>
      <c r="C81" s="28"/>
      <c r="D81" s="28"/>
      <c r="E81" s="28"/>
      <c r="F81" s="42"/>
      <c r="H81" s="42"/>
      <c r="I81" s="58"/>
      <c r="J81" s="29"/>
      <c r="L81" s="99"/>
      <c r="M81" s="100"/>
    </row>
    <row r="82" spans="1:15" x14ac:dyDescent="0.2">
      <c r="A82" s="48" t="s">
        <v>35</v>
      </c>
      <c r="B82" s="28"/>
      <c r="C82" s="28"/>
      <c r="D82" s="28"/>
      <c r="E82" s="28"/>
      <c r="F82" s="42"/>
      <c r="H82" s="42"/>
      <c r="I82" s="58"/>
      <c r="J82" s="29"/>
      <c r="L82" s="99"/>
      <c r="M82" s="100"/>
    </row>
    <row r="83" spans="1:15" x14ac:dyDescent="0.2">
      <c r="A83" s="33" t="s">
        <v>7</v>
      </c>
      <c r="B83" s="28">
        <f>SUM('[2]Pop 57'!$D$5:$D$6)</f>
        <v>1849075</v>
      </c>
      <c r="C83" s="28" t="s">
        <v>183</v>
      </c>
      <c r="D83" s="46">
        <f>'7. Amputations_DATA'!C68</f>
        <v>0</v>
      </c>
      <c r="E83" s="42">
        <f>D83/B83*100000</f>
        <v>0</v>
      </c>
      <c r="F83" s="42"/>
      <c r="G83" s="193">
        <f>'[4]8.Amput'!J71</f>
        <v>10</v>
      </c>
      <c r="H83" s="45">
        <f>$B$17</f>
        <v>6.4000000000000001E-2</v>
      </c>
      <c r="I83" s="60">
        <v>0</v>
      </c>
      <c r="J83" s="98">
        <v>0</v>
      </c>
      <c r="L83" s="99">
        <f>M83*H83</f>
        <v>0</v>
      </c>
      <c r="M83" s="100">
        <f t="shared" si="1"/>
        <v>0</v>
      </c>
    </row>
    <row r="84" spans="1:15" x14ac:dyDescent="0.2">
      <c r="A84" s="33"/>
      <c r="B84" s="28"/>
      <c r="C84" s="28" t="s">
        <v>225</v>
      </c>
      <c r="D84" s="46">
        <f>'7. Amputations_DATA'!G68</f>
        <v>0</v>
      </c>
      <c r="E84" s="42">
        <f>D84/B83*100000</f>
        <v>0</v>
      </c>
      <c r="F84" s="42"/>
      <c r="G84" s="193">
        <f>'[4]8.Amput'!J72</f>
        <v>10</v>
      </c>
      <c r="H84" s="45">
        <f>B18</f>
        <v>0.3</v>
      </c>
      <c r="I84" s="60">
        <v>0</v>
      </c>
      <c r="J84" s="98">
        <v>0</v>
      </c>
      <c r="L84" s="99">
        <f t="shared" ref="L84:L97" si="5">M84*H84</f>
        <v>0</v>
      </c>
      <c r="M84" s="100">
        <f t="shared" si="1"/>
        <v>0</v>
      </c>
    </row>
    <row r="85" spans="1:15" x14ac:dyDescent="0.2">
      <c r="A85" s="33" t="s">
        <v>11</v>
      </c>
      <c r="B85" s="28">
        <f>SUM('[2]Pop 57'!$D$7:$D$8)</f>
        <v>3940160</v>
      </c>
      <c r="C85" s="28" t="s">
        <v>183</v>
      </c>
      <c r="D85" s="46">
        <f>'7. Amputations_DATA'!C69</f>
        <v>0</v>
      </c>
      <c r="E85" s="42">
        <f>D85/B85*100000</f>
        <v>0</v>
      </c>
      <c r="F85" s="42">
        <f>$D$26</f>
        <v>52.119799999999998</v>
      </c>
      <c r="G85" s="193">
        <f>'[4]8.Amput'!J74</f>
        <v>20</v>
      </c>
      <c r="H85" s="45">
        <f t="shared" ref="H85:H97" si="6">$B$17</f>
        <v>6.4000000000000001E-2</v>
      </c>
      <c r="I85" s="60">
        <f>D85*F85*H85</f>
        <v>0</v>
      </c>
      <c r="J85" s="98">
        <f>D85*H85*(1-EXP(-0.03*F85))/0.03</f>
        <v>0</v>
      </c>
      <c r="L85" s="99">
        <f t="shared" si="5"/>
        <v>0</v>
      </c>
      <c r="M85" s="100">
        <f t="shared" si="1"/>
        <v>0</v>
      </c>
    </row>
    <row r="86" spans="1:15" x14ac:dyDescent="0.2">
      <c r="A86" s="33"/>
      <c r="B86" s="28"/>
      <c r="C86" s="28" t="s">
        <v>225</v>
      </c>
      <c r="D86" s="46">
        <f>'7. Amputations_DATA'!G69</f>
        <v>0</v>
      </c>
      <c r="E86" s="42">
        <f>D86/B85*100000</f>
        <v>0</v>
      </c>
      <c r="F86" s="42">
        <f>$D$26</f>
        <v>52.119799999999998</v>
      </c>
      <c r="G86" s="193">
        <f>'[4]8.Amput'!J75</f>
        <v>20</v>
      </c>
      <c r="H86" s="45">
        <f>B18</f>
        <v>0.3</v>
      </c>
      <c r="I86" s="60">
        <f t="shared" ref="I86:I98" si="7">D86*F86*H86</f>
        <v>0</v>
      </c>
      <c r="J86" s="98">
        <f t="shared" ref="J86:J98" si="8">D86*H86*(1-EXP(-0.03*F86))/0.03</f>
        <v>0</v>
      </c>
      <c r="L86" s="99">
        <f t="shared" si="5"/>
        <v>0</v>
      </c>
      <c r="M86" s="100">
        <f t="shared" si="1"/>
        <v>0</v>
      </c>
    </row>
    <row r="87" spans="1:15" x14ac:dyDescent="0.2">
      <c r="A87" s="33" t="s">
        <v>12</v>
      </c>
      <c r="B87" s="46">
        <f>SUM('[2]Pop 57'!$D$9:$D$11)</f>
        <v>7026158.1752900956</v>
      </c>
      <c r="C87" s="28" t="s">
        <v>183</v>
      </c>
      <c r="D87" s="46">
        <f>'7. Amputations_DATA'!C70</f>
        <v>5</v>
      </c>
      <c r="E87" s="42">
        <f>D87/B87*100000</f>
        <v>7.1162645008252479E-2</v>
      </c>
      <c r="F87" s="42">
        <f>$D$27</f>
        <v>42.664000000000001</v>
      </c>
      <c r="G87" s="193">
        <f>'[4]8.Amput'!J77</f>
        <v>30</v>
      </c>
      <c r="H87" s="45">
        <f t="shared" si="6"/>
        <v>6.4000000000000001E-2</v>
      </c>
      <c r="I87" s="60">
        <f t="shared" si="7"/>
        <v>13.652480000000001</v>
      </c>
      <c r="J87" s="98">
        <f t="shared" si="8"/>
        <v>7.700698193845616</v>
      </c>
      <c r="L87" s="99">
        <f t="shared" si="5"/>
        <v>13.652480000000001</v>
      </c>
      <c r="M87" s="100">
        <f t="shared" si="1"/>
        <v>213.32</v>
      </c>
    </row>
    <row r="88" spans="1:15" x14ac:dyDescent="0.2">
      <c r="A88" s="33"/>
      <c r="B88" s="46"/>
      <c r="C88" s="28" t="s">
        <v>225</v>
      </c>
      <c r="D88" s="46">
        <f>'7. Amputations_DATA'!G70</f>
        <v>0</v>
      </c>
      <c r="E88" s="42">
        <f>D88/B87*100000</f>
        <v>0</v>
      </c>
      <c r="F88" s="42">
        <f>$D$27</f>
        <v>42.664000000000001</v>
      </c>
      <c r="G88" s="193">
        <f>'[4]8.Amput'!J78</f>
        <v>30</v>
      </c>
      <c r="H88" s="45">
        <f>B18</f>
        <v>0.3</v>
      </c>
      <c r="I88" s="60">
        <f t="shared" si="7"/>
        <v>0</v>
      </c>
      <c r="J88" s="98">
        <f t="shared" si="8"/>
        <v>0</v>
      </c>
      <c r="L88" s="99">
        <f t="shared" si="5"/>
        <v>0</v>
      </c>
      <c r="M88" s="100">
        <f t="shared" si="1"/>
        <v>0</v>
      </c>
    </row>
    <row r="89" spans="1:15" x14ac:dyDescent="0.2">
      <c r="A89" s="33" t="s">
        <v>13</v>
      </c>
      <c r="B89" s="28">
        <f>SUM('[2]Pop 57'!$D$12:$D$14)</f>
        <v>8017814</v>
      </c>
      <c r="C89" s="28" t="s">
        <v>183</v>
      </c>
      <c r="D89" s="46">
        <f>'7. Amputations_DATA'!C71</f>
        <v>15.290284881040453</v>
      </c>
      <c r="E89" s="42">
        <f>D89/B89*100000</f>
        <v>0.1907039110790105</v>
      </c>
      <c r="F89" s="42">
        <f>$D$28</f>
        <v>31.043700000000001</v>
      </c>
      <c r="G89" s="193">
        <f>'[4]8.Amput'!J80</f>
        <v>40</v>
      </c>
      <c r="H89" s="45">
        <f t="shared" si="6"/>
        <v>6.4000000000000001E-2</v>
      </c>
      <c r="I89" s="60">
        <f t="shared" si="7"/>
        <v>30.378689072739554</v>
      </c>
      <c r="J89" s="98">
        <f t="shared" si="8"/>
        <v>19.766080251553927</v>
      </c>
      <c r="L89" s="99">
        <f t="shared" si="5"/>
        <v>30.378689072739554</v>
      </c>
      <c r="M89" s="100">
        <f>D89*F89</f>
        <v>474.66701676155554</v>
      </c>
    </row>
    <row r="90" spans="1:15" x14ac:dyDescent="0.2">
      <c r="A90" s="33"/>
      <c r="B90" s="28"/>
      <c r="C90" s="28" t="s">
        <v>225</v>
      </c>
      <c r="D90" s="46">
        <f>'7. Amputations_DATA'!G71</f>
        <v>1</v>
      </c>
      <c r="E90" s="42">
        <f>D90/B89*100000</f>
        <v>1.2472227467486774E-2</v>
      </c>
      <c r="F90" s="42">
        <f>$D$28</f>
        <v>31.043700000000001</v>
      </c>
      <c r="G90" s="193">
        <f>'[4]8.Amput'!J81</f>
        <v>40</v>
      </c>
      <c r="H90" s="45">
        <f>B18</f>
        <v>0.3</v>
      </c>
      <c r="I90" s="60">
        <f t="shared" si="7"/>
        <v>9.31311</v>
      </c>
      <c r="J90" s="98">
        <f t="shared" si="8"/>
        <v>6.0596321062694463</v>
      </c>
      <c r="L90" s="99">
        <f t="shared" si="5"/>
        <v>9.31311</v>
      </c>
      <c r="M90" s="100">
        <f t="shared" si="1"/>
        <v>31.043700000000001</v>
      </c>
    </row>
    <row r="91" spans="1:15" x14ac:dyDescent="0.2">
      <c r="A91" s="33" t="s">
        <v>14</v>
      </c>
      <c r="B91" s="28">
        <f>SUM('[2]Pop 57'!$D$15:$D$17)</f>
        <v>7162204</v>
      </c>
      <c r="C91" s="28" t="s">
        <v>183</v>
      </c>
      <c r="D91" s="46">
        <f>'7. Amputations_DATA'!C72</f>
        <v>5.0212971926427876</v>
      </c>
      <c r="E91" s="42">
        <f>D91/B91*100000</f>
        <v>7.0108268245958755E-2</v>
      </c>
      <c r="F91" s="42">
        <f>$D$29</f>
        <v>20.033000000000001</v>
      </c>
      <c r="G91" s="193">
        <f>'[4]8.Amput'!J83</f>
        <v>50</v>
      </c>
      <c r="H91" s="45">
        <f t="shared" si="6"/>
        <v>6.4000000000000001E-2</v>
      </c>
      <c r="I91" s="60">
        <f t="shared" si="7"/>
        <v>6.4378653862536304</v>
      </c>
      <c r="J91" s="98">
        <f t="shared" si="8"/>
        <v>4.8389924349664888</v>
      </c>
      <c r="L91" s="99">
        <f t="shared" si="5"/>
        <v>6.4378653862536304</v>
      </c>
      <c r="M91" s="100">
        <f t="shared" si="1"/>
        <v>100.59164666021297</v>
      </c>
    </row>
    <row r="92" spans="1:15" x14ac:dyDescent="0.2">
      <c r="A92" s="33"/>
      <c r="B92" s="28"/>
      <c r="C92" s="28" t="s">
        <v>225</v>
      </c>
      <c r="D92" s="46">
        <f>'7. Amputations_DATA'!G72</f>
        <v>2</v>
      </c>
      <c r="E92" s="42">
        <f>D92/B91*100000</f>
        <v>2.7924365181444148E-2</v>
      </c>
      <c r="F92" s="42">
        <f>$D$29</f>
        <v>20.033000000000001</v>
      </c>
      <c r="G92" s="193">
        <f>'[4]8.Amput'!J84</f>
        <v>50</v>
      </c>
      <c r="H92" s="45">
        <f>B18</f>
        <v>0.3</v>
      </c>
      <c r="I92" s="60">
        <f t="shared" si="7"/>
        <v>12.0198</v>
      </c>
      <c r="J92" s="98">
        <f t="shared" si="8"/>
        <v>9.034628371385887</v>
      </c>
      <c r="L92" s="99">
        <f t="shared" si="5"/>
        <v>12.0198</v>
      </c>
      <c r="M92" s="100">
        <f t="shared" si="1"/>
        <v>40.066000000000003</v>
      </c>
    </row>
    <row r="93" spans="1:15" x14ac:dyDescent="0.2">
      <c r="A93" s="33" t="s">
        <v>15</v>
      </c>
      <c r="B93" s="46">
        <f>SUM('[2]Pop 57'!$D$18:$D$19)</f>
        <v>2739970.5356088658</v>
      </c>
      <c r="C93" s="28" t="s">
        <v>183</v>
      </c>
      <c r="D93" s="46">
        <f>'7. Amputations_DATA'!C73</f>
        <v>3</v>
      </c>
      <c r="E93" s="42">
        <f>D93/B93*100000</f>
        <v>0.10949022849011592</v>
      </c>
      <c r="F93" s="42">
        <f>$D$30</f>
        <v>11.3413</v>
      </c>
      <c r="G93" s="193">
        <f>'[4]8.Amput'!J86</f>
        <v>59.9</v>
      </c>
      <c r="H93" s="45">
        <f t="shared" si="6"/>
        <v>6.4000000000000001E-2</v>
      </c>
      <c r="I93" s="60">
        <f t="shared" si="7"/>
        <v>2.1775295999999997</v>
      </c>
      <c r="J93" s="98">
        <f t="shared" si="8"/>
        <v>1.8457585281128552</v>
      </c>
      <c r="L93" s="99">
        <f t="shared" si="5"/>
        <v>2.1775295999999997</v>
      </c>
      <c r="M93" s="100">
        <f t="shared" si="1"/>
        <v>34.023899999999998</v>
      </c>
      <c r="O93" s="22" t="s">
        <v>23</v>
      </c>
    </row>
    <row r="94" spans="1:15" x14ac:dyDescent="0.2">
      <c r="A94" s="33"/>
      <c r="B94" s="46"/>
      <c r="C94" s="28" t="s">
        <v>225</v>
      </c>
      <c r="D94" s="46">
        <f>'7. Amputations_DATA'!G73</f>
        <v>0</v>
      </c>
      <c r="E94" s="42">
        <f>D94/B93*100000</f>
        <v>0</v>
      </c>
      <c r="F94" s="42">
        <f>$D$30</f>
        <v>11.3413</v>
      </c>
      <c r="G94" s="193">
        <f>'[4]8.Amput'!J87</f>
        <v>59.9</v>
      </c>
      <c r="H94" s="45">
        <f>B18</f>
        <v>0.3</v>
      </c>
      <c r="I94" s="60">
        <f t="shared" si="7"/>
        <v>0</v>
      </c>
      <c r="J94" s="98">
        <f t="shared" si="8"/>
        <v>0</v>
      </c>
      <c r="L94" s="99">
        <f t="shared" si="5"/>
        <v>0</v>
      </c>
      <c r="M94" s="100">
        <f t="shared" si="1"/>
        <v>0</v>
      </c>
    </row>
    <row r="95" spans="1:15" x14ac:dyDescent="0.2">
      <c r="A95" s="33" t="s">
        <v>16</v>
      </c>
      <c r="B95" s="46">
        <f>SUM('[2]Pop 57'!$D$20:$D$21)</f>
        <v>1513246</v>
      </c>
      <c r="C95" s="28" t="s">
        <v>183</v>
      </c>
      <c r="D95" s="46">
        <f>'7. Amputations_DATA'!C74</f>
        <v>1</v>
      </c>
      <c r="E95" s="42">
        <f>D95/B95*100000</f>
        <v>6.6083108760902065E-2</v>
      </c>
      <c r="F95" s="42">
        <f>$D$31</f>
        <v>6.9034000000000004</v>
      </c>
      <c r="G95" s="193">
        <f>'[4]8.Amput'!J89</f>
        <v>69.900000000000006</v>
      </c>
      <c r="H95" s="45">
        <f t="shared" si="6"/>
        <v>6.4000000000000001E-2</v>
      </c>
      <c r="I95" s="60">
        <f t="shared" si="7"/>
        <v>0.44181760000000003</v>
      </c>
      <c r="J95" s="98">
        <f t="shared" si="8"/>
        <v>0.39906831741342569</v>
      </c>
      <c r="L95" s="99">
        <f t="shared" si="5"/>
        <v>0.44181760000000003</v>
      </c>
      <c r="M95" s="100">
        <f t="shared" si="1"/>
        <v>6.9034000000000004</v>
      </c>
    </row>
    <row r="96" spans="1:15" x14ac:dyDescent="0.2">
      <c r="A96" s="33"/>
      <c r="B96" s="46"/>
      <c r="C96" s="28" t="s">
        <v>225</v>
      </c>
      <c r="D96" s="46">
        <f>'7. Amputations_DATA'!G74</f>
        <v>2</v>
      </c>
      <c r="E96" s="42">
        <f>D96/B95*100000</f>
        <v>0.13216621752180413</v>
      </c>
      <c r="F96" s="42">
        <f>$D$31</f>
        <v>6.9034000000000004</v>
      </c>
      <c r="G96" s="193">
        <f>'[4]8.Amput'!J90</f>
        <v>69.900000000000006</v>
      </c>
      <c r="H96" s="45">
        <f>B18</f>
        <v>0.3</v>
      </c>
      <c r="I96" s="60">
        <f t="shared" si="7"/>
        <v>4.1420399999999997</v>
      </c>
      <c r="J96" s="98">
        <f t="shared" si="8"/>
        <v>3.7412654757508657</v>
      </c>
      <c r="L96" s="99">
        <f t="shared" si="5"/>
        <v>4.1420399999999997</v>
      </c>
      <c r="M96" s="100">
        <f t="shared" si="1"/>
        <v>13.806800000000001</v>
      </c>
    </row>
    <row r="97" spans="1:13" x14ac:dyDescent="0.2">
      <c r="A97" s="33" t="s">
        <v>17</v>
      </c>
      <c r="B97" s="46">
        <f>SUM('[2]Pop 57'!$D$22:$D$26)</f>
        <v>784195.44620730029</v>
      </c>
      <c r="C97" s="28" t="s">
        <v>183</v>
      </c>
      <c r="D97" s="46">
        <f>'7. Amputations_DATA'!C75</f>
        <v>1</v>
      </c>
      <c r="E97" s="42">
        <f>D97/B97*100000</f>
        <v>0.12751923067602872</v>
      </c>
      <c r="F97" s="42">
        <f>$D$32</f>
        <v>3.5044</v>
      </c>
      <c r="G97" s="193">
        <f>'[4]8.Amput'!J92</f>
        <v>81.3</v>
      </c>
      <c r="H97" s="45">
        <f t="shared" si="6"/>
        <v>6.4000000000000001E-2</v>
      </c>
      <c r="I97" s="60">
        <f t="shared" si="7"/>
        <v>0.2242816</v>
      </c>
      <c r="J97" s="98">
        <f t="shared" si="8"/>
        <v>0.21289453313585843</v>
      </c>
      <c r="L97" s="99">
        <f t="shared" si="5"/>
        <v>0.2242816</v>
      </c>
      <c r="M97" s="100">
        <f t="shared" si="1"/>
        <v>3.5044</v>
      </c>
    </row>
    <row r="98" spans="1:13" x14ac:dyDescent="0.2">
      <c r="A98" s="33"/>
      <c r="B98" s="46"/>
      <c r="C98" s="28" t="s">
        <v>225</v>
      </c>
      <c r="D98" s="46">
        <f>'7. Amputations_DATA'!G75</f>
        <v>0</v>
      </c>
      <c r="E98" s="42">
        <f>D98/B97*100000</f>
        <v>0</v>
      </c>
      <c r="F98" s="42">
        <f>$D$32</f>
        <v>3.5044</v>
      </c>
      <c r="G98" s="193">
        <f>'[4]8.Amput'!J93</f>
        <v>81.3</v>
      </c>
      <c r="H98" s="45">
        <f>B18</f>
        <v>0.3</v>
      </c>
      <c r="I98" s="60">
        <f t="shared" si="7"/>
        <v>0</v>
      </c>
      <c r="J98" s="98">
        <f t="shared" si="8"/>
        <v>0</v>
      </c>
      <c r="L98" s="99">
        <f>M98*H98</f>
        <v>0</v>
      </c>
      <c r="M98" s="100">
        <f t="shared" si="1"/>
        <v>0</v>
      </c>
    </row>
    <row r="99" spans="1:13" x14ac:dyDescent="0.2">
      <c r="A99" s="34" t="s">
        <v>18</v>
      </c>
      <c r="B99" s="46">
        <f>SUM(B83:B97)</f>
        <v>33032823.157106262</v>
      </c>
      <c r="C99" s="46"/>
      <c r="D99" s="46">
        <f>SUM(D83:D98)</f>
        <v>35.31158207368324</v>
      </c>
      <c r="E99" s="28"/>
      <c r="F99" s="42"/>
      <c r="G99" s="28"/>
      <c r="H99" s="28"/>
      <c r="I99" s="60">
        <f>SUM(I83:I98)</f>
        <v>78.787613258993176</v>
      </c>
      <c r="J99" s="98">
        <f>SUM(J83:J98)</f>
        <v>53.599018212434359</v>
      </c>
      <c r="L99" s="99">
        <f>SUM(L83:L98)</f>
        <v>78.787613258993176</v>
      </c>
      <c r="M99" s="99">
        <f>SUM(M83:M98)</f>
        <v>917.92686342176864</v>
      </c>
    </row>
    <row r="100" spans="1:13" x14ac:dyDescent="0.2">
      <c r="A100" s="30"/>
      <c r="B100" s="31"/>
      <c r="C100" s="31"/>
      <c r="D100" s="31"/>
      <c r="E100" s="31"/>
      <c r="F100" s="31"/>
      <c r="G100" s="31"/>
      <c r="H100" s="31"/>
      <c r="I100" s="59"/>
      <c r="J100" s="32"/>
      <c r="L100" s="30"/>
      <c r="M100" s="5"/>
    </row>
    <row r="103" spans="1:13" x14ac:dyDescent="0.2">
      <c r="A103" s="23" t="s">
        <v>185</v>
      </c>
    </row>
    <row r="104" spans="1:13" x14ac:dyDescent="0.2">
      <c r="A104" s="23"/>
    </row>
    <row r="105" spans="1:13" x14ac:dyDescent="0.2">
      <c r="A105" s="24" t="s">
        <v>25</v>
      </c>
      <c r="B105" s="25" t="s">
        <v>26</v>
      </c>
      <c r="C105" s="25" t="s">
        <v>159</v>
      </c>
      <c r="D105" s="25" t="s">
        <v>27</v>
      </c>
      <c r="E105" s="25" t="s">
        <v>28</v>
      </c>
      <c r="F105" s="25" t="s">
        <v>9</v>
      </c>
      <c r="G105" s="25" t="s">
        <v>29</v>
      </c>
      <c r="H105" s="25" t="s">
        <v>30</v>
      </c>
      <c r="I105" s="35" t="s">
        <v>31</v>
      </c>
      <c r="J105" s="26" t="s">
        <v>31</v>
      </c>
      <c r="L105" s="37" t="s">
        <v>37</v>
      </c>
      <c r="M105" s="38" t="s">
        <v>38</v>
      </c>
    </row>
    <row r="106" spans="1:13" x14ac:dyDescent="0.2">
      <c r="A106" s="30"/>
      <c r="B106" s="31">
        <v>2014</v>
      </c>
      <c r="C106" s="31"/>
      <c r="D106" s="31"/>
      <c r="E106" s="31" t="s">
        <v>164</v>
      </c>
      <c r="F106" s="31"/>
      <c r="G106" s="31"/>
      <c r="H106" s="31"/>
      <c r="I106" s="36" t="s">
        <v>32</v>
      </c>
      <c r="J106" s="32" t="s">
        <v>33</v>
      </c>
      <c r="L106" s="39" t="s">
        <v>32</v>
      </c>
      <c r="M106" s="40" t="s">
        <v>39</v>
      </c>
    </row>
    <row r="107" spans="1:13" x14ac:dyDescent="0.2">
      <c r="A107" s="27"/>
      <c r="B107" s="28"/>
      <c r="C107" s="28"/>
      <c r="D107" s="28"/>
      <c r="E107" s="28"/>
      <c r="F107" s="28"/>
      <c r="G107" s="28"/>
      <c r="H107" s="28"/>
      <c r="I107" s="58"/>
      <c r="J107" s="29"/>
      <c r="L107" s="27"/>
      <c r="M107" s="41"/>
    </row>
    <row r="108" spans="1:13" x14ac:dyDescent="0.2">
      <c r="A108" s="48" t="s">
        <v>34</v>
      </c>
      <c r="B108" s="28"/>
      <c r="C108" s="28"/>
      <c r="D108" s="28"/>
      <c r="E108" s="28"/>
      <c r="F108" s="42"/>
      <c r="G108" s="47"/>
      <c r="H108" s="45"/>
      <c r="I108" s="58"/>
      <c r="J108" s="29"/>
      <c r="L108" s="27"/>
      <c r="M108" s="41"/>
    </row>
    <row r="109" spans="1:13" x14ac:dyDescent="0.2">
      <c r="A109" s="33" t="s">
        <v>7</v>
      </c>
      <c r="B109" s="28">
        <f>SUM('[2]Pop 57'!$C$5:$C$6)</f>
        <v>1966319</v>
      </c>
      <c r="C109" s="28" t="s">
        <v>183</v>
      </c>
      <c r="D109" s="46">
        <f>'7. Amputations_DATA'!K59</f>
        <v>0</v>
      </c>
      <c r="E109" s="42">
        <f>D109/B109*100000</f>
        <v>0</v>
      </c>
      <c r="F109" s="42"/>
      <c r="G109" s="128"/>
      <c r="H109" s="45">
        <f>$B$17</f>
        <v>6.4000000000000001E-2</v>
      </c>
      <c r="I109" s="60">
        <v>0</v>
      </c>
      <c r="J109" s="98">
        <v>0</v>
      </c>
      <c r="L109" s="99">
        <f>M109*H109</f>
        <v>0</v>
      </c>
      <c r="M109" s="100">
        <f>D109*F109</f>
        <v>0</v>
      </c>
    </row>
    <row r="110" spans="1:13" x14ac:dyDescent="0.2">
      <c r="A110" s="33"/>
      <c r="B110" s="28"/>
      <c r="C110" s="28" t="s">
        <v>225</v>
      </c>
      <c r="D110" s="46">
        <f>'7. Amputations_DATA'!O59</f>
        <v>0</v>
      </c>
      <c r="E110" s="42">
        <f>D110/B109*100000</f>
        <v>0</v>
      </c>
      <c r="F110" s="42"/>
      <c r="G110" s="128"/>
      <c r="H110" s="45">
        <f>$B$18</f>
        <v>0.3</v>
      </c>
      <c r="I110" s="60">
        <v>0</v>
      </c>
      <c r="J110" s="98">
        <v>0</v>
      </c>
      <c r="L110" s="99">
        <f t="shared" ref="L110:L123" si="9">M110*H110</f>
        <v>0</v>
      </c>
      <c r="M110" s="100">
        <f t="shared" ref="M110:M121" si="10">D110*F110</f>
        <v>0</v>
      </c>
    </row>
    <row r="111" spans="1:13" x14ac:dyDescent="0.2">
      <c r="A111" s="33" t="s">
        <v>11</v>
      </c>
      <c r="B111" s="28">
        <f>SUM('[2]Pop 57'!$C$7:$C$8)</f>
        <v>4179206</v>
      </c>
      <c r="C111" s="28" t="s">
        <v>183</v>
      </c>
      <c r="D111" s="46">
        <f>'7. Amputations_DATA'!K60</f>
        <v>0</v>
      </c>
      <c r="E111" s="42">
        <f>D111/B111*100000</f>
        <v>0</v>
      </c>
      <c r="F111" s="42">
        <f>$C$34</f>
        <v>48.913933999999998</v>
      </c>
      <c r="G111" s="193">
        <f>'[4]8.Amput'!J102</f>
        <v>20</v>
      </c>
      <c r="H111" s="45">
        <f t="shared" ref="H111:H123" si="11">$B$17</f>
        <v>6.4000000000000001E-2</v>
      </c>
      <c r="I111" s="60">
        <f>D111*F111*H111</f>
        <v>0</v>
      </c>
      <c r="J111" s="98">
        <f>D111*H111*(1-EXP(-0.03*F111))/0.03</f>
        <v>0</v>
      </c>
      <c r="L111" s="99">
        <f t="shared" si="9"/>
        <v>0</v>
      </c>
      <c r="M111" s="100">
        <f t="shared" si="10"/>
        <v>0</v>
      </c>
    </row>
    <row r="112" spans="1:13" x14ac:dyDescent="0.2">
      <c r="A112" s="33"/>
      <c r="B112" s="28"/>
      <c r="C112" s="28" t="s">
        <v>225</v>
      </c>
      <c r="D112" s="46">
        <f>'7. Amputations_DATA'!O60</f>
        <v>0</v>
      </c>
      <c r="E112" s="42">
        <f>D112/B111*100000</f>
        <v>0</v>
      </c>
      <c r="F112" s="42">
        <f>$C$34</f>
        <v>48.913933999999998</v>
      </c>
      <c r="G112" s="193">
        <f>'[4]8.Amput'!J103</f>
        <v>20</v>
      </c>
      <c r="H112" s="45">
        <f>B18</f>
        <v>0.3</v>
      </c>
      <c r="I112" s="60">
        <f t="shared" ref="I112:I124" si="12">D112*F112*H112</f>
        <v>0</v>
      </c>
      <c r="J112" s="98">
        <f t="shared" ref="J112:J124" si="13">D112*H112*(1-EXP(-0.03*F112))/0.03</f>
        <v>0</v>
      </c>
      <c r="L112" s="99">
        <f t="shared" si="9"/>
        <v>0</v>
      </c>
      <c r="M112" s="100">
        <f t="shared" si="10"/>
        <v>0</v>
      </c>
    </row>
    <row r="113" spans="1:13" x14ac:dyDescent="0.2">
      <c r="A113" s="33" t="s">
        <v>12</v>
      </c>
      <c r="B113" s="28">
        <f>SUM('[2]Pop 57'!$C$9:$C$11)</f>
        <v>7301822</v>
      </c>
      <c r="C113" s="28" t="s">
        <v>183</v>
      </c>
      <c r="D113" s="46">
        <f>'7. Amputations_DATA'!K61</f>
        <v>9</v>
      </c>
      <c r="E113" s="42">
        <f>D113/B113*100000</f>
        <v>0.12325690765948552</v>
      </c>
      <c r="F113" s="42">
        <f>$C$35</f>
        <v>37.208547000000003</v>
      </c>
      <c r="G113" s="193">
        <f>'[4]8.Amput'!J105</f>
        <v>30</v>
      </c>
      <c r="H113" s="45">
        <f t="shared" si="11"/>
        <v>6.4000000000000001E-2</v>
      </c>
      <c r="I113" s="60">
        <f t="shared" si="12"/>
        <v>21.432123072000003</v>
      </c>
      <c r="J113" s="98">
        <f t="shared" si="13"/>
        <v>12.911932001786191</v>
      </c>
      <c r="L113" s="99">
        <f t="shared" si="9"/>
        <v>21.432123072000003</v>
      </c>
      <c r="M113" s="100">
        <f t="shared" si="10"/>
        <v>334.87692300000003</v>
      </c>
    </row>
    <row r="114" spans="1:13" x14ac:dyDescent="0.2">
      <c r="A114" s="33"/>
      <c r="B114" s="28"/>
      <c r="C114" s="28" t="s">
        <v>225</v>
      </c>
      <c r="D114" s="46">
        <f>'7. Amputations_DATA'!O61</f>
        <v>3</v>
      </c>
      <c r="E114" s="42">
        <f>D114/B113*100000</f>
        <v>4.1085635886495178E-2</v>
      </c>
      <c r="F114" s="42">
        <f>$C$35</f>
        <v>37.208547000000003</v>
      </c>
      <c r="G114" s="193">
        <f>'[4]8.Amput'!J106</f>
        <v>30</v>
      </c>
      <c r="H114" s="45">
        <f>B18</f>
        <v>0.3</v>
      </c>
      <c r="I114" s="60">
        <f t="shared" si="12"/>
        <v>33.487692299999999</v>
      </c>
      <c r="J114" s="98">
        <f t="shared" si="13"/>
        <v>20.174893752790918</v>
      </c>
      <c r="L114" s="99">
        <f t="shared" si="9"/>
        <v>33.487692299999999</v>
      </c>
      <c r="M114" s="100">
        <f t="shared" si="10"/>
        <v>111.625641</v>
      </c>
    </row>
    <row r="115" spans="1:13" x14ac:dyDescent="0.2">
      <c r="A115" s="33" t="s">
        <v>13</v>
      </c>
      <c r="B115" s="28">
        <f>SUM('[2]Pop 57'!$C$12:$C$14)</f>
        <v>7896765</v>
      </c>
      <c r="C115" s="28" t="s">
        <v>183</v>
      </c>
      <c r="D115" s="46">
        <f>'7. Amputations_DATA'!K62</f>
        <v>220.74353180727755</v>
      </c>
      <c r="E115" s="42">
        <f>D115/B115*100000</f>
        <v>2.7953666065442944</v>
      </c>
      <c r="F115" s="42">
        <f>$C$36</f>
        <v>28.871127999999999</v>
      </c>
      <c r="G115" s="193">
        <f>'[4]8.Amput'!J108</f>
        <v>40</v>
      </c>
      <c r="H115" s="45">
        <f t="shared" si="11"/>
        <v>6.4000000000000001E-2</v>
      </c>
      <c r="I115" s="60">
        <f t="shared" si="12"/>
        <v>407.87934476671882</v>
      </c>
      <c r="J115" s="98">
        <f t="shared" si="13"/>
        <v>272.86282532654616</v>
      </c>
      <c r="L115" s="99">
        <f t="shared" si="9"/>
        <v>407.87934476671882</v>
      </c>
      <c r="M115" s="100">
        <f t="shared" si="10"/>
        <v>6373.1147619799813</v>
      </c>
    </row>
    <row r="116" spans="1:13" x14ac:dyDescent="0.2">
      <c r="A116" s="33"/>
      <c r="B116" s="28"/>
      <c r="C116" s="28" t="s">
        <v>225</v>
      </c>
      <c r="D116" s="46">
        <f>'7. Amputations_DATA'!O62</f>
        <v>76.519237452569499</v>
      </c>
      <c r="E116" s="42">
        <f>D116/B115*100000</f>
        <v>0.96899473965059735</v>
      </c>
      <c r="F116" s="42">
        <f>$C$36</f>
        <v>28.871127999999999</v>
      </c>
      <c r="G116" s="193">
        <f>'[4]8.Amput'!J109</f>
        <v>40</v>
      </c>
      <c r="H116" s="45">
        <f>B18</f>
        <v>0.3</v>
      </c>
      <c r="I116" s="60">
        <f t="shared" si="12"/>
        <v>662.75900968665826</v>
      </c>
      <c r="J116" s="98">
        <f t="shared" si="13"/>
        <v>443.37203688790788</v>
      </c>
      <c r="L116" s="99">
        <f t="shared" si="9"/>
        <v>662.75900968665826</v>
      </c>
      <c r="M116" s="100">
        <f t="shared" si="10"/>
        <v>2209.1966989555276</v>
      </c>
    </row>
    <row r="117" spans="1:13" x14ac:dyDescent="0.2">
      <c r="A117" s="33" t="s">
        <v>14</v>
      </c>
      <c r="B117" s="28">
        <f>SUM('[2]Pop 57'!$C$15:$C$17)</f>
        <v>6554289</v>
      </c>
      <c r="C117" s="28" t="s">
        <v>183</v>
      </c>
      <c r="D117" s="46">
        <f>'7. Amputations_DATA'!K63</f>
        <v>989</v>
      </c>
      <c r="E117" s="42">
        <f>D117/B117*100000</f>
        <v>15.08935599269425</v>
      </c>
      <c r="F117" s="42">
        <f>$C$37</f>
        <v>20.647977000000001</v>
      </c>
      <c r="G117" s="193">
        <f>'[4]8.Amput'!J111</f>
        <v>50</v>
      </c>
      <c r="H117" s="45">
        <f t="shared" si="11"/>
        <v>6.4000000000000001E-2</v>
      </c>
      <c r="I117" s="60">
        <f t="shared" si="12"/>
        <v>1306.934352192</v>
      </c>
      <c r="J117" s="98">
        <f t="shared" si="13"/>
        <v>974.23907270338293</v>
      </c>
      <c r="L117" s="99">
        <f t="shared" si="9"/>
        <v>1306.934352192</v>
      </c>
      <c r="M117" s="100">
        <f t="shared" si="10"/>
        <v>20420.849253</v>
      </c>
    </row>
    <row r="118" spans="1:13" x14ac:dyDescent="0.2">
      <c r="A118" s="33"/>
      <c r="B118" s="28"/>
      <c r="C118" s="28" t="s">
        <v>225</v>
      </c>
      <c r="D118" s="46">
        <f>'7. Amputations_DATA'!O63</f>
        <v>337</v>
      </c>
      <c r="E118" s="42">
        <f>D118/B117*100000</f>
        <v>5.1416713544367667</v>
      </c>
      <c r="F118" s="42">
        <f>$C$37</f>
        <v>20.647977000000001</v>
      </c>
      <c r="G118" s="193">
        <f>'[4]8.Amput'!J112</f>
        <v>50</v>
      </c>
      <c r="H118" s="45">
        <f>B18</f>
        <v>0.3</v>
      </c>
      <c r="I118" s="60">
        <f t="shared" si="12"/>
        <v>2087.5104747</v>
      </c>
      <c r="J118" s="98">
        <f t="shared" si="13"/>
        <v>1556.1105006684784</v>
      </c>
      <c r="L118" s="99">
        <f t="shared" si="9"/>
        <v>2087.5104747</v>
      </c>
      <c r="M118" s="100">
        <f t="shared" si="10"/>
        <v>6958.3682490000001</v>
      </c>
    </row>
    <row r="119" spans="1:13" x14ac:dyDescent="0.2">
      <c r="A119" s="33" t="s">
        <v>15</v>
      </c>
      <c r="B119" s="28">
        <f>SUM('[2]Pop 57'!$C$18:$C$19)</f>
        <v>2344057</v>
      </c>
      <c r="C119" s="28" t="s">
        <v>183</v>
      </c>
      <c r="D119" s="46">
        <f>'7. Amputations_DATA'!K64</f>
        <v>808</v>
      </c>
      <c r="E119" s="42">
        <f>D119/B119*100000</f>
        <v>34.470151536417418</v>
      </c>
      <c r="F119" s="42">
        <f>$C$38</f>
        <v>12.564418</v>
      </c>
      <c r="G119" s="193">
        <f>'[4]8.Amput'!J114</f>
        <v>59.9</v>
      </c>
      <c r="H119" s="45">
        <f t="shared" si="11"/>
        <v>6.4000000000000001E-2</v>
      </c>
      <c r="I119" s="60">
        <f t="shared" si="12"/>
        <v>649.73118361599995</v>
      </c>
      <c r="J119" s="98">
        <f t="shared" si="13"/>
        <v>541.31716978568045</v>
      </c>
      <c r="L119" s="99">
        <f t="shared" si="9"/>
        <v>649.73118361599995</v>
      </c>
      <c r="M119" s="100">
        <f t="shared" si="10"/>
        <v>10152.049744</v>
      </c>
    </row>
    <row r="120" spans="1:13" x14ac:dyDescent="0.2">
      <c r="A120" s="33"/>
      <c r="B120" s="28"/>
      <c r="C120" s="28" t="s">
        <v>225</v>
      </c>
      <c r="D120" s="46">
        <f>'7. Amputations_DATA'!O64</f>
        <v>299</v>
      </c>
      <c r="E120" s="42">
        <f>D120/B119*100000</f>
        <v>12.755662511619811</v>
      </c>
      <c r="F120" s="42">
        <f>$C$38</f>
        <v>12.564418</v>
      </c>
      <c r="G120" s="193">
        <f>'[4]8.Amput'!J115</f>
        <v>59.9</v>
      </c>
      <c r="H120" s="45">
        <f>B18</f>
        <v>0.3</v>
      </c>
      <c r="I120" s="60">
        <f t="shared" si="12"/>
        <v>1127.0282946</v>
      </c>
      <c r="J120" s="98">
        <f t="shared" si="13"/>
        <v>938.97258140809743</v>
      </c>
      <c r="L120" s="99">
        <f t="shared" si="9"/>
        <v>1127.0282946</v>
      </c>
      <c r="M120" s="100">
        <f t="shared" si="10"/>
        <v>3756.7609819999998</v>
      </c>
    </row>
    <row r="121" spans="1:13" x14ac:dyDescent="0.2">
      <c r="A121" s="33" t="s">
        <v>16</v>
      </c>
      <c r="B121" s="28">
        <f>SUM('[2]Pop 57'!$C$20:$C$21)</f>
        <v>1173067</v>
      </c>
      <c r="C121" s="28" t="s">
        <v>183</v>
      </c>
      <c r="D121" s="46">
        <f>'7. Amputations_DATA'!K65</f>
        <v>403.77309782608694</v>
      </c>
      <c r="E121" s="42">
        <f>D121/B121*100000</f>
        <v>34.420292943718216</v>
      </c>
      <c r="F121" s="42">
        <f>$C$39</f>
        <v>7.7921500000000004</v>
      </c>
      <c r="G121" s="193">
        <f>'[4]8.Amput'!J117</f>
        <v>69.8</v>
      </c>
      <c r="H121" s="45">
        <f t="shared" si="11"/>
        <v>6.4000000000000001E-2</v>
      </c>
      <c r="I121" s="60">
        <f t="shared" si="12"/>
        <v>201.36067483043479</v>
      </c>
      <c r="J121" s="98">
        <f t="shared" si="13"/>
        <v>179.5567522138164</v>
      </c>
      <c r="K121" s="22" t="s">
        <v>23</v>
      </c>
      <c r="L121" s="99">
        <f t="shared" si="9"/>
        <v>201.36067483043479</v>
      </c>
      <c r="M121" s="100">
        <f t="shared" si="10"/>
        <v>3146.2605442255435</v>
      </c>
    </row>
    <row r="122" spans="1:13" x14ac:dyDescent="0.2">
      <c r="A122" s="33"/>
      <c r="B122" s="28"/>
      <c r="C122" s="28" t="s">
        <v>225</v>
      </c>
      <c r="D122" s="46">
        <f>'7. Amputations_DATA'!O65</f>
        <v>162.63253458498025</v>
      </c>
      <c r="E122" s="42">
        <f>D122/B121*100000</f>
        <v>13.863874321328641</v>
      </c>
      <c r="F122" s="42">
        <f>$C$39</f>
        <v>7.7921500000000004</v>
      </c>
      <c r="G122" s="193">
        <f>'[4]8.Amput'!J118</f>
        <v>69.8</v>
      </c>
      <c r="H122" s="45">
        <f>B18</f>
        <v>0.3</v>
      </c>
      <c r="I122" s="60">
        <f t="shared" si="12"/>
        <v>380.17713130990614</v>
      </c>
      <c r="J122" s="98">
        <f t="shared" si="13"/>
        <v>339.01043995535247</v>
      </c>
      <c r="L122" s="99">
        <f t="shared" si="9"/>
        <v>380.17713130990614</v>
      </c>
      <c r="M122" s="100">
        <f>D122*F122</f>
        <v>1267.2571043663538</v>
      </c>
    </row>
    <row r="123" spans="1:13" x14ac:dyDescent="0.2">
      <c r="A123" s="33" t="s">
        <v>17</v>
      </c>
      <c r="B123" s="28">
        <f>SUM('[2]Pop 57'!$C$22:$C$26)</f>
        <v>506965</v>
      </c>
      <c r="C123" s="28" t="s">
        <v>183</v>
      </c>
      <c r="D123" s="46">
        <f>'7. Amputations_DATA'!K66</f>
        <v>126</v>
      </c>
      <c r="E123" s="42">
        <f>D123/B123*100000</f>
        <v>24.85378675056463</v>
      </c>
      <c r="F123" s="42">
        <f>$C$40</f>
        <v>4.7727680000000001</v>
      </c>
      <c r="G123" s="193">
        <f>'[4]8.Amput'!J120</f>
        <v>80.7</v>
      </c>
      <c r="H123" s="45">
        <f t="shared" si="11"/>
        <v>6.4000000000000001E-2</v>
      </c>
      <c r="I123" s="60">
        <f t="shared" si="12"/>
        <v>38.487601152000003</v>
      </c>
      <c r="J123" s="98">
        <f t="shared" si="13"/>
        <v>35.859147676923293</v>
      </c>
      <c r="L123" s="99">
        <f t="shared" si="9"/>
        <v>38.487601152000003</v>
      </c>
      <c r="M123" s="100">
        <f t="shared" ref="M123:M124" si="14">D123*F123</f>
        <v>601.36876800000005</v>
      </c>
    </row>
    <row r="124" spans="1:13" x14ac:dyDescent="0.2">
      <c r="A124" s="33"/>
      <c r="B124" s="28"/>
      <c r="C124" s="28" t="s">
        <v>225</v>
      </c>
      <c r="D124" s="46">
        <f>'7. Amputations_DATA'!O66</f>
        <v>64.290432157010756</v>
      </c>
      <c r="E124" s="42">
        <f>D124/B123*100000</f>
        <v>12.681434055015782</v>
      </c>
      <c r="F124" s="42">
        <f>$C$40</f>
        <v>4.7727680000000001</v>
      </c>
      <c r="G124" s="193">
        <f>'[4]8.Amput'!J121</f>
        <v>80.7</v>
      </c>
      <c r="H124" s="45">
        <f>B18</f>
        <v>0.3</v>
      </c>
      <c r="I124" s="60">
        <f t="shared" si="12"/>
        <v>92.052995191545577</v>
      </c>
      <c r="J124" s="98">
        <f t="shared" si="13"/>
        <v>85.76637280250992</v>
      </c>
      <c r="L124" s="99">
        <f>M124*H124</f>
        <v>92.052995191545577</v>
      </c>
      <c r="M124" s="100">
        <f t="shared" si="14"/>
        <v>306.84331730515191</v>
      </c>
    </row>
    <row r="125" spans="1:13" x14ac:dyDescent="0.2">
      <c r="A125" s="34" t="s">
        <v>18</v>
      </c>
      <c r="B125" s="28">
        <f>SUM(B109:B123)</f>
        <v>31922490</v>
      </c>
      <c r="C125" s="28"/>
      <c r="D125" s="46">
        <f>SUM(D109:D124)</f>
        <v>3498.958833827925</v>
      </c>
      <c r="E125" s="42"/>
      <c r="F125" s="128"/>
      <c r="H125" s="42"/>
      <c r="I125" s="60">
        <f>SUM(I109:I124)</f>
        <v>7008.840877417264</v>
      </c>
      <c r="J125" s="98">
        <f>SUM(J109:J124)</f>
        <v>5400.1537251832733</v>
      </c>
      <c r="L125" s="99">
        <f>SUM(L109:L124)</f>
        <v>7008.840877417264</v>
      </c>
      <c r="M125" s="99">
        <f>SUM(M109:M124)</f>
        <v>55638.571986832561</v>
      </c>
    </row>
    <row r="126" spans="1:13" x14ac:dyDescent="0.2">
      <c r="A126" s="27"/>
      <c r="B126" s="28"/>
      <c r="C126" s="28"/>
      <c r="D126" s="28"/>
      <c r="E126" s="91"/>
      <c r="F126" s="128"/>
      <c r="H126" s="42"/>
      <c r="I126" s="58"/>
      <c r="J126" s="29"/>
      <c r="L126" s="99"/>
      <c r="M126" s="100"/>
    </row>
    <row r="127" spans="1:13" x14ac:dyDescent="0.2">
      <c r="A127" s="48" t="s">
        <v>35</v>
      </c>
      <c r="B127" s="28"/>
      <c r="C127" s="28"/>
      <c r="D127" s="28"/>
      <c r="E127" s="91"/>
      <c r="F127" s="128"/>
      <c r="H127" s="42"/>
      <c r="I127" s="58"/>
      <c r="J127" s="29"/>
      <c r="L127" s="99"/>
      <c r="M127" s="100"/>
    </row>
    <row r="128" spans="1:13" x14ac:dyDescent="0.2">
      <c r="A128" s="33" t="s">
        <v>7</v>
      </c>
      <c r="B128" s="28">
        <f>SUM('[2]Pop 57'!$D$5:$D$6)</f>
        <v>1849075</v>
      </c>
      <c r="C128" s="28" t="s">
        <v>183</v>
      </c>
      <c r="D128" s="46">
        <f>'7. Amputations_DATA'!K68</f>
        <v>0</v>
      </c>
      <c r="E128" s="42">
        <f>D128/B128*100000</f>
        <v>0</v>
      </c>
      <c r="F128" s="128"/>
      <c r="H128" s="45">
        <f>$B$17</f>
        <v>6.4000000000000001E-2</v>
      </c>
      <c r="I128" s="60">
        <v>0</v>
      </c>
      <c r="J128" s="98">
        <v>0</v>
      </c>
      <c r="L128" s="99">
        <f>M128*H128</f>
        <v>0</v>
      </c>
      <c r="M128" s="100">
        <f t="shared" ref="M128:M133" si="15">D128*F128</f>
        <v>0</v>
      </c>
    </row>
    <row r="129" spans="1:13" x14ac:dyDescent="0.2">
      <c r="A129" s="33"/>
      <c r="B129" s="28"/>
      <c r="C129" s="28" t="s">
        <v>225</v>
      </c>
      <c r="D129" s="46">
        <f>'7. Amputations_DATA'!O68</f>
        <v>0</v>
      </c>
      <c r="E129" s="42">
        <f>D129/B128*100000</f>
        <v>0</v>
      </c>
      <c r="F129" s="128"/>
      <c r="H129" s="45">
        <f>B18</f>
        <v>0.3</v>
      </c>
      <c r="I129" s="60">
        <v>0</v>
      </c>
      <c r="J129" s="98">
        <v>0</v>
      </c>
      <c r="L129" s="99">
        <f t="shared" ref="L129:L142" si="16">M129*H129</f>
        <v>0</v>
      </c>
      <c r="M129" s="100">
        <f t="shared" si="15"/>
        <v>0</v>
      </c>
    </row>
    <row r="130" spans="1:13" x14ac:dyDescent="0.2">
      <c r="A130" s="33" t="s">
        <v>11</v>
      </c>
      <c r="B130" s="28">
        <f>SUM('[2]Pop 57'!$D$7:$D$8)</f>
        <v>3940160</v>
      </c>
      <c r="C130" s="28" t="s">
        <v>183</v>
      </c>
      <c r="D130" s="46">
        <f>'7. Amputations_DATA'!K69</f>
        <v>0</v>
      </c>
      <c r="E130" s="42">
        <f>D130/B130*100000</f>
        <v>0</v>
      </c>
      <c r="F130" s="42">
        <f>$D$34</f>
        <v>53.684730000000002</v>
      </c>
      <c r="G130" s="193">
        <f>'[4]8.Amput'!J125</f>
        <v>20</v>
      </c>
      <c r="H130" s="45">
        <f t="shared" ref="H130:H142" si="17">$B$17</f>
        <v>6.4000000000000001E-2</v>
      </c>
      <c r="I130" s="60">
        <f>D130*F130*H130</f>
        <v>0</v>
      </c>
      <c r="J130" s="98">
        <f>D130*H130*(1-EXP(-0.03*F130))/0.03</f>
        <v>0</v>
      </c>
      <c r="L130" s="99">
        <f t="shared" si="16"/>
        <v>0</v>
      </c>
      <c r="M130" s="100">
        <f t="shared" si="15"/>
        <v>0</v>
      </c>
    </row>
    <row r="131" spans="1:13" x14ac:dyDescent="0.2">
      <c r="A131" s="33"/>
      <c r="B131" s="28"/>
      <c r="C131" s="28" t="s">
        <v>225</v>
      </c>
      <c r="D131" s="46">
        <f>'7. Amputations_DATA'!O69</f>
        <v>0</v>
      </c>
      <c r="E131" s="42">
        <f>D131/B130*100000</f>
        <v>0</v>
      </c>
      <c r="F131" s="42">
        <f>$D$34</f>
        <v>53.684730000000002</v>
      </c>
      <c r="G131" s="193">
        <f>'[4]8.Amput'!J126</f>
        <v>20</v>
      </c>
      <c r="H131" s="45">
        <f>B18</f>
        <v>0.3</v>
      </c>
      <c r="I131" s="60">
        <f t="shared" ref="I131:I143" si="18">D131*F131*H131</f>
        <v>0</v>
      </c>
      <c r="J131" s="98">
        <f t="shared" ref="J131:J143" si="19">D131*H131*(1-EXP(-0.03*F131))/0.03</f>
        <v>0</v>
      </c>
      <c r="L131" s="99">
        <f t="shared" si="16"/>
        <v>0</v>
      </c>
      <c r="M131" s="100">
        <f t="shared" si="15"/>
        <v>0</v>
      </c>
    </row>
    <row r="132" spans="1:13" x14ac:dyDescent="0.2">
      <c r="A132" s="33" t="s">
        <v>12</v>
      </c>
      <c r="B132" s="46">
        <f>SUM('[2]Pop 57'!$D$9:$D$11)</f>
        <v>7026158.1752900956</v>
      </c>
      <c r="C132" s="28" t="s">
        <v>183</v>
      </c>
      <c r="D132" s="46">
        <f>'7. Amputations_DATA'!K70</f>
        <v>9</v>
      </c>
      <c r="E132" s="42">
        <f>D132/B132*100000</f>
        <v>0.12809276101485445</v>
      </c>
      <c r="F132" s="42">
        <f>$D$35</f>
        <v>41.179048999999999</v>
      </c>
      <c r="G132" s="193">
        <f>'[4]8.Amput'!J128</f>
        <v>30</v>
      </c>
      <c r="H132" s="45">
        <f t="shared" si="17"/>
        <v>6.4000000000000001E-2</v>
      </c>
      <c r="I132" s="60">
        <f t="shared" si="18"/>
        <v>23.719132224000003</v>
      </c>
      <c r="J132" s="98">
        <f t="shared" si="19"/>
        <v>13.618046475987283</v>
      </c>
      <c r="L132" s="99">
        <f t="shared" si="16"/>
        <v>23.719132224000003</v>
      </c>
      <c r="M132" s="100">
        <f t="shared" si="15"/>
        <v>370.61144100000001</v>
      </c>
    </row>
    <row r="133" spans="1:13" x14ac:dyDescent="0.2">
      <c r="A133" s="33"/>
      <c r="B133" s="46"/>
      <c r="C133" s="28" t="s">
        <v>225</v>
      </c>
      <c r="D133" s="46">
        <f>'7. Amputations_DATA'!O70</f>
        <v>0</v>
      </c>
      <c r="E133" s="42">
        <f>D133/B132*100000</f>
        <v>0</v>
      </c>
      <c r="F133" s="42">
        <f>$D$35</f>
        <v>41.179048999999999</v>
      </c>
      <c r="G133" s="193">
        <f>'[4]8.Amput'!J129</f>
        <v>30</v>
      </c>
      <c r="H133" s="45">
        <f>B18</f>
        <v>0.3</v>
      </c>
      <c r="I133" s="60">
        <f t="shared" si="18"/>
        <v>0</v>
      </c>
      <c r="J133" s="98">
        <f t="shared" si="19"/>
        <v>0</v>
      </c>
      <c r="L133" s="99">
        <f t="shared" si="16"/>
        <v>0</v>
      </c>
      <c r="M133" s="100">
        <f t="shared" si="15"/>
        <v>0</v>
      </c>
    </row>
    <row r="134" spans="1:13" x14ac:dyDescent="0.2">
      <c r="A134" s="33" t="s">
        <v>13</v>
      </c>
      <c r="B134" s="28">
        <f>SUM('[2]Pop 57'!$D$12:$D$14)</f>
        <v>8017814</v>
      </c>
      <c r="C134" s="28" t="s">
        <v>183</v>
      </c>
      <c r="D134" s="46">
        <f>'7. Amputations_DATA'!K71</f>
        <v>225.19313369144498</v>
      </c>
      <c r="E134" s="42">
        <f>D134/B134*100000</f>
        <v>2.8086599875158611</v>
      </c>
      <c r="F134" s="42">
        <f>$D$36</f>
        <v>30.992930999999999</v>
      </c>
      <c r="G134" s="193">
        <f>'[4]8.Amput'!J131</f>
        <v>40</v>
      </c>
      <c r="H134" s="45">
        <f t="shared" si="17"/>
        <v>6.4000000000000001E-2</v>
      </c>
      <c r="I134" s="60">
        <f t="shared" si="18"/>
        <v>446.68129626705468</v>
      </c>
      <c r="J134" s="98">
        <f t="shared" si="19"/>
        <v>290.8234723389449</v>
      </c>
      <c r="L134" s="99">
        <f t="shared" si="16"/>
        <v>446.68129626705468</v>
      </c>
      <c r="M134" s="100">
        <f>D134*F134</f>
        <v>6979.3952541727294</v>
      </c>
    </row>
    <row r="135" spans="1:13" x14ac:dyDescent="0.2">
      <c r="A135" s="33"/>
      <c r="B135" s="28"/>
      <c r="C135" s="28" t="s">
        <v>225</v>
      </c>
      <c r="D135" s="46">
        <f>'7. Amputations_DATA'!O71</f>
        <v>66.72571220260113</v>
      </c>
      <c r="E135" s="42">
        <f>D135/B134*100000</f>
        <v>0.8322182605208992</v>
      </c>
      <c r="F135" s="42">
        <f>$D$36</f>
        <v>30.992930999999999</v>
      </c>
      <c r="G135" s="193">
        <f>'[4]8.Amput'!J132</f>
        <v>40</v>
      </c>
      <c r="H135" s="45">
        <f>B18</f>
        <v>0.3</v>
      </c>
      <c r="I135" s="60">
        <f t="shared" si="18"/>
        <v>620.4076182663224</v>
      </c>
      <c r="J135" s="98">
        <f t="shared" si="19"/>
        <v>403.93251142952352</v>
      </c>
      <c r="L135" s="99">
        <f t="shared" si="16"/>
        <v>620.4076182663224</v>
      </c>
      <c r="M135" s="100">
        <f t="shared" ref="M135:M143" si="20">D135*F135</f>
        <v>2068.0253942210747</v>
      </c>
    </row>
    <row r="136" spans="1:13" x14ac:dyDescent="0.2">
      <c r="A136" s="33" t="s">
        <v>14</v>
      </c>
      <c r="B136" s="28">
        <f>SUM('[2]Pop 57'!$D$15:$D$17)</f>
        <v>7162204</v>
      </c>
      <c r="C136" s="28" t="s">
        <v>183</v>
      </c>
      <c r="D136" s="46">
        <f>'7. Amputations_DATA'!K72</f>
        <v>910.21573663788399</v>
      </c>
      <c r="E136" s="42">
        <f>D136/B136*100000</f>
        <v>12.708598311886734</v>
      </c>
      <c r="F136" s="42">
        <f>$D$37</f>
        <v>19.623028999999999</v>
      </c>
      <c r="G136" s="193">
        <f>'[4]8.Amput'!J134</f>
        <v>50</v>
      </c>
      <c r="H136" s="45">
        <f t="shared" si="17"/>
        <v>6.4000000000000001E-2</v>
      </c>
      <c r="I136" s="60">
        <f t="shared" si="18"/>
        <v>1143.1161469632998</v>
      </c>
      <c r="J136" s="98">
        <f t="shared" si="19"/>
        <v>863.99435738246814</v>
      </c>
      <c r="L136" s="99">
        <f t="shared" si="16"/>
        <v>1143.1161469632998</v>
      </c>
      <c r="M136" s="100">
        <f t="shared" si="20"/>
        <v>17861.189796301558</v>
      </c>
    </row>
    <row r="137" spans="1:13" x14ac:dyDescent="0.2">
      <c r="A137" s="33"/>
      <c r="B137" s="28"/>
      <c r="C137" s="28" t="s">
        <v>225</v>
      </c>
      <c r="D137" s="46">
        <f>'7. Amputations_DATA'!O72</f>
        <v>317.30869428961745</v>
      </c>
      <c r="E137" s="42">
        <f>D137/B136*100000</f>
        <v>4.4303219272952497</v>
      </c>
      <c r="F137" s="42">
        <f>$D$37</f>
        <v>19.623028999999999</v>
      </c>
      <c r="G137" s="193">
        <f>'[4]8.Amput'!J135</f>
        <v>50</v>
      </c>
      <c r="H137" s="45">
        <f>B18</f>
        <v>0.3</v>
      </c>
      <c r="I137" s="60">
        <f t="shared" si="18"/>
        <v>1867.9673129991891</v>
      </c>
      <c r="J137" s="98">
        <f t="shared" si="19"/>
        <v>1411.854099422502</v>
      </c>
      <c r="L137" s="99">
        <f t="shared" si="16"/>
        <v>1867.9673129991891</v>
      </c>
      <c r="M137" s="100">
        <f t="shared" si="20"/>
        <v>6226.557709997297</v>
      </c>
    </row>
    <row r="138" spans="1:13" x14ac:dyDescent="0.2">
      <c r="A138" s="33" t="s">
        <v>15</v>
      </c>
      <c r="B138" s="46">
        <f>SUM('[2]Pop 57'!$D$18:$D$19)</f>
        <v>2739970.5356088658</v>
      </c>
      <c r="C138" s="28" t="s">
        <v>183</v>
      </c>
      <c r="D138" s="46">
        <f>'7. Amputations_DATA'!K73</f>
        <v>811</v>
      </c>
      <c r="E138" s="42">
        <f>D138/B138*100000</f>
        <v>29.598858435161333</v>
      </c>
      <c r="F138" s="42">
        <f>$D$38</f>
        <v>12.178243</v>
      </c>
      <c r="G138" s="193">
        <f>'[4]8.Amput'!J137</f>
        <v>59.9</v>
      </c>
      <c r="H138" s="45">
        <f t="shared" si="17"/>
        <v>6.4000000000000001E-2</v>
      </c>
      <c r="I138" s="60">
        <f t="shared" si="18"/>
        <v>632.09952467200003</v>
      </c>
      <c r="J138" s="98">
        <f t="shared" si="19"/>
        <v>529.49760895462555</v>
      </c>
      <c r="L138" s="99">
        <f t="shared" si="16"/>
        <v>632.09952467200003</v>
      </c>
      <c r="M138" s="100">
        <f t="shared" si="20"/>
        <v>9876.5550729999995</v>
      </c>
    </row>
    <row r="139" spans="1:13" x14ac:dyDescent="0.2">
      <c r="A139" s="33"/>
      <c r="B139" s="46"/>
      <c r="C139" s="28" t="s">
        <v>225</v>
      </c>
      <c r="D139" s="46">
        <f>'7. Amputations_DATA'!O73</f>
        <v>246</v>
      </c>
      <c r="E139" s="42">
        <f>D139/B138*100000</f>
        <v>8.9781987361895048</v>
      </c>
      <c r="F139" s="42">
        <f>$D$38</f>
        <v>12.178243</v>
      </c>
      <c r="G139" s="193">
        <f>'[4]8.Amput'!J138</f>
        <v>59.9</v>
      </c>
      <c r="H139" s="45">
        <f>B18</f>
        <v>0.3</v>
      </c>
      <c r="I139" s="60">
        <f t="shared" si="18"/>
        <v>898.75433339999995</v>
      </c>
      <c r="J139" s="98">
        <f t="shared" si="19"/>
        <v>752.86921125253082</v>
      </c>
      <c r="L139" s="99">
        <f t="shared" si="16"/>
        <v>898.75433339999995</v>
      </c>
      <c r="M139" s="100">
        <f t="shared" si="20"/>
        <v>2995.8477779999998</v>
      </c>
    </row>
    <row r="140" spans="1:13" x14ac:dyDescent="0.2">
      <c r="A140" s="33" t="s">
        <v>16</v>
      </c>
      <c r="B140" s="46">
        <f>SUM('[2]Pop 57'!$D$20:$D$21)</f>
        <v>1513246</v>
      </c>
      <c r="C140" s="28" t="s">
        <v>183</v>
      </c>
      <c r="D140" s="46">
        <f>'7. Amputations_DATA'!K74</f>
        <v>492</v>
      </c>
      <c r="E140" s="42">
        <f>D140/B140*100000</f>
        <v>32.512889510363813</v>
      </c>
      <c r="F140" s="42">
        <f>$D$39</f>
        <v>7.7903609999999999</v>
      </c>
      <c r="G140" s="193">
        <f>'[4]8.Amput'!J140</f>
        <v>69.900000000000006</v>
      </c>
      <c r="H140" s="45">
        <f t="shared" si="17"/>
        <v>6.4000000000000001E-2</v>
      </c>
      <c r="I140" s="60">
        <f t="shared" si="18"/>
        <v>245.30288716799998</v>
      </c>
      <c r="J140" s="98">
        <f t="shared" si="19"/>
        <v>218.74641483911901</v>
      </c>
      <c r="L140" s="99">
        <f t="shared" si="16"/>
        <v>245.30288716799998</v>
      </c>
      <c r="M140" s="100">
        <f t="shared" si="20"/>
        <v>3832.8576119999998</v>
      </c>
    </row>
    <row r="141" spans="1:13" x14ac:dyDescent="0.2">
      <c r="A141" s="33"/>
      <c r="B141" s="46"/>
      <c r="C141" s="28" t="s">
        <v>225</v>
      </c>
      <c r="D141" s="46">
        <f>'7. Amputations_DATA'!O73</f>
        <v>246</v>
      </c>
      <c r="E141" s="42">
        <f>D141/B140*100000</f>
        <v>16.256444755181906</v>
      </c>
      <c r="F141" s="42">
        <f>$D$39</f>
        <v>7.7903609999999999</v>
      </c>
      <c r="G141" s="193">
        <f>'[4]8.Amput'!J141</f>
        <v>69.900000000000006</v>
      </c>
      <c r="H141" s="45">
        <f>B18</f>
        <v>0.3</v>
      </c>
      <c r="I141" s="60">
        <f t="shared" si="18"/>
        <v>574.92864179999992</v>
      </c>
      <c r="J141" s="98">
        <f t="shared" si="19"/>
        <v>512.68690977918516</v>
      </c>
      <c r="L141" s="99">
        <f t="shared" si="16"/>
        <v>574.92864179999992</v>
      </c>
      <c r="M141" s="100">
        <f t="shared" si="20"/>
        <v>1916.4288059999999</v>
      </c>
    </row>
    <row r="142" spans="1:13" x14ac:dyDescent="0.2">
      <c r="A142" s="33" t="s">
        <v>17</v>
      </c>
      <c r="B142" s="46">
        <f>SUM('[2]Pop 57'!$D$22:$D$26)</f>
        <v>784195.44620730029</v>
      </c>
      <c r="C142" s="28" t="s">
        <v>183</v>
      </c>
      <c r="D142" s="46">
        <f>'7. Amputations_DATA'!K75</f>
        <v>163.34440344403444</v>
      </c>
      <c r="E142" s="42">
        <f>D142/B142*100000</f>
        <v>20.829552662418127</v>
      </c>
      <c r="F142" s="42">
        <f>$D$40</f>
        <v>4.5154180000000004</v>
      </c>
      <c r="G142" s="193">
        <f>'[4]8.Amput'!J143</f>
        <v>81.3</v>
      </c>
      <c r="H142" s="45">
        <f t="shared" si="17"/>
        <v>6.4000000000000001E-2</v>
      </c>
      <c r="I142" s="60">
        <f t="shared" si="18"/>
        <v>47.204368608669128</v>
      </c>
      <c r="J142" s="98">
        <f t="shared" si="19"/>
        <v>44.146764679904805</v>
      </c>
      <c r="L142" s="99">
        <f t="shared" si="16"/>
        <v>47.204368608669128</v>
      </c>
      <c r="M142" s="100">
        <f t="shared" si="20"/>
        <v>737.56825951045516</v>
      </c>
    </row>
    <row r="143" spans="1:13" x14ac:dyDescent="0.2">
      <c r="A143" s="33"/>
      <c r="B143" s="46"/>
      <c r="C143" s="28" t="s">
        <v>225</v>
      </c>
      <c r="D143" s="46">
        <f>'7. Amputations_DATA'!O75</f>
        <v>86.033210332103323</v>
      </c>
      <c r="E143" s="42">
        <f>D143/B142*100000</f>
        <v>10.970888794138782</v>
      </c>
      <c r="F143" s="42">
        <f>$D$40</f>
        <v>4.5154180000000004</v>
      </c>
      <c r="G143" s="193">
        <f>'[4]8.Amput'!J144</f>
        <v>81.3</v>
      </c>
      <c r="H143" s="45">
        <f>B18</f>
        <v>0.3</v>
      </c>
      <c r="I143" s="60">
        <f t="shared" si="18"/>
        <v>116.54277195940961</v>
      </c>
      <c r="J143" s="98">
        <f t="shared" si="19"/>
        <v>108.99385968888866</v>
      </c>
      <c r="L143" s="99">
        <f>M143*H143</f>
        <v>116.54277195940961</v>
      </c>
      <c r="M143" s="100">
        <f t="shared" si="20"/>
        <v>388.47590653136535</v>
      </c>
    </row>
    <row r="144" spans="1:13" x14ac:dyDescent="0.2">
      <c r="A144" s="34" t="s">
        <v>18</v>
      </c>
      <c r="B144" s="46">
        <f>SUM(B128:B142)</f>
        <v>33032823.157106262</v>
      </c>
      <c r="C144" s="46"/>
      <c r="D144" s="46">
        <f>SUM(D128:D143)</f>
        <v>3572.8208905976853</v>
      </c>
      <c r="E144" s="91"/>
      <c r="F144" s="42"/>
      <c r="G144" s="28"/>
      <c r="H144" s="28"/>
      <c r="I144" s="60">
        <f>SUM(I128:I143)</f>
        <v>6616.7240343279454</v>
      </c>
      <c r="J144" s="98">
        <f>SUM(J128:J143)</f>
        <v>5151.1632562436789</v>
      </c>
      <c r="L144" s="99">
        <f>SUM(L128:L143)</f>
        <v>6616.7240343279454</v>
      </c>
      <c r="M144" s="99">
        <f>SUM(M128:M143)</f>
        <v>53253.513030734466</v>
      </c>
    </row>
    <row r="145" spans="1:19" x14ac:dyDescent="0.2">
      <c r="A145" s="30"/>
      <c r="B145" s="31"/>
      <c r="C145" s="31"/>
      <c r="D145" s="31"/>
      <c r="E145" s="31"/>
      <c r="F145" s="31"/>
      <c r="G145" s="31"/>
      <c r="H145" s="31"/>
      <c r="I145" s="59"/>
      <c r="J145" s="32"/>
      <c r="L145" s="30"/>
      <c r="M145" s="5"/>
    </row>
    <row r="146" spans="1:19" s="58" customFormat="1" x14ac:dyDescent="0.2">
      <c r="A146" s="70"/>
      <c r="B146" s="162"/>
      <c r="C146" s="162"/>
      <c r="D146" s="58" t="s">
        <v>23</v>
      </c>
      <c r="E146" s="161"/>
      <c r="H146" s="162"/>
      <c r="I146" s="162"/>
      <c r="J146" s="58" t="s">
        <v>23</v>
      </c>
      <c r="K146" s="162"/>
      <c r="L146" s="162"/>
    </row>
    <row r="147" spans="1:19" x14ac:dyDescent="0.2">
      <c r="F147" s="22" t="s">
        <v>23</v>
      </c>
    </row>
    <row r="148" spans="1:19" x14ac:dyDescent="0.2">
      <c r="A148" s="23" t="s">
        <v>184</v>
      </c>
      <c r="I148" s="22" t="s">
        <v>23</v>
      </c>
    </row>
    <row r="149" spans="1:19" x14ac:dyDescent="0.2">
      <c r="A149" s="23"/>
    </row>
    <row r="150" spans="1:19" x14ac:dyDescent="0.2">
      <c r="A150" s="23" t="s">
        <v>251</v>
      </c>
      <c r="E150" s="23" t="s">
        <v>252</v>
      </c>
      <c r="I150" s="23" t="s">
        <v>253</v>
      </c>
      <c r="M150" s="23" t="s">
        <v>344</v>
      </c>
      <c r="Q150" s="23" t="s">
        <v>347</v>
      </c>
    </row>
    <row r="151" spans="1:19" x14ac:dyDescent="0.2">
      <c r="A151" s="24" t="s">
        <v>25</v>
      </c>
      <c r="B151" s="35" t="s">
        <v>31</v>
      </c>
      <c r="C151" s="26" t="s">
        <v>31</v>
      </c>
      <c r="E151" s="24" t="s">
        <v>25</v>
      </c>
      <c r="F151" s="35" t="s">
        <v>31</v>
      </c>
      <c r="G151" s="26" t="s">
        <v>31</v>
      </c>
      <c r="I151" s="24" t="s">
        <v>25</v>
      </c>
      <c r="J151" s="35" t="s">
        <v>31</v>
      </c>
      <c r="K151" s="26" t="s">
        <v>31</v>
      </c>
      <c r="L151" s="22" t="s">
        <v>23</v>
      </c>
      <c r="M151" s="24" t="s">
        <v>25</v>
      </c>
      <c r="N151" s="208" t="s">
        <v>123</v>
      </c>
      <c r="O151" s="209" t="s">
        <v>124</v>
      </c>
      <c r="Q151" s="24" t="s">
        <v>25</v>
      </c>
      <c r="R151" s="208" t="s">
        <v>123</v>
      </c>
      <c r="S151" s="209" t="s">
        <v>124</v>
      </c>
    </row>
    <row r="152" spans="1:19" x14ac:dyDescent="0.2">
      <c r="A152" s="30"/>
      <c r="B152" s="36" t="s">
        <v>32</v>
      </c>
      <c r="C152" s="32" t="s">
        <v>33</v>
      </c>
      <c r="E152" s="30"/>
      <c r="F152" s="36" t="s">
        <v>32</v>
      </c>
      <c r="G152" s="32" t="s">
        <v>33</v>
      </c>
      <c r="I152" s="30"/>
      <c r="J152" s="36" t="s">
        <v>32</v>
      </c>
      <c r="K152" s="32" t="s">
        <v>33</v>
      </c>
      <c r="M152" s="30"/>
      <c r="N152" s="59"/>
      <c r="O152" s="61"/>
      <c r="Q152" s="30"/>
      <c r="R152" s="59"/>
      <c r="S152" s="61"/>
    </row>
    <row r="153" spans="1:19" x14ac:dyDescent="0.2">
      <c r="A153" s="27"/>
      <c r="B153" s="58"/>
      <c r="C153" s="103"/>
      <c r="E153" s="27"/>
      <c r="F153" s="58"/>
      <c r="G153" s="103"/>
      <c r="I153" s="27"/>
      <c r="J153" s="58"/>
      <c r="K153" s="103"/>
      <c r="M153" s="24"/>
      <c r="N153" s="25"/>
      <c r="O153" s="26"/>
    </row>
    <row r="154" spans="1:19" x14ac:dyDescent="0.2">
      <c r="A154" s="48" t="s">
        <v>34</v>
      </c>
      <c r="B154" s="58"/>
      <c r="C154" s="103"/>
      <c r="E154" s="48" t="s">
        <v>34</v>
      </c>
      <c r="F154" s="58"/>
      <c r="G154" s="103"/>
      <c r="I154" s="48" t="s">
        <v>34</v>
      </c>
      <c r="J154" s="58"/>
      <c r="K154" s="103"/>
      <c r="M154" s="48" t="s">
        <v>34</v>
      </c>
      <c r="N154" s="162"/>
      <c r="O154" s="29"/>
      <c r="Q154" s="48" t="s">
        <v>34</v>
      </c>
      <c r="R154" s="62"/>
    </row>
    <row r="155" spans="1:19" x14ac:dyDescent="0.2">
      <c r="A155" s="33" t="s">
        <v>7</v>
      </c>
      <c r="B155" s="60">
        <f>I64+I65</f>
        <v>0</v>
      </c>
      <c r="C155" s="62">
        <f>J64+J65</f>
        <v>0</v>
      </c>
      <c r="E155" s="33" t="s">
        <v>7</v>
      </c>
      <c r="F155" s="60">
        <f>I109+I110</f>
        <v>0</v>
      </c>
      <c r="G155" s="62">
        <f>J109+J110</f>
        <v>0</v>
      </c>
      <c r="I155" s="33" t="s">
        <v>7</v>
      </c>
      <c r="J155" s="60">
        <f>B155+F155</f>
        <v>0</v>
      </c>
      <c r="K155" s="62">
        <f>C155+G155</f>
        <v>0</v>
      </c>
      <c r="M155" s="33" t="s">
        <v>7</v>
      </c>
      <c r="N155" s="60">
        <f>L64+L65</f>
        <v>0</v>
      </c>
      <c r="O155" s="405">
        <f>L109+L110</f>
        <v>0</v>
      </c>
      <c r="Q155" s="33" t="s">
        <v>7</v>
      </c>
      <c r="R155" s="60">
        <f>M64+M65</f>
        <v>0</v>
      </c>
      <c r="S155" s="60">
        <f>M109+M110</f>
        <v>0</v>
      </c>
    </row>
    <row r="156" spans="1:19" x14ac:dyDescent="0.2">
      <c r="A156" s="33" t="s">
        <v>11</v>
      </c>
      <c r="B156" s="60">
        <f>I66+I67</f>
        <v>0</v>
      </c>
      <c r="C156" s="62">
        <f>J66+J67</f>
        <v>0</v>
      </c>
      <c r="E156" s="33" t="s">
        <v>11</v>
      </c>
      <c r="F156" s="60">
        <f>I111+I112</f>
        <v>0</v>
      </c>
      <c r="G156" s="62">
        <f>J111+J112</f>
        <v>0</v>
      </c>
      <c r="I156" s="33" t="s">
        <v>11</v>
      </c>
      <c r="J156" s="60">
        <f t="shared" ref="J156:J163" si="21">B156+F156</f>
        <v>0</v>
      </c>
      <c r="K156" s="62">
        <f t="shared" ref="K156:K163" si="22">C156+G156</f>
        <v>0</v>
      </c>
      <c r="M156" s="33" t="s">
        <v>11</v>
      </c>
      <c r="N156" s="60">
        <f>L66+L67</f>
        <v>0</v>
      </c>
      <c r="O156" s="405">
        <f>L111+L112</f>
        <v>0</v>
      </c>
      <c r="Q156" s="33" t="s">
        <v>11</v>
      </c>
      <c r="R156" s="60">
        <f>M66+M67</f>
        <v>0</v>
      </c>
      <c r="S156" s="60">
        <f>M111+M112</f>
        <v>0</v>
      </c>
    </row>
    <row r="157" spans="1:19" x14ac:dyDescent="0.2">
      <c r="A157" s="33" t="s">
        <v>12</v>
      </c>
      <c r="B157" s="60">
        <f>I68+I69</f>
        <v>42.724141600000003</v>
      </c>
      <c r="C157" s="62">
        <f>J68+J69</f>
        <v>25.818546070082931</v>
      </c>
      <c r="E157" s="33" t="s">
        <v>12</v>
      </c>
      <c r="F157" s="60">
        <f>I113+I114</f>
        <v>54.919815372000002</v>
      </c>
      <c r="G157" s="62">
        <f>J113+J114</f>
        <v>33.086825754577106</v>
      </c>
      <c r="I157" s="33" t="s">
        <v>12</v>
      </c>
      <c r="J157" s="60">
        <f t="shared" si="21"/>
        <v>97.643956972000012</v>
      </c>
      <c r="K157" s="62">
        <f t="shared" si="22"/>
        <v>58.905371824660037</v>
      </c>
      <c r="M157" s="33" t="s">
        <v>12</v>
      </c>
      <c r="N157" s="60">
        <f>L68+L69</f>
        <v>42.724141600000003</v>
      </c>
      <c r="O157" s="405">
        <f>L113+L114</f>
        <v>54.919815372000002</v>
      </c>
      <c r="Q157" s="33" t="s">
        <v>12</v>
      </c>
      <c r="R157" s="60">
        <f>M68+M69</f>
        <v>258.71019999999999</v>
      </c>
      <c r="S157" s="60">
        <f>M113+M114</f>
        <v>446.50256400000001</v>
      </c>
    </row>
    <row r="158" spans="1:19" x14ac:dyDescent="0.2">
      <c r="A158" s="33" t="s">
        <v>13</v>
      </c>
      <c r="B158" s="60">
        <f>I70+I71</f>
        <v>75.967579345046047</v>
      </c>
      <c r="C158" s="62">
        <f>J70+J71</f>
        <v>50.96733686354527</v>
      </c>
      <c r="E158" s="33" t="s">
        <v>13</v>
      </c>
      <c r="F158" s="60">
        <f>I115+I116</f>
        <v>1070.6383544533771</v>
      </c>
      <c r="G158" s="62">
        <f>J115+J116</f>
        <v>716.2348622144541</v>
      </c>
      <c r="I158" s="33" t="s">
        <v>13</v>
      </c>
      <c r="J158" s="60">
        <f t="shared" si="21"/>
        <v>1146.6059337984232</v>
      </c>
      <c r="K158" s="62">
        <f t="shared" si="22"/>
        <v>767.20219907799935</v>
      </c>
      <c r="M158" s="33" t="s">
        <v>13</v>
      </c>
      <c r="N158" s="60">
        <f>L70+L71</f>
        <v>75.967579345046047</v>
      </c>
      <c r="O158" s="405">
        <f>L115+L116</f>
        <v>1070.6383544533771</v>
      </c>
      <c r="Q158" s="33" t="s">
        <v>13</v>
      </c>
      <c r="R158" s="60">
        <f>M70+M71</f>
        <v>413.29574140710452</v>
      </c>
      <c r="S158" s="60">
        <f>M115+M116</f>
        <v>8582.3114609355089</v>
      </c>
    </row>
    <row r="159" spans="1:19" x14ac:dyDescent="0.2">
      <c r="A159" s="33" t="s">
        <v>14</v>
      </c>
      <c r="B159" s="60">
        <f>I72+I73</f>
        <v>17.807980000000001</v>
      </c>
      <c r="C159" s="62">
        <f>J72+J73</f>
        <v>13.508379246652318</v>
      </c>
      <c r="E159" s="33" t="s">
        <v>14</v>
      </c>
      <c r="F159" s="60">
        <f>I117+I118</f>
        <v>3394.444826892</v>
      </c>
      <c r="G159" s="62">
        <f>J117+J118</f>
        <v>2530.3495733718614</v>
      </c>
      <c r="I159" s="33" t="s">
        <v>14</v>
      </c>
      <c r="J159" s="60">
        <f t="shared" si="21"/>
        <v>3412.2528068920001</v>
      </c>
      <c r="K159" s="62">
        <f t="shared" si="22"/>
        <v>2543.8579526185135</v>
      </c>
      <c r="M159" s="33" t="s">
        <v>14</v>
      </c>
      <c r="N159" s="60">
        <f>L72+L73</f>
        <v>17.807980000000001</v>
      </c>
      <c r="O159" s="405">
        <f>L117+L118</f>
        <v>3394.444826892</v>
      </c>
      <c r="Q159" s="33" t="s">
        <v>14</v>
      </c>
      <c r="R159" s="60">
        <f>M72+M73</f>
        <v>135.49549999999999</v>
      </c>
      <c r="S159" s="60">
        <f>M117+M118</f>
        <v>27379.217502</v>
      </c>
    </row>
    <row r="160" spans="1:19" x14ac:dyDescent="0.2">
      <c r="A160" s="33" t="s">
        <v>15</v>
      </c>
      <c r="B160" s="60">
        <f>I74+I75</f>
        <v>10.312279999999999</v>
      </c>
      <c r="C160" s="62">
        <f>J74+J75</f>
        <v>8.7574743688899126</v>
      </c>
      <c r="E160" s="33" t="s">
        <v>15</v>
      </c>
      <c r="F160" s="60">
        <f>I119+I120</f>
        <v>1776.7594782159999</v>
      </c>
      <c r="G160" s="62">
        <f>J119+J120</f>
        <v>1480.2897511937779</v>
      </c>
      <c r="I160" s="33" t="s">
        <v>15</v>
      </c>
      <c r="J160" s="60">
        <f t="shared" si="21"/>
        <v>1787.071758216</v>
      </c>
      <c r="K160" s="62">
        <f t="shared" si="22"/>
        <v>1489.0472255626678</v>
      </c>
      <c r="M160" s="33" t="s">
        <v>15</v>
      </c>
      <c r="N160" s="60">
        <f>L75+L76</f>
        <v>7.5773679999999999</v>
      </c>
      <c r="O160" s="405">
        <f>L119+L120</f>
        <v>1776.7594782159999</v>
      </c>
      <c r="Q160" s="33" t="s">
        <v>15</v>
      </c>
      <c r="R160" s="60">
        <f>M75+M76</f>
        <v>35.729999999999997</v>
      </c>
      <c r="S160" s="60">
        <f>M119+M120</f>
        <v>13908.810726</v>
      </c>
    </row>
    <row r="161" spans="1:19" x14ac:dyDescent="0.2">
      <c r="A161" s="33" t="s">
        <v>16</v>
      </c>
      <c r="B161" s="60">
        <f>I76+I77</f>
        <v>4.8455680000000001</v>
      </c>
      <c r="C161" s="62">
        <f>J76+J77</f>
        <v>4.3924416574231389</v>
      </c>
      <c r="E161" s="33" t="s">
        <v>16</v>
      </c>
      <c r="F161" s="60">
        <f>I121+I122</f>
        <v>581.53780614034099</v>
      </c>
      <c r="G161" s="62">
        <f>J121+J122</f>
        <v>518.56719216916883</v>
      </c>
      <c r="I161" s="33" t="s">
        <v>16</v>
      </c>
      <c r="J161" s="60">
        <f t="shared" si="21"/>
        <v>586.38337414034095</v>
      </c>
      <c r="K161" s="62">
        <f t="shared" si="22"/>
        <v>522.95963382659193</v>
      </c>
      <c r="M161" s="33" t="s">
        <v>16</v>
      </c>
      <c r="N161" s="60">
        <f>L76+L77</f>
        <v>4.8455680000000001</v>
      </c>
      <c r="O161" s="405">
        <f>L121+L122</f>
        <v>581.53780614034099</v>
      </c>
      <c r="Q161" s="33" t="s">
        <v>16</v>
      </c>
      <c r="R161" s="60">
        <f>M76+M77</f>
        <v>26.623999999999999</v>
      </c>
      <c r="S161" s="60">
        <f>M121+M122</f>
        <v>4413.5176485918973</v>
      </c>
    </row>
    <row r="162" spans="1:19" x14ac:dyDescent="0.2">
      <c r="A162" s="33" t="s">
        <v>17</v>
      </c>
      <c r="B162" s="60">
        <f>I78+I79</f>
        <v>15.012680511417248</v>
      </c>
      <c r="C162" s="62">
        <f>J78+J79</f>
        <v>14.240916058672619</v>
      </c>
      <c r="E162" s="33" t="s">
        <v>17</v>
      </c>
      <c r="F162" s="60">
        <f>I123+I124</f>
        <v>130.54059634354559</v>
      </c>
      <c r="G162" s="62">
        <f>J123+J124</f>
        <v>121.62552047943322</v>
      </c>
      <c r="I162" s="33" t="s">
        <v>17</v>
      </c>
      <c r="J162" s="60">
        <f t="shared" si="21"/>
        <v>145.55327685496283</v>
      </c>
      <c r="K162" s="62">
        <f t="shared" si="22"/>
        <v>135.86643653810583</v>
      </c>
      <c r="M162" s="33" t="s">
        <v>17</v>
      </c>
      <c r="N162" s="60">
        <f>L78+L79</f>
        <v>15.012680511417248</v>
      </c>
      <c r="O162" s="405">
        <f>L123+L124</f>
        <v>130.54059634354559</v>
      </c>
      <c r="Q162" s="33" t="s">
        <v>17</v>
      </c>
      <c r="R162" s="60">
        <f>M78+M79</f>
        <v>50.042268371390826</v>
      </c>
      <c r="S162" s="60">
        <f>M123+M124</f>
        <v>908.21208530515196</v>
      </c>
    </row>
    <row r="163" spans="1:19" x14ac:dyDescent="0.2">
      <c r="A163" s="34" t="s">
        <v>18</v>
      </c>
      <c r="B163" s="60">
        <f>SUM(B155:B162)</f>
        <v>166.67022945646332</v>
      </c>
      <c r="C163" s="62">
        <f>SUM(C155:C162)</f>
        <v>117.6850942652662</v>
      </c>
      <c r="E163" s="34" t="s">
        <v>18</v>
      </c>
      <c r="F163" s="60">
        <f>SUM(F155:F162)</f>
        <v>7008.840877417264</v>
      </c>
      <c r="G163" s="62">
        <f>SUM(G155:G162)</f>
        <v>5400.1537251832733</v>
      </c>
      <c r="I163" s="34" t="s">
        <v>18</v>
      </c>
      <c r="J163" s="60">
        <f t="shared" si="21"/>
        <v>7175.5111068737269</v>
      </c>
      <c r="K163" s="62">
        <f t="shared" si="22"/>
        <v>5517.8388194485397</v>
      </c>
      <c r="M163" s="34" t="s">
        <v>18</v>
      </c>
      <c r="N163" s="60">
        <f>SUM(N155:N162)</f>
        <v>163.93531745646331</v>
      </c>
      <c r="O163" s="405">
        <f>SUM(O155:O162)</f>
        <v>7008.840877417264</v>
      </c>
      <c r="Q163" s="34" t="s">
        <v>18</v>
      </c>
      <c r="R163" s="60">
        <f>SUM(R155:R162)</f>
        <v>919.89770977849537</v>
      </c>
      <c r="S163" s="60">
        <f>SUM(S155:S162)</f>
        <v>55638.571986832554</v>
      </c>
    </row>
    <row r="164" spans="1:19" x14ac:dyDescent="0.2">
      <c r="A164" s="27"/>
      <c r="B164" s="58"/>
      <c r="C164" s="103"/>
      <c r="E164" s="27"/>
      <c r="F164" s="58"/>
      <c r="G164" s="103"/>
      <c r="I164" s="27"/>
      <c r="J164" s="58"/>
      <c r="K164" s="103"/>
      <c r="M164" s="27"/>
      <c r="N164" s="58"/>
      <c r="O164" s="103"/>
      <c r="Q164" s="27"/>
      <c r="R164" s="58"/>
      <c r="S164" s="58"/>
    </row>
    <row r="165" spans="1:19" x14ac:dyDescent="0.2">
      <c r="A165" s="48" t="s">
        <v>35</v>
      </c>
      <c r="B165" s="58"/>
      <c r="C165" s="103"/>
      <c r="E165" s="48" t="s">
        <v>35</v>
      </c>
      <c r="F165" s="58"/>
      <c r="G165" s="103"/>
      <c r="I165" s="48" t="s">
        <v>35</v>
      </c>
      <c r="J165" s="58"/>
      <c r="K165" s="103"/>
      <c r="M165" s="48" t="s">
        <v>35</v>
      </c>
      <c r="N165" s="58"/>
      <c r="O165" s="103"/>
      <c r="Q165" s="48" t="s">
        <v>35</v>
      </c>
      <c r="R165" s="58"/>
      <c r="S165" s="58"/>
    </row>
    <row r="166" spans="1:19" x14ac:dyDescent="0.2">
      <c r="A166" s="33" t="s">
        <v>7</v>
      </c>
      <c r="B166" s="60">
        <f>I83+I84</f>
        <v>0</v>
      </c>
      <c r="C166" s="62">
        <f>J83+J84</f>
        <v>0</v>
      </c>
      <c r="E166" s="33" t="s">
        <v>7</v>
      </c>
      <c r="F166" s="60">
        <f>I128+I129</f>
        <v>0</v>
      </c>
      <c r="G166" s="62">
        <f>J128+J129</f>
        <v>0</v>
      </c>
      <c r="I166" s="33" t="s">
        <v>7</v>
      </c>
      <c r="J166" s="60">
        <f>B166+F166</f>
        <v>0</v>
      </c>
      <c r="K166" s="62">
        <f>C166+G166</f>
        <v>0</v>
      </c>
      <c r="M166" s="33" t="s">
        <v>7</v>
      </c>
      <c r="N166" s="60">
        <f>L83+L84</f>
        <v>0</v>
      </c>
      <c r="O166" s="405">
        <f>L128+L129</f>
        <v>0</v>
      </c>
      <c r="Q166" s="33" t="s">
        <v>7</v>
      </c>
      <c r="R166" s="60">
        <f>M83+M84</f>
        <v>0</v>
      </c>
      <c r="S166" s="60">
        <f>M128+M129</f>
        <v>0</v>
      </c>
    </row>
    <row r="167" spans="1:19" x14ac:dyDescent="0.2">
      <c r="A167" s="33" t="s">
        <v>11</v>
      </c>
      <c r="B167" s="60">
        <f>I85+I86</f>
        <v>0</v>
      </c>
      <c r="C167" s="62">
        <f>J85+J86</f>
        <v>0</v>
      </c>
      <c r="E167" s="33" t="s">
        <v>11</v>
      </c>
      <c r="F167" s="60">
        <f>I130+I131</f>
        <v>0</v>
      </c>
      <c r="G167" s="62">
        <f>J130+J131</f>
        <v>0</v>
      </c>
      <c r="I167" s="33" t="s">
        <v>11</v>
      </c>
      <c r="J167" s="60">
        <f t="shared" ref="J167:J174" si="23">B167+F167</f>
        <v>0</v>
      </c>
      <c r="K167" s="62">
        <f t="shared" ref="K167:K174" si="24">C167+G167</f>
        <v>0</v>
      </c>
      <c r="M167" s="33" t="s">
        <v>11</v>
      </c>
      <c r="N167" s="60">
        <f>L85+L86</f>
        <v>0</v>
      </c>
      <c r="O167" s="405">
        <f>L130+L131</f>
        <v>0</v>
      </c>
      <c r="Q167" s="33" t="s">
        <v>11</v>
      </c>
      <c r="R167" s="60">
        <f>M85+M86</f>
        <v>0</v>
      </c>
      <c r="S167" s="60">
        <f>M130+M131</f>
        <v>0</v>
      </c>
    </row>
    <row r="168" spans="1:19" x14ac:dyDescent="0.2">
      <c r="A168" s="33" t="s">
        <v>12</v>
      </c>
      <c r="B168" s="60">
        <f>I87+I88</f>
        <v>13.652480000000001</v>
      </c>
      <c r="C168" s="62">
        <f>J87+J88</f>
        <v>7.700698193845616</v>
      </c>
      <c r="E168" s="33" t="s">
        <v>12</v>
      </c>
      <c r="F168" s="60">
        <f>I132+I133</f>
        <v>23.719132224000003</v>
      </c>
      <c r="G168" s="62">
        <f>J132+J133</f>
        <v>13.618046475987283</v>
      </c>
      <c r="I168" s="33" t="s">
        <v>12</v>
      </c>
      <c r="J168" s="60">
        <f t="shared" si="23"/>
        <v>37.371612224000003</v>
      </c>
      <c r="K168" s="62">
        <f t="shared" si="24"/>
        <v>21.318744669832899</v>
      </c>
      <c r="M168" s="33" t="s">
        <v>12</v>
      </c>
      <c r="N168" s="60">
        <f>L87+L88</f>
        <v>13.652480000000001</v>
      </c>
      <c r="O168" s="405">
        <f>L132+L133</f>
        <v>23.719132224000003</v>
      </c>
      <c r="Q168" s="33" t="s">
        <v>12</v>
      </c>
      <c r="R168" s="60">
        <f>M87+M88</f>
        <v>213.32</v>
      </c>
      <c r="S168" s="60">
        <f>M132+M133</f>
        <v>370.61144100000001</v>
      </c>
    </row>
    <row r="169" spans="1:19" x14ac:dyDescent="0.2">
      <c r="A169" s="33" t="s">
        <v>13</v>
      </c>
      <c r="B169" s="60">
        <f>I89+I90</f>
        <v>39.691799072739556</v>
      </c>
      <c r="C169" s="62">
        <f>J89+J90</f>
        <v>25.825712357823374</v>
      </c>
      <c r="E169" s="33" t="s">
        <v>13</v>
      </c>
      <c r="F169" s="60">
        <f>I134+I135</f>
        <v>1067.0889145333772</v>
      </c>
      <c r="G169" s="62">
        <f>J134+J135</f>
        <v>694.75598376846847</v>
      </c>
      <c r="I169" s="33" t="s">
        <v>13</v>
      </c>
      <c r="J169" s="60">
        <f t="shared" si="23"/>
        <v>1106.7807136061167</v>
      </c>
      <c r="K169" s="62">
        <f t="shared" si="24"/>
        <v>720.58169612629183</v>
      </c>
      <c r="M169" s="33" t="s">
        <v>13</v>
      </c>
      <c r="N169" s="60">
        <f>L89+L90</f>
        <v>39.691799072739556</v>
      </c>
      <c r="O169" s="405">
        <f>L134+L135</f>
        <v>1067.0889145333772</v>
      </c>
      <c r="Q169" s="33" t="s">
        <v>13</v>
      </c>
      <c r="R169" s="60">
        <f>M89+M90</f>
        <v>505.71071676155555</v>
      </c>
      <c r="S169" s="60">
        <f>M134+M135</f>
        <v>9047.4206483938033</v>
      </c>
    </row>
    <row r="170" spans="1:19" x14ac:dyDescent="0.2">
      <c r="A170" s="33" t="s">
        <v>14</v>
      </c>
      <c r="B170" s="60">
        <f>I91+I92</f>
        <v>18.45766538625363</v>
      </c>
      <c r="C170" s="62">
        <f>J91+J92</f>
        <v>13.873620806352376</v>
      </c>
      <c r="E170" s="33" t="s">
        <v>14</v>
      </c>
      <c r="F170" s="60">
        <f>I136+I137</f>
        <v>3011.0834599624886</v>
      </c>
      <c r="G170" s="62">
        <f>J136+J137</f>
        <v>2275.8484568049703</v>
      </c>
      <c r="I170" s="33" t="s">
        <v>14</v>
      </c>
      <c r="J170" s="60">
        <f t="shared" si="23"/>
        <v>3029.5411253487423</v>
      </c>
      <c r="K170" s="62">
        <f t="shared" si="24"/>
        <v>2289.7220776113227</v>
      </c>
      <c r="M170" s="33" t="s">
        <v>14</v>
      </c>
      <c r="N170" s="60">
        <f>L91+L92</f>
        <v>18.45766538625363</v>
      </c>
      <c r="O170" s="405">
        <f>L136+L137</f>
        <v>3011.0834599624886</v>
      </c>
      <c r="Q170" s="33" t="s">
        <v>14</v>
      </c>
      <c r="R170" s="60">
        <f>M91+M92</f>
        <v>140.65764666021298</v>
      </c>
      <c r="S170" s="60">
        <f>M136+M137</f>
        <v>24087.747506298856</v>
      </c>
    </row>
    <row r="171" spans="1:19" x14ac:dyDescent="0.2">
      <c r="A171" s="33" t="s">
        <v>15</v>
      </c>
      <c r="B171" s="60">
        <f>I93+I94</f>
        <v>2.1775295999999997</v>
      </c>
      <c r="C171" s="62">
        <f>J93+J94</f>
        <v>1.8457585281128552</v>
      </c>
      <c r="E171" s="33" t="s">
        <v>15</v>
      </c>
      <c r="F171" s="60">
        <f>I138+I139</f>
        <v>1530.8538580720001</v>
      </c>
      <c r="G171" s="62">
        <f>J138+J139</f>
        <v>1282.3668202071563</v>
      </c>
      <c r="I171" s="33" t="s">
        <v>15</v>
      </c>
      <c r="J171" s="60">
        <f t="shared" si="23"/>
        <v>1533.0313876720002</v>
      </c>
      <c r="K171" s="62">
        <f t="shared" si="24"/>
        <v>1284.2125787352691</v>
      </c>
      <c r="M171" s="33" t="s">
        <v>15</v>
      </c>
      <c r="N171" s="60">
        <f>L93+L94</f>
        <v>2.1775295999999997</v>
      </c>
      <c r="O171" s="405">
        <f>L138+L139</f>
        <v>1530.8538580720001</v>
      </c>
      <c r="Q171" s="33" t="s">
        <v>15</v>
      </c>
      <c r="R171" s="60">
        <f>M93+M94</f>
        <v>34.023899999999998</v>
      </c>
      <c r="S171" s="60">
        <f>M138+M139</f>
        <v>12872.402850999999</v>
      </c>
    </row>
    <row r="172" spans="1:19" x14ac:dyDescent="0.2">
      <c r="A172" s="33" t="s">
        <v>16</v>
      </c>
      <c r="B172" s="60">
        <f>I95+I96</f>
        <v>4.5838576</v>
      </c>
      <c r="C172" s="62">
        <f>J95+J96</f>
        <v>4.1403337931642916</v>
      </c>
      <c r="E172" s="33" t="s">
        <v>16</v>
      </c>
      <c r="F172" s="60">
        <f>I140+I141</f>
        <v>820.23152896799991</v>
      </c>
      <c r="G172" s="62">
        <f>J140+J141</f>
        <v>731.43332461830414</v>
      </c>
      <c r="I172" s="33" t="s">
        <v>16</v>
      </c>
      <c r="J172" s="60">
        <f t="shared" si="23"/>
        <v>824.81538656799989</v>
      </c>
      <c r="K172" s="62">
        <f t="shared" si="24"/>
        <v>735.57365841146839</v>
      </c>
      <c r="M172" s="33" t="s">
        <v>16</v>
      </c>
      <c r="N172" s="60">
        <f>L95+L96</f>
        <v>4.5838576</v>
      </c>
      <c r="O172" s="405">
        <f>L140+L141</f>
        <v>820.23152896799991</v>
      </c>
      <c r="Q172" s="33" t="s">
        <v>16</v>
      </c>
      <c r="R172" s="60">
        <f>M95+M96</f>
        <v>20.7102</v>
      </c>
      <c r="S172" s="60">
        <f>M140+M141</f>
        <v>5749.2864179999997</v>
      </c>
    </row>
    <row r="173" spans="1:19" x14ac:dyDescent="0.2">
      <c r="A173" s="33" t="s">
        <v>17</v>
      </c>
      <c r="B173" s="60">
        <f>I97+I98</f>
        <v>0.2242816</v>
      </c>
      <c r="C173" s="62">
        <f>J97+J98</f>
        <v>0.21289453313585843</v>
      </c>
      <c r="E173" s="33" t="s">
        <v>17</v>
      </c>
      <c r="F173" s="60">
        <f>I142+I143</f>
        <v>163.74714056807875</v>
      </c>
      <c r="G173" s="62">
        <f>J142+J143</f>
        <v>153.14062436879345</v>
      </c>
      <c r="I173" s="33" t="s">
        <v>17</v>
      </c>
      <c r="J173" s="60">
        <f t="shared" si="23"/>
        <v>163.97142216807876</v>
      </c>
      <c r="K173" s="62">
        <f t="shared" si="24"/>
        <v>153.35351890192931</v>
      </c>
      <c r="M173" s="33" t="s">
        <v>17</v>
      </c>
      <c r="N173" s="60">
        <f>L97+L98</f>
        <v>0.2242816</v>
      </c>
      <c r="O173" s="405">
        <f>L142+L143</f>
        <v>163.74714056807875</v>
      </c>
      <c r="Q173" s="33" t="s">
        <v>17</v>
      </c>
      <c r="R173" s="60">
        <f>M97+M98</f>
        <v>3.5044</v>
      </c>
      <c r="S173" s="60">
        <f>M142+M143</f>
        <v>1126.0441660418205</v>
      </c>
    </row>
    <row r="174" spans="1:19" x14ac:dyDescent="0.2">
      <c r="A174" s="34" t="s">
        <v>18</v>
      </c>
      <c r="B174" s="60">
        <f>SUM(B166:B173)</f>
        <v>78.787613258993176</v>
      </c>
      <c r="C174" s="62">
        <f>SUM(C166:C173)</f>
        <v>53.599018212434366</v>
      </c>
      <c r="E174" s="34" t="s">
        <v>18</v>
      </c>
      <c r="F174" s="60">
        <f>SUM(F166:F173)</f>
        <v>6616.7240343279454</v>
      </c>
      <c r="G174" s="62">
        <f>SUM(G166:G173)</f>
        <v>5151.1632562436798</v>
      </c>
      <c r="I174" s="34" t="s">
        <v>18</v>
      </c>
      <c r="J174" s="60">
        <f t="shared" si="23"/>
        <v>6695.511647586939</v>
      </c>
      <c r="K174" s="62">
        <f t="shared" si="24"/>
        <v>5204.762274456114</v>
      </c>
      <c r="M174" s="34" t="s">
        <v>18</v>
      </c>
      <c r="N174" s="60">
        <f>SUM(N166:N173)</f>
        <v>78.787613258993176</v>
      </c>
      <c r="O174" s="405">
        <f>SUM(O166:O173)</f>
        <v>6616.7240343279454</v>
      </c>
      <c r="Q174" s="34" t="s">
        <v>18</v>
      </c>
      <c r="R174" s="60">
        <f>SUM(R166:R173)</f>
        <v>917.92686342176864</v>
      </c>
      <c r="S174" s="60">
        <f>SUM(S166:S173)</f>
        <v>53253.513030734473</v>
      </c>
    </row>
    <row r="175" spans="1:19" x14ac:dyDescent="0.2">
      <c r="A175" s="30"/>
      <c r="B175" s="59"/>
      <c r="C175" s="61"/>
      <c r="E175" s="30"/>
      <c r="F175" s="59"/>
      <c r="G175" s="61"/>
      <c r="I175" s="30"/>
      <c r="J175" s="59"/>
      <c r="K175" s="61"/>
      <c r="M175" s="30"/>
      <c r="N175" s="31"/>
      <c r="O175" s="32"/>
    </row>
  </sheetData>
  <mergeCells count="16">
    <mergeCell ref="C10:E10"/>
    <mergeCell ref="C17:C18"/>
    <mergeCell ref="A1:E1"/>
    <mergeCell ref="A2:E2"/>
    <mergeCell ref="A3:E3"/>
    <mergeCell ref="A4:E4"/>
    <mergeCell ref="A5:E5"/>
    <mergeCell ref="A6:E6"/>
    <mergeCell ref="E33:E40"/>
    <mergeCell ref="A25:A32"/>
    <mergeCell ref="E23:E24"/>
    <mergeCell ref="A23:A24"/>
    <mergeCell ref="B23:B24"/>
    <mergeCell ref="C23:D23"/>
    <mergeCell ref="E25:E32"/>
    <mergeCell ref="A33:A40"/>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2:S79"/>
  <sheetViews>
    <sheetView topLeftCell="A43" workbookViewId="0">
      <selection activeCell="K61" sqref="K61"/>
    </sheetView>
  </sheetViews>
  <sheetFormatPr baseColWidth="10" defaultColWidth="8.83203125" defaultRowHeight="15" x14ac:dyDescent="0.2"/>
  <sheetData>
    <row r="2" spans="1:19" x14ac:dyDescent="0.2">
      <c r="A2" s="23" t="s">
        <v>215</v>
      </c>
    </row>
    <row r="4" spans="1:19" x14ac:dyDescent="0.2">
      <c r="A4" s="22" t="s">
        <v>217</v>
      </c>
      <c r="E4" s="22" t="s">
        <v>218</v>
      </c>
      <c r="I4" s="22" t="s">
        <v>219</v>
      </c>
      <c r="M4" s="22" t="s">
        <v>220</v>
      </c>
      <c r="Q4" s="22" t="s">
        <v>232</v>
      </c>
    </row>
    <row r="6" spans="1:19" s="22" customFormat="1" x14ac:dyDescent="0.2">
      <c r="A6" s="130" t="str">
        <f>[8]Sheet1!AN4</f>
        <v>Sex</v>
      </c>
      <c r="B6" s="217" t="str">
        <f>[8]Sheet1!AO4</f>
        <v>Age</v>
      </c>
      <c r="C6" s="131" t="str">
        <f>[8]Sheet1!AP4</f>
        <v>Number</v>
      </c>
      <c r="D6" s="28"/>
      <c r="E6" s="130" t="str">
        <f>[8]Sheet1!AS4</f>
        <v>Sex</v>
      </c>
      <c r="F6" s="217" t="str">
        <f>[8]Sheet1!AT4</f>
        <v>Age</v>
      </c>
      <c r="G6" s="131" t="str">
        <f>[8]Sheet1!AU4</f>
        <v>Number</v>
      </c>
      <c r="H6" s="222"/>
      <c r="I6" s="130" t="str">
        <f>[8]Sheet1!AX4</f>
        <v>Sex</v>
      </c>
      <c r="J6" s="217" t="str">
        <f>[8]Sheet1!AY4</f>
        <v>Age</v>
      </c>
      <c r="K6" s="131" t="str">
        <f>[8]Sheet1!AZ4</f>
        <v>Number</v>
      </c>
      <c r="L6" s="222"/>
      <c r="M6" s="130" t="str">
        <f>[8]Sheet1!BC4</f>
        <v>Sex</v>
      </c>
      <c r="N6" s="217" t="str">
        <f>[8]Sheet1!BD4</f>
        <v>Age</v>
      </c>
      <c r="O6" s="131" t="str">
        <f>[8]Sheet1!BE4</f>
        <v>Number</v>
      </c>
      <c r="P6" s="222"/>
      <c r="Q6" s="130" t="str">
        <f>[8]Sheet1!BR4</f>
        <v>Sex</v>
      </c>
      <c r="R6" s="217" t="str">
        <f>[8]Sheet1!BS4</f>
        <v>Age</v>
      </c>
      <c r="S6" s="131" t="str">
        <f>[8]Sheet1!BT4</f>
        <v>Number</v>
      </c>
    </row>
    <row r="7" spans="1:19" s="22" customFormat="1" x14ac:dyDescent="0.2">
      <c r="A7" s="48" t="str">
        <f>[8]Sheet1!AN5</f>
        <v>Males</v>
      </c>
      <c r="B7" s="28" t="str">
        <f>[8]Sheet1!AO5</f>
        <v xml:space="preserve">  0 - 4</v>
      </c>
      <c r="C7" s="29">
        <f>[8]Sheet1!AP5</f>
        <v>0</v>
      </c>
      <c r="D7" s="28"/>
      <c r="E7" s="48" t="str">
        <f>[8]Sheet1!AS5</f>
        <v>Males</v>
      </c>
      <c r="F7" s="222" t="str">
        <f>[8]Sheet1!AT5</f>
        <v xml:space="preserve">  0 - 4</v>
      </c>
      <c r="G7" s="225">
        <f>[8]Sheet1!AU5</f>
        <v>0</v>
      </c>
      <c r="H7" s="222"/>
      <c r="I7" s="48" t="str">
        <f>[8]Sheet1!AX5</f>
        <v>Males</v>
      </c>
      <c r="J7" s="222" t="str">
        <f>[8]Sheet1!AY5</f>
        <v xml:space="preserve">  0 - 4</v>
      </c>
      <c r="K7" s="229">
        <f>[8]Sheet1!AZ5</f>
        <v>0</v>
      </c>
      <c r="L7" s="222"/>
      <c r="M7" s="48" t="str">
        <f>[8]Sheet1!BC5</f>
        <v>Males</v>
      </c>
      <c r="N7" s="222" t="str">
        <f>[8]Sheet1!BD5</f>
        <v xml:space="preserve">  0 - 4</v>
      </c>
      <c r="O7" s="229">
        <f>[8]Sheet1!BE5</f>
        <v>0</v>
      </c>
      <c r="P7" s="222"/>
      <c r="Q7" s="48" t="str">
        <f>[8]Sheet1!BR5</f>
        <v>Males</v>
      </c>
      <c r="R7" s="28" t="str">
        <f>[8]Sheet1!BS5</f>
        <v xml:space="preserve">  0 - 4</v>
      </c>
      <c r="S7" s="98">
        <f>[8]Sheet1!BT5</f>
        <v>0</v>
      </c>
    </row>
    <row r="8" spans="1:19" s="22" customFormat="1" x14ac:dyDescent="0.2">
      <c r="A8" s="27"/>
      <c r="B8" s="28" t="str">
        <f>[8]Sheet1!AO6</f>
        <v xml:space="preserve"> 5-14</v>
      </c>
      <c r="C8" s="29">
        <f>[8]Sheet1!AP6</f>
        <v>0</v>
      </c>
      <c r="D8" s="28"/>
      <c r="E8" s="133"/>
      <c r="F8" s="222" t="str">
        <f>[8]Sheet1!AT6</f>
        <v xml:space="preserve"> 5-14</v>
      </c>
      <c r="G8" s="225">
        <f>[8]Sheet1!AU6</f>
        <v>0</v>
      </c>
      <c r="H8" s="222"/>
      <c r="I8" s="133"/>
      <c r="J8" s="222" t="str">
        <f>[8]Sheet1!AY6</f>
        <v xml:space="preserve"> 5-14</v>
      </c>
      <c r="K8" s="229">
        <f>[8]Sheet1!AZ6</f>
        <v>0</v>
      </c>
      <c r="L8" s="222"/>
      <c r="M8" s="133"/>
      <c r="N8" s="222" t="str">
        <f>[8]Sheet1!BD6</f>
        <v xml:space="preserve"> 5-14</v>
      </c>
      <c r="O8" s="229">
        <f>[8]Sheet1!BE6</f>
        <v>0</v>
      </c>
      <c r="P8" s="222"/>
      <c r="Q8" s="27"/>
      <c r="R8" s="28" t="str">
        <f>[8]Sheet1!BS6</f>
        <v xml:space="preserve"> 5-14</v>
      </c>
      <c r="S8" s="98">
        <f>[8]Sheet1!BT6</f>
        <v>0</v>
      </c>
    </row>
    <row r="9" spans="1:19" s="22" customFormat="1" x14ac:dyDescent="0.2">
      <c r="A9" s="27"/>
      <c r="B9" s="28" t="str">
        <f>[8]Sheet1!AO7</f>
        <v xml:space="preserve"> 15-29</v>
      </c>
      <c r="C9" s="29">
        <f>[8]Sheet1!AP7</f>
        <v>0</v>
      </c>
      <c r="D9" s="28"/>
      <c r="E9" s="133"/>
      <c r="F9" s="222" t="str">
        <f>[8]Sheet1!AT7</f>
        <v xml:space="preserve"> 15-29</v>
      </c>
      <c r="G9" s="225">
        <f>[8]Sheet1!AU7</f>
        <v>3</v>
      </c>
      <c r="H9" s="222"/>
      <c r="I9" s="133"/>
      <c r="J9" s="222" t="str">
        <f>[8]Sheet1!AY7</f>
        <v xml:space="preserve"> 15-29</v>
      </c>
      <c r="K9" s="229">
        <f>[8]Sheet1!AZ7</f>
        <v>0</v>
      </c>
      <c r="L9" s="222"/>
      <c r="M9" s="133"/>
      <c r="N9" s="222" t="str">
        <f>[8]Sheet1!BD7</f>
        <v xml:space="preserve"> 15-29</v>
      </c>
      <c r="O9" s="229">
        <f>[8]Sheet1!BE7</f>
        <v>0</v>
      </c>
      <c r="P9" s="222"/>
      <c r="Q9" s="27"/>
      <c r="R9" s="28" t="str">
        <f>[8]Sheet1!BS7</f>
        <v xml:space="preserve"> 15-29</v>
      </c>
      <c r="S9" s="98">
        <f>[8]Sheet1!BT7</f>
        <v>4</v>
      </c>
    </row>
    <row r="10" spans="1:19" s="22" customFormat="1" x14ac:dyDescent="0.2">
      <c r="A10" s="27"/>
      <c r="B10" s="28" t="str">
        <f>[8]Sheet1!AO8</f>
        <v xml:space="preserve"> 30-44</v>
      </c>
      <c r="C10" s="29">
        <f>[8]Sheet1!AP8</f>
        <v>0</v>
      </c>
      <c r="D10" s="28"/>
      <c r="E10" s="133"/>
      <c r="F10" s="222" t="str">
        <f>[8]Sheet1!AT8</f>
        <v xml:space="preserve"> 30-44</v>
      </c>
      <c r="G10" s="225">
        <f>[8]Sheet1!AU8</f>
        <v>7.3241220495106507</v>
      </c>
      <c r="H10" s="222"/>
      <c r="I10" s="133"/>
      <c r="J10" s="222" t="str">
        <f>[8]Sheet1!AY8</f>
        <v xml:space="preserve"> 30-44</v>
      </c>
      <c r="K10" s="229">
        <f>[8]Sheet1!AZ8</f>
        <v>1</v>
      </c>
      <c r="L10" s="222"/>
      <c r="M10" s="133"/>
      <c r="N10" s="222" t="str">
        <f>[8]Sheet1!BD8</f>
        <v xml:space="preserve"> 30-44</v>
      </c>
      <c r="O10" s="229">
        <f>[8]Sheet1!BE8</f>
        <v>0</v>
      </c>
      <c r="P10" s="222"/>
      <c r="Q10" s="27"/>
      <c r="R10" s="28" t="str">
        <f>[8]Sheet1!BS8</f>
        <v xml:space="preserve"> 30-44</v>
      </c>
      <c r="S10" s="98">
        <f>[8]Sheet1!BT8</f>
        <v>7.1029178951649214</v>
      </c>
    </row>
    <row r="11" spans="1:19" s="22" customFormat="1" x14ac:dyDescent="0.2">
      <c r="A11" s="27"/>
      <c r="B11" s="28" t="str">
        <f>[8]Sheet1!AO9</f>
        <v xml:space="preserve"> 45-59</v>
      </c>
      <c r="C11" s="29">
        <f>[8]Sheet1!AP9</f>
        <v>0</v>
      </c>
      <c r="D11" s="28"/>
      <c r="E11" s="133"/>
      <c r="F11" s="222" t="str">
        <f>[8]Sheet1!AT9</f>
        <v xml:space="preserve"> 45-59</v>
      </c>
      <c r="G11" s="225">
        <f>[8]Sheet1!AU9</f>
        <v>2</v>
      </c>
      <c r="H11" s="222"/>
      <c r="I11" s="133"/>
      <c r="J11" s="222" t="str">
        <f>[8]Sheet1!AY9</f>
        <v xml:space="preserve"> 45-59</v>
      </c>
      <c r="K11" s="229">
        <f>[8]Sheet1!AZ9</f>
        <v>0</v>
      </c>
      <c r="L11" s="222"/>
      <c r="M11" s="133"/>
      <c r="N11" s="222" t="str">
        <f>[8]Sheet1!BD9</f>
        <v xml:space="preserve"> 45-59</v>
      </c>
      <c r="O11" s="229">
        <f>[8]Sheet1!BE9</f>
        <v>0</v>
      </c>
      <c r="P11" s="222"/>
      <c r="Q11" s="27"/>
      <c r="R11" s="28" t="str">
        <f>[8]Sheet1!BS9</f>
        <v xml:space="preserve"> 45-59</v>
      </c>
      <c r="S11" s="98">
        <f>[8]Sheet1!BT9</f>
        <v>5</v>
      </c>
    </row>
    <row r="12" spans="1:19" s="22" customFormat="1" x14ac:dyDescent="0.2">
      <c r="A12" s="27"/>
      <c r="B12" s="28" t="str">
        <f>[8]Sheet1!AO10</f>
        <v xml:space="preserve"> 60-69</v>
      </c>
      <c r="C12" s="29">
        <f>[8]Sheet1!AP10</f>
        <v>0</v>
      </c>
      <c r="D12" s="28"/>
      <c r="E12" s="133"/>
      <c r="F12" s="222" t="str">
        <f>[8]Sheet1!AT10</f>
        <v xml:space="preserve"> 60-69</v>
      </c>
      <c r="G12" s="225">
        <f>[8]Sheet1!AU10</f>
        <v>2</v>
      </c>
      <c r="H12" s="222"/>
      <c r="I12" s="133"/>
      <c r="J12" s="222" t="str">
        <f>[8]Sheet1!AY10</f>
        <v xml:space="preserve"> 60-69</v>
      </c>
      <c r="K12" s="229">
        <f>[8]Sheet1!AZ10</f>
        <v>0</v>
      </c>
      <c r="L12" s="222"/>
      <c r="M12" s="133"/>
      <c r="N12" s="222" t="str">
        <f>[8]Sheet1!BD10</f>
        <v xml:space="preserve"> 60-69</v>
      </c>
      <c r="O12" s="229">
        <f>[8]Sheet1!BE10</f>
        <v>0</v>
      </c>
      <c r="P12" s="222"/>
      <c r="Q12" s="27"/>
      <c r="R12" s="28" t="str">
        <f>[8]Sheet1!BS10</f>
        <v xml:space="preserve"> 60-69</v>
      </c>
      <c r="S12" s="98">
        <f>[8]Sheet1!BT10</f>
        <v>5</v>
      </c>
    </row>
    <row r="13" spans="1:19" s="22" customFormat="1" x14ac:dyDescent="0.2">
      <c r="A13" s="27"/>
      <c r="B13" s="28" t="str">
        <f>[8]Sheet1!AO11</f>
        <v xml:space="preserve"> 70-79</v>
      </c>
      <c r="C13" s="29">
        <f>[8]Sheet1!AP11</f>
        <v>0</v>
      </c>
      <c r="D13" s="28"/>
      <c r="E13" s="133"/>
      <c r="F13" s="222" t="str">
        <f>[8]Sheet1!AT11</f>
        <v xml:space="preserve"> 70-79</v>
      </c>
      <c r="G13" s="225">
        <f>[8]Sheet1!AU11</f>
        <v>2</v>
      </c>
      <c r="H13" s="222"/>
      <c r="I13" s="133"/>
      <c r="J13" s="222" t="str">
        <f>[8]Sheet1!AY11</f>
        <v xml:space="preserve"> 70-79</v>
      </c>
      <c r="K13" s="229">
        <f>[8]Sheet1!AZ11</f>
        <v>0</v>
      </c>
      <c r="L13" s="222"/>
      <c r="M13" s="133"/>
      <c r="N13" s="222" t="str">
        <f>[8]Sheet1!BD11</f>
        <v xml:space="preserve"> 70-79</v>
      </c>
      <c r="O13" s="229">
        <f>[8]Sheet1!BE11</f>
        <v>0</v>
      </c>
      <c r="P13" s="222"/>
      <c r="Q13" s="27"/>
      <c r="R13" s="28" t="str">
        <f>[8]Sheet1!BS11</f>
        <v xml:space="preserve"> 70-79</v>
      </c>
      <c r="S13" s="98">
        <f>[8]Sheet1!BT11</f>
        <v>2</v>
      </c>
    </row>
    <row r="14" spans="1:19" s="22" customFormat="1" x14ac:dyDescent="0.2">
      <c r="A14" s="27"/>
      <c r="B14" s="28" t="str">
        <f>[8]Sheet1!AO12</f>
        <v xml:space="preserve"> 80+</v>
      </c>
      <c r="C14" s="29">
        <f>[8]Sheet1!AP12</f>
        <v>0</v>
      </c>
      <c r="D14" s="28"/>
      <c r="E14" s="133"/>
      <c r="F14" s="222" t="str">
        <f>[8]Sheet1!AT12</f>
        <v xml:space="preserve"> 80+</v>
      </c>
      <c r="G14" s="225">
        <f>[8]Sheet1!AU12</f>
        <v>14.096810719003585</v>
      </c>
      <c r="H14" s="222"/>
      <c r="I14" s="133"/>
      <c r="J14" s="222" t="str">
        <f>[8]Sheet1!AY12</f>
        <v xml:space="preserve"> 80+</v>
      </c>
      <c r="K14" s="229">
        <f>[8]Sheet1!AZ12</f>
        <v>0</v>
      </c>
      <c r="L14" s="222"/>
      <c r="M14" s="133"/>
      <c r="N14" s="222" t="str">
        <f>[8]Sheet1!BD12</f>
        <v xml:space="preserve"> 80+</v>
      </c>
      <c r="O14" s="229">
        <f>[8]Sheet1!BE12</f>
        <v>0</v>
      </c>
      <c r="P14" s="222"/>
      <c r="Q14" s="27"/>
      <c r="R14" s="28" t="str">
        <f>[8]Sheet1!BS12</f>
        <v xml:space="preserve"> 80+</v>
      </c>
      <c r="S14" s="98">
        <f>[8]Sheet1!BT12</f>
        <v>0</v>
      </c>
    </row>
    <row r="15" spans="1:19" s="22" customFormat="1" x14ac:dyDescent="0.2">
      <c r="A15" s="27"/>
      <c r="B15" s="28" t="str">
        <f>[8]Sheet1!AO13</f>
        <v>all ages</v>
      </c>
      <c r="C15" s="29">
        <f>[8]Sheet1!AP13</f>
        <v>0</v>
      </c>
      <c r="D15" s="28"/>
      <c r="E15" s="133"/>
      <c r="F15" s="222" t="str">
        <f>[8]Sheet1!AT13</f>
        <v>all ages</v>
      </c>
      <c r="G15" s="225">
        <f>[8]Sheet1!AU13</f>
        <v>30.420932768514234</v>
      </c>
      <c r="H15" s="222"/>
      <c r="I15" s="133"/>
      <c r="J15" s="222" t="str">
        <f>[8]Sheet1!AY13</f>
        <v>all ages</v>
      </c>
      <c r="K15" s="229">
        <f>[8]Sheet1!AZ13</f>
        <v>1</v>
      </c>
      <c r="L15" s="222"/>
      <c r="M15" s="133"/>
      <c r="N15" s="222" t="str">
        <f>[8]Sheet1!BD13</f>
        <v>all ages</v>
      </c>
      <c r="O15" s="229">
        <f>[8]Sheet1!BE13</f>
        <v>0</v>
      </c>
      <c r="P15" s="222"/>
      <c r="Q15" s="27"/>
      <c r="R15" s="28" t="str">
        <f>[8]Sheet1!BS13</f>
        <v>all ages</v>
      </c>
      <c r="S15" s="98">
        <f>[8]Sheet1!BT13</f>
        <v>23.102917895164921</v>
      </c>
    </row>
    <row r="16" spans="1:19" s="22" customFormat="1" x14ac:dyDescent="0.2">
      <c r="A16" s="48" t="str">
        <f>[8]Sheet1!AN14</f>
        <v>Females</v>
      </c>
      <c r="B16" s="28" t="str">
        <f>[8]Sheet1!AO14</f>
        <v xml:space="preserve">  0 - 4</v>
      </c>
      <c r="C16" s="29">
        <f>[8]Sheet1!AP14</f>
        <v>0</v>
      </c>
      <c r="D16" s="28"/>
      <c r="E16" s="48" t="str">
        <f>[8]Sheet1!AS14</f>
        <v>Females</v>
      </c>
      <c r="F16" s="222" t="str">
        <f>[8]Sheet1!AT14</f>
        <v xml:space="preserve">  0 - 4</v>
      </c>
      <c r="G16" s="225">
        <f>[8]Sheet1!AU14</f>
        <v>0</v>
      </c>
      <c r="H16" s="222"/>
      <c r="I16" s="48" t="str">
        <f>[8]Sheet1!AX14</f>
        <v>Females</v>
      </c>
      <c r="J16" s="222" t="str">
        <f>[8]Sheet1!AY14</f>
        <v xml:space="preserve">  0 - 4</v>
      </c>
      <c r="K16" s="229">
        <f>[8]Sheet1!AZ14</f>
        <v>0</v>
      </c>
      <c r="L16" s="222"/>
      <c r="M16" s="48" t="str">
        <f>[8]Sheet1!BC14</f>
        <v>Females</v>
      </c>
      <c r="N16" s="222" t="str">
        <f>[8]Sheet1!BD14</f>
        <v xml:space="preserve">  0 - 4</v>
      </c>
      <c r="O16" s="229">
        <f>[8]Sheet1!BE14</f>
        <v>0</v>
      </c>
      <c r="P16" s="222"/>
      <c r="Q16" s="48" t="str">
        <f>[8]Sheet1!BR14</f>
        <v>Females</v>
      </c>
      <c r="R16" s="28" t="str">
        <f>[8]Sheet1!BS14</f>
        <v xml:space="preserve">  0 - 4</v>
      </c>
      <c r="S16" s="98">
        <f>[8]Sheet1!BT14</f>
        <v>0</v>
      </c>
    </row>
    <row r="17" spans="1:19" s="22" customFormat="1" x14ac:dyDescent="0.2">
      <c r="A17" s="48"/>
      <c r="B17" s="28" t="str">
        <f>[8]Sheet1!AO15</f>
        <v xml:space="preserve"> 5-14</v>
      </c>
      <c r="C17" s="29">
        <f>[8]Sheet1!AP15</f>
        <v>0</v>
      </c>
      <c r="D17" s="28"/>
      <c r="E17" s="133"/>
      <c r="F17" s="222" t="str">
        <f>[8]Sheet1!AT15</f>
        <v xml:space="preserve"> 5-14</v>
      </c>
      <c r="G17" s="225">
        <f>[8]Sheet1!AU15</f>
        <v>0</v>
      </c>
      <c r="H17" s="222"/>
      <c r="I17" s="133"/>
      <c r="J17" s="222" t="str">
        <f>[8]Sheet1!AY15</f>
        <v xml:space="preserve"> 5-14</v>
      </c>
      <c r="K17" s="229">
        <f>[8]Sheet1!AZ15</f>
        <v>0</v>
      </c>
      <c r="L17" s="222"/>
      <c r="M17" s="133"/>
      <c r="N17" s="222" t="str">
        <f>[8]Sheet1!BD15</f>
        <v xml:space="preserve"> 5-14</v>
      </c>
      <c r="O17" s="229">
        <f>[8]Sheet1!BE15</f>
        <v>0</v>
      </c>
      <c r="P17" s="222"/>
      <c r="Q17" s="27"/>
      <c r="R17" s="28" t="str">
        <f>[8]Sheet1!BS15</f>
        <v xml:space="preserve"> 5-14</v>
      </c>
      <c r="S17" s="98">
        <f>[8]Sheet1!BT15</f>
        <v>0</v>
      </c>
    </row>
    <row r="18" spans="1:19" s="22" customFormat="1" x14ac:dyDescent="0.2">
      <c r="A18" s="27"/>
      <c r="B18" s="28" t="str">
        <f>[8]Sheet1!AO16</f>
        <v xml:space="preserve"> 15-29</v>
      </c>
      <c r="C18" s="29">
        <f>[8]Sheet1!AP16</f>
        <v>0</v>
      </c>
      <c r="D18" s="28"/>
      <c r="E18" s="133"/>
      <c r="F18" s="222" t="str">
        <f>[8]Sheet1!AT16</f>
        <v xml:space="preserve"> 15-29</v>
      </c>
      <c r="G18" s="225">
        <f>[8]Sheet1!AU16</f>
        <v>0</v>
      </c>
      <c r="H18" s="222"/>
      <c r="I18" s="133"/>
      <c r="J18" s="222" t="str">
        <f>[8]Sheet1!AY16</f>
        <v xml:space="preserve"> 15-29</v>
      </c>
      <c r="K18" s="229">
        <f>[8]Sheet1!AZ16</f>
        <v>0</v>
      </c>
      <c r="L18" s="222"/>
      <c r="M18" s="133"/>
      <c r="N18" s="222" t="str">
        <f>[8]Sheet1!BD16</f>
        <v xml:space="preserve"> 15-29</v>
      </c>
      <c r="O18" s="229">
        <f>[8]Sheet1!BE16</f>
        <v>0</v>
      </c>
      <c r="P18" s="222"/>
      <c r="Q18" s="27"/>
      <c r="R18" s="28" t="str">
        <f>[8]Sheet1!BS16</f>
        <v xml:space="preserve"> 15-29</v>
      </c>
      <c r="S18" s="98">
        <f>[8]Sheet1!BT16</f>
        <v>5</v>
      </c>
    </row>
    <row r="19" spans="1:19" s="22" customFormat="1" x14ac:dyDescent="0.2">
      <c r="A19" s="27"/>
      <c r="B19" s="28" t="str">
        <f>[8]Sheet1!AO17</f>
        <v xml:space="preserve"> 30-44</v>
      </c>
      <c r="C19" s="29">
        <f>[8]Sheet1!AP17</f>
        <v>0</v>
      </c>
      <c r="D19" s="28"/>
      <c r="E19" s="133"/>
      <c r="F19" s="222" t="str">
        <f>[8]Sheet1!AT17</f>
        <v xml:space="preserve"> 30-44</v>
      </c>
      <c r="G19" s="225">
        <f>[8]Sheet1!AU17</f>
        <v>1</v>
      </c>
      <c r="H19" s="222"/>
      <c r="I19" s="133"/>
      <c r="J19" s="222" t="str">
        <f>[8]Sheet1!AY17</f>
        <v xml:space="preserve"> 30-44</v>
      </c>
      <c r="K19" s="229">
        <f>[8]Sheet1!AZ17</f>
        <v>0</v>
      </c>
      <c r="L19" s="222"/>
      <c r="M19" s="133"/>
      <c r="N19" s="222" t="str">
        <f>[8]Sheet1!BD17</f>
        <v xml:space="preserve"> 30-44</v>
      </c>
      <c r="O19" s="229">
        <f>[8]Sheet1!BE17</f>
        <v>1</v>
      </c>
      <c r="P19" s="222"/>
      <c r="Q19" s="27"/>
      <c r="R19" s="28" t="str">
        <f>[8]Sheet1!BS17</f>
        <v xml:space="preserve"> 30-44</v>
      </c>
      <c r="S19" s="98">
        <f>[8]Sheet1!BT17</f>
        <v>15.290284881040453</v>
      </c>
    </row>
    <row r="20" spans="1:19" s="22" customFormat="1" x14ac:dyDescent="0.2">
      <c r="A20" s="27"/>
      <c r="B20" s="28" t="str">
        <f>[8]Sheet1!AO18</f>
        <v xml:space="preserve"> 45-59</v>
      </c>
      <c r="C20" s="29">
        <f>[8]Sheet1!AP18</f>
        <v>0</v>
      </c>
      <c r="D20" s="28"/>
      <c r="E20" s="133"/>
      <c r="F20" s="222" t="str">
        <f>[8]Sheet1!AT18</f>
        <v xml:space="preserve"> 45-59</v>
      </c>
      <c r="G20" s="225">
        <f>[8]Sheet1!AU18</f>
        <v>2</v>
      </c>
      <c r="H20" s="222"/>
      <c r="I20" s="133"/>
      <c r="J20" s="222" t="str">
        <f>[8]Sheet1!AY18</f>
        <v xml:space="preserve"> 45-59</v>
      </c>
      <c r="K20" s="229">
        <f>[8]Sheet1!AZ18</f>
        <v>0</v>
      </c>
      <c r="L20" s="222"/>
      <c r="M20" s="133"/>
      <c r="N20" s="222" t="str">
        <f>[8]Sheet1!BD18</f>
        <v xml:space="preserve"> 45-59</v>
      </c>
      <c r="O20" s="229">
        <f>[8]Sheet1!BE18</f>
        <v>0</v>
      </c>
      <c r="P20" s="222"/>
      <c r="Q20" s="27"/>
      <c r="R20" s="28" t="str">
        <f>[8]Sheet1!BS18</f>
        <v xml:space="preserve"> 45-59</v>
      </c>
      <c r="S20" s="98">
        <f>[8]Sheet1!BT18</f>
        <v>5.0212971926427876</v>
      </c>
    </row>
    <row r="21" spans="1:19" s="22" customFormat="1" x14ac:dyDescent="0.2">
      <c r="A21" s="27"/>
      <c r="B21" s="28" t="str">
        <f>[8]Sheet1!AO19</f>
        <v xml:space="preserve"> 60-69</v>
      </c>
      <c r="C21" s="29">
        <f>[8]Sheet1!AP19</f>
        <v>0</v>
      </c>
      <c r="D21" s="28"/>
      <c r="E21" s="133"/>
      <c r="F21" s="222" t="str">
        <f>[8]Sheet1!AT19</f>
        <v xml:space="preserve"> 60-69</v>
      </c>
      <c r="G21" s="225">
        <f>[8]Sheet1!AU19</f>
        <v>0</v>
      </c>
      <c r="H21" s="222"/>
      <c r="I21" s="133"/>
      <c r="J21" s="222" t="str">
        <f>[8]Sheet1!AY19</f>
        <v xml:space="preserve"> 60-69</v>
      </c>
      <c r="K21" s="229">
        <f>[8]Sheet1!AZ19</f>
        <v>0</v>
      </c>
      <c r="L21" s="222"/>
      <c r="M21" s="133"/>
      <c r="N21" s="222" t="str">
        <f>[8]Sheet1!BD19</f>
        <v xml:space="preserve"> 60-69</v>
      </c>
      <c r="O21" s="229">
        <f>[8]Sheet1!BE19</f>
        <v>0</v>
      </c>
      <c r="P21" s="222"/>
      <c r="Q21" s="27"/>
      <c r="R21" s="28" t="str">
        <f>[8]Sheet1!BS19</f>
        <v xml:space="preserve"> 60-69</v>
      </c>
      <c r="S21" s="98">
        <f>[8]Sheet1!BT19</f>
        <v>3</v>
      </c>
    </row>
    <row r="22" spans="1:19" s="22" customFormat="1" x14ac:dyDescent="0.2">
      <c r="A22" s="27"/>
      <c r="B22" s="28" t="str">
        <f>[8]Sheet1!AO20</f>
        <v xml:space="preserve"> 70-79</v>
      </c>
      <c r="C22" s="29">
        <f>[8]Sheet1!AP20</f>
        <v>0</v>
      </c>
      <c r="D22" s="28"/>
      <c r="E22" s="133"/>
      <c r="F22" s="222" t="str">
        <f>[8]Sheet1!AT20</f>
        <v xml:space="preserve"> 70-79</v>
      </c>
      <c r="G22" s="225">
        <f>[8]Sheet1!AU20</f>
        <v>2</v>
      </c>
      <c r="H22" s="222"/>
      <c r="I22" s="133"/>
      <c r="J22" s="222" t="str">
        <f>[8]Sheet1!AY20</f>
        <v xml:space="preserve"> 70-79</v>
      </c>
      <c r="K22" s="229">
        <f>[8]Sheet1!AZ20</f>
        <v>0</v>
      </c>
      <c r="L22" s="222"/>
      <c r="M22" s="133"/>
      <c r="N22" s="222" t="str">
        <f>[8]Sheet1!BD20</f>
        <v xml:space="preserve"> 70-79</v>
      </c>
      <c r="O22" s="229">
        <f>[8]Sheet1!BE20</f>
        <v>0</v>
      </c>
      <c r="P22" s="222"/>
      <c r="Q22" s="27"/>
      <c r="R22" s="28" t="str">
        <f>[8]Sheet1!BS20</f>
        <v xml:space="preserve"> 70-79</v>
      </c>
      <c r="S22" s="98">
        <f>[8]Sheet1!BT20</f>
        <v>1</v>
      </c>
    </row>
    <row r="23" spans="1:19" x14ac:dyDescent="0.2">
      <c r="A23" s="27"/>
      <c r="B23" s="28" t="str">
        <f>[8]Sheet1!AO21</f>
        <v xml:space="preserve"> 80+</v>
      </c>
      <c r="C23" s="29">
        <f>[8]Sheet1!AP21</f>
        <v>0</v>
      </c>
      <c r="D23" s="28"/>
      <c r="E23" s="133"/>
      <c r="F23" s="222" t="str">
        <f>[8]Sheet1!AT21</f>
        <v xml:space="preserve"> 80+</v>
      </c>
      <c r="G23" s="225">
        <f>[8]Sheet1!AU21</f>
        <v>0</v>
      </c>
      <c r="H23" s="222"/>
      <c r="I23" s="133"/>
      <c r="J23" s="222" t="str">
        <f>[8]Sheet1!AY21</f>
        <v xml:space="preserve"> 80+</v>
      </c>
      <c r="K23" s="229">
        <f>[8]Sheet1!AZ21</f>
        <v>0</v>
      </c>
      <c r="L23" s="222"/>
      <c r="M23" s="133"/>
      <c r="N23" s="222" t="str">
        <f>[8]Sheet1!BD21</f>
        <v xml:space="preserve"> 80+</v>
      </c>
      <c r="O23" s="229">
        <f>[8]Sheet1!BE21</f>
        <v>0</v>
      </c>
      <c r="P23" s="222"/>
      <c r="Q23" s="27"/>
      <c r="R23" s="28" t="str">
        <f>[8]Sheet1!BS21</f>
        <v xml:space="preserve"> 80+</v>
      </c>
      <c r="S23" s="98">
        <f>[8]Sheet1!BT21</f>
        <v>1</v>
      </c>
    </row>
    <row r="24" spans="1:19" x14ac:dyDescent="0.2">
      <c r="A24" s="27"/>
      <c r="B24" s="28" t="str">
        <f>[8]Sheet1!AO22</f>
        <v>all ages</v>
      </c>
      <c r="C24" s="29">
        <f>[8]Sheet1!AP22</f>
        <v>0</v>
      </c>
      <c r="D24" s="28"/>
      <c r="E24" s="133"/>
      <c r="F24" s="222" t="str">
        <f>[8]Sheet1!AT22</f>
        <v>all ages</v>
      </c>
      <c r="G24" s="225">
        <f>[8]Sheet1!AU22</f>
        <v>5</v>
      </c>
      <c r="H24" s="222"/>
      <c r="I24" s="226"/>
      <c r="J24" s="227" t="str">
        <f>[8]Sheet1!AY22</f>
        <v>all ages</v>
      </c>
      <c r="K24" s="228">
        <f>[8]Sheet1!AZ22</f>
        <v>0</v>
      </c>
      <c r="L24" s="222"/>
      <c r="M24" s="226"/>
      <c r="N24" s="227" t="str">
        <f>[8]Sheet1!BD22</f>
        <v>all ages</v>
      </c>
      <c r="O24" s="228">
        <f>[8]Sheet1!BE22</f>
        <v>1</v>
      </c>
      <c r="P24" s="222"/>
      <c r="Q24" s="30"/>
      <c r="R24" s="31" t="str">
        <f>[8]Sheet1!BS22</f>
        <v>all ages</v>
      </c>
      <c r="S24" s="181">
        <f>[8]Sheet1!BT22</f>
        <v>30.31158207368324</v>
      </c>
    </row>
    <row r="25" spans="1:19" x14ac:dyDescent="0.2">
      <c r="A25" s="30"/>
      <c r="B25" s="31"/>
      <c r="C25" s="32"/>
      <c r="D25" s="28"/>
      <c r="E25" s="226"/>
      <c r="F25" s="227"/>
      <c r="G25" s="228"/>
      <c r="H25" s="222"/>
      <c r="I25" s="222"/>
      <c r="J25" s="222"/>
      <c r="K25" s="222"/>
      <c r="L25" s="222"/>
      <c r="M25" s="222"/>
      <c r="N25" s="222"/>
      <c r="O25" s="222"/>
      <c r="P25" s="222"/>
    </row>
    <row r="26" spans="1:19" x14ac:dyDescent="0.2">
      <c r="A26" s="28"/>
      <c r="B26" s="28"/>
      <c r="C26" s="28"/>
      <c r="D26" s="28"/>
      <c r="E26" s="222"/>
      <c r="F26" s="222"/>
      <c r="G26" s="222"/>
      <c r="H26" s="222"/>
      <c r="I26" s="222"/>
      <c r="J26" s="222"/>
      <c r="K26" s="222"/>
      <c r="L26" s="222"/>
      <c r="M26" s="222"/>
      <c r="N26" s="222"/>
      <c r="O26" s="222"/>
      <c r="P26" s="222"/>
    </row>
    <row r="27" spans="1:19" x14ac:dyDescent="0.2">
      <c r="O27" s="22" t="s">
        <v>23</v>
      </c>
    </row>
    <row r="28" spans="1:19" x14ac:dyDescent="0.2">
      <c r="A28" s="23" t="s">
        <v>216</v>
      </c>
    </row>
    <row r="30" spans="1:19" x14ac:dyDescent="0.2">
      <c r="A30" s="22" t="s">
        <v>221</v>
      </c>
      <c r="E30" s="22" t="s">
        <v>222</v>
      </c>
      <c r="I30" s="22" t="s">
        <v>223</v>
      </c>
      <c r="M30" s="22" t="s">
        <v>224</v>
      </c>
      <c r="Q30" s="22" t="s">
        <v>233</v>
      </c>
    </row>
    <row r="31" spans="1:19" s="22" customFormat="1" x14ac:dyDescent="0.2"/>
    <row r="32" spans="1:19" s="28" customFormat="1" x14ac:dyDescent="0.2">
      <c r="A32" s="130" t="str">
        <f>[8]Sheet1!T4</f>
        <v>Sex</v>
      </c>
      <c r="B32" s="217" t="str">
        <f>[8]Sheet1!U4</f>
        <v>Age</v>
      </c>
      <c r="C32" s="131" t="str">
        <f>[8]Sheet1!V4</f>
        <v>Number</v>
      </c>
      <c r="E32" s="130" t="str">
        <f>[8]Sheet1!Y4</f>
        <v>Sex</v>
      </c>
      <c r="F32" s="217" t="str">
        <f>[8]Sheet1!Z4</f>
        <v>Age</v>
      </c>
      <c r="G32" s="131" t="str">
        <f>[8]Sheet1!AA4</f>
        <v>Number</v>
      </c>
      <c r="I32" s="130" t="str">
        <f>[8]Sheet1!AD4</f>
        <v>Sex</v>
      </c>
      <c r="J32" s="217" t="str">
        <f>[8]Sheet1!AE4</f>
        <v>Age</v>
      </c>
      <c r="K32" s="131" t="str">
        <f>[8]Sheet1!AF4</f>
        <v>Number</v>
      </c>
      <c r="M32" s="130" t="str">
        <f>[8]Sheet1!AI4</f>
        <v>Sex</v>
      </c>
      <c r="N32" s="217" t="str">
        <f>[8]Sheet1!AJ4</f>
        <v>Age</v>
      </c>
      <c r="O32" s="131" t="str">
        <f>[8]Sheet1!AK4</f>
        <v>Number</v>
      </c>
      <c r="Q32" s="130" t="str">
        <f>[8]Sheet1!BM4</f>
        <v>Sex</v>
      </c>
      <c r="R32" s="217" t="str">
        <f>[8]Sheet1!BN4</f>
        <v>Age</v>
      </c>
      <c r="S32" s="131" t="str">
        <f>[8]Sheet1!BO4</f>
        <v>Number</v>
      </c>
    </row>
    <row r="33" spans="1:19" s="28" customFormat="1" x14ac:dyDescent="0.2">
      <c r="A33" s="48" t="str">
        <f>[8]Sheet1!T5</f>
        <v>Males</v>
      </c>
      <c r="B33" s="28" t="str">
        <f>[8]Sheet1!U5</f>
        <v xml:space="preserve">  0 - 4</v>
      </c>
      <c r="C33" s="29">
        <f>[8]Sheet1!V5</f>
        <v>0</v>
      </c>
      <c r="E33" s="48" t="str">
        <f>[8]Sheet1!Y5</f>
        <v>Males</v>
      </c>
      <c r="F33" s="28" t="str">
        <f>[8]Sheet1!Z5</f>
        <v xml:space="preserve">  0 - 4</v>
      </c>
      <c r="G33" s="98">
        <f>[8]Sheet1!AA5</f>
        <v>0</v>
      </c>
      <c r="I33" s="48" t="str">
        <f>[8]Sheet1!AD5</f>
        <v>Males</v>
      </c>
      <c r="J33" s="28" t="str">
        <f>[8]Sheet1!AE5</f>
        <v xml:space="preserve">  0 - 4</v>
      </c>
      <c r="K33" s="98">
        <f>[8]Sheet1!AF5</f>
        <v>0</v>
      </c>
      <c r="M33" s="48" t="str">
        <f>[8]Sheet1!AI5</f>
        <v>Males</v>
      </c>
      <c r="N33" s="28" t="str">
        <f>[8]Sheet1!AJ5</f>
        <v xml:space="preserve">  0 - 4</v>
      </c>
      <c r="O33" s="98">
        <f>[8]Sheet1!AK5</f>
        <v>1</v>
      </c>
      <c r="Q33" s="48" t="str">
        <f>[8]Sheet1!BM5</f>
        <v>Males</v>
      </c>
      <c r="R33" s="28" t="str">
        <f>[8]Sheet1!BN5</f>
        <v xml:space="preserve">  0 - 4</v>
      </c>
      <c r="S33" s="231">
        <f>[8]Sheet1!BO5</f>
        <v>0</v>
      </c>
    </row>
    <row r="34" spans="1:19" s="28" customFormat="1" x14ac:dyDescent="0.2">
      <c r="A34" s="27"/>
      <c r="B34" s="28" t="str">
        <f>[8]Sheet1!U6</f>
        <v xml:space="preserve"> 5-14</v>
      </c>
      <c r="C34" s="29">
        <f>[8]Sheet1!V6</f>
        <v>0</v>
      </c>
      <c r="E34" s="27"/>
      <c r="F34" s="28" t="str">
        <f>[8]Sheet1!Z6</f>
        <v xml:space="preserve"> 5-14</v>
      </c>
      <c r="G34" s="98">
        <f>[8]Sheet1!AA6</f>
        <v>0</v>
      </c>
      <c r="I34" s="27"/>
      <c r="J34" s="28" t="str">
        <f>[8]Sheet1!AE6</f>
        <v xml:space="preserve"> 5-14</v>
      </c>
      <c r="K34" s="98">
        <f>[8]Sheet1!AF6</f>
        <v>0</v>
      </c>
      <c r="M34" s="27">
        <f>[8]Sheet1!AI6</f>
        <v>0</v>
      </c>
      <c r="N34" s="28" t="str">
        <f>[8]Sheet1!AJ6</f>
        <v xml:space="preserve"> 5-14</v>
      </c>
      <c r="O34" s="98">
        <f>[8]Sheet1!AK6</f>
        <v>0</v>
      </c>
      <c r="Q34" s="27"/>
      <c r="R34" s="28" t="str">
        <f>[8]Sheet1!BN6</f>
        <v xml:space="preserve"> 5-14</v>
      </c>
      <c r="S34" s="231">
        <f>[8]Sheet1!BO6</f>
        <v>0</v>
      </c>
    </row>
    <row r="35" spans="1:19" s="28" customFormat="1" x14ac:dyDescent="0.2">
      <c r="A35" s="27"/>
      <c r="B35" s="28" t="str">
        <f>[8]Sheet1!U7</f>
        <v xml:space="preserve"> 15-29</v>
      </c>
      <c r="C35" s="29">
        <f>[8]Sheet1!V7</f>
        <v>0</v>
      </c>
      <c r="E35" s="27"/>
      <c r="F35" s="28" t="str">
        <f>[8]Sheet1!Z7</f>
        <v xml:space="preserve"> 15-29</v>
      </c>
      <c r="G35" s="98">
        <f>[8]Sheet1!AA7</f>
        <v>3</v>
      </c>
      <c r="I35" s="27"/>
      <c r="J35" s="28" t="str">
        <f>[8]Sheet1!AE7</f>
        <v xml:space="preserve"> 15-29</v>
      </c>
      <c r="K35" s="98">
        <f>[8]Sheet1!AF7</f>
        <v>0</v>
      </c>
      <c r="M35" s="27">
        <f>[8]Sheet1!AI7</f>
        <v>0</v>
      </c>
      <c r="N35" s="28" t="str">
        <f>[8]Sheet1!AJ7</f>
        <v xml:space="preserve"> 15-29</v>
      </c>
      <c r="O35" s="98">
        <f>[8]Sheet1!AK7</f>
        <v>2</v>
      </c>
      <c r="Q35" s="27"/>
      <c r="R35" s="28" t="str">
        <f>[8]Sheet1!BN7</f>
        <v xml:space="preserve"> 15-29</v>
      </c>
      <c r="S35" s="231">
        <f>[8]Sheet1!BO7</f>
        <v>9</v>
      </c>
    </row>
    <row r="36" spans="1:19" s="28" customFormat="1" x14ac:dyDescent="0.2">
      <c r="A36" s="27"/>
      <c r="B36" s="28" t="str">
        <f>[8]Sheet1!U8</f>
        <v xml:space="preserve"> 30-44</v>
      </c>
      <c r="C36" s="29">
        <f>[8]Sheet1!V8</f>
        <v>0</v>
      </c>
      <c r="E36" s="27"/>
      <c r="F36" s="28" t="str">
        <f>[8]Sheet1!Z8</f>
        <v xml:space="preserve"> 30-44</v>
      </c>
      <c r="G36" s="98">
        <f>[8]Sheet1!AA8</f>
        <v>76.519237452569499</v>
      </c>
      <c r="I36" s="27"/>
      <c r="J36" s="28" t="str">
        <f>[8]Sheet1!AE8</f>
        <v xml:space="preserve"> 30-44</v>
      </c>
      <c r="K36" s="98">
        <f>[8]Sheet1!AF8</f>
        <v>0</v>
      </c>
      <c r="M36" s="27">
        <f>[8]Sheet1!AI8</f>
        <v>0</v>
      </c>
      <c r="N36" s="28" t="str">
        <f>[8]Sheet1!AJ8</f>
        <v xml:space="preserve"> 30-44</v>
      </c>
      <c r="O36" s="98">
        <f>[8]Sheet1!AK8</f>
        <v>14.529957839840494</v>
      </c>
      <c r="Q36" s="27"/>
      <c r="R36" s="28" t="str">
        <f>[8]Sheet1!BN8</f>
        <v xml:space="preserve"> 30-44</v>
      </c>
      <c r="S36" s="231">
        <f>[8]Sheet1!BO8</f>
        <v>220.74353180727755</v>
      </c>
    </row>
    <row r="37" spans="1:19" s="28" customFormat="1" x14ac:dyDescent="0.2">
      <c r="A37" s="27"/>
      <c r="B37" s="28" t="str">
        <f>[8]Sheet1!U9</f>
        <v xml:space="preserve"> 45-59</v>
      </c>
      <c r="C37" s="29">
        <f>[8]Sheet1!V9</f>
        <v>1</v>
      </c>
      <c r="E37" s="27"/>
      <c r="F37" s="28" t="str">
        <f>[8]Sheet1!Z9</f>
        <v xml:space="preserve"> 45-59</v>
      </c>
      <c r="G37" s="98">
        <f>[8]Sheet1!AA9</f>
        <v>336</v>
      </c>
      <c r="I37" s="27"/>
      <c r="J37" s="28" t="str">
        <f>[8]Sheet1!AE9</f>
        <v xml:space="preserve"> 45-59</v>
      </c>
      <c r="K37" s="98">
        <f>[8]Sheet1!AF9</f>
        <v>3</v>
      </c>
      <c r="M37" s="27">
        <f>[8]Sheet1!AI9</f>
        <v>0</v>
      </c>
      <c r="N37" s="28" t="str">
        <f>[8]Sheet1!AJ9</f>
        <v xml:space="preserve"> 45-59</v>
      </c>
      <c r="O37" s="98">
        <f>[8]Sheet1!AK9</f>
        <v>64</v>
      </c>
      <c r="Q37" s="27"/>
      <c r="R37" s="28" t="str">
        <f>[8]Sheet1!BN9</f>
        <v xml:space="preserve"> 45-59</v>
      </c>
      <c r="S37" s="231">
        <f>[8]Sheet1!BO9</f>
        <v>989</v>
      </c>
    </row>
    <row r="38" spans="1:19" s="28" customFormat="1" x14ac:dyDescent="0.2">
      <c r="A38" s="27"/>
      <c r="B38" s="28" t="str">
        <f>[8]Sheet1!U10</f>
        <v xml:space="preserve"> 60-69</v>
      </c>
      <c r="C38" s="29">
        <f>[8]Sheet1!V10</f>
        <v>0</v>
      </c>
      <c r="E38" s="27"/>
      <c r="F38" s="28" t="str">
        <f>[8]Sheet1!Z10</f>
        <v xml:space="preserve"> 60-69</v>
      </c>
      <c r="G38" s="98">
        <f>[8]Sheet1!AA10</f>
        <v>299</v>
      </c>
      <c r="I38" s="27"/>
      <c r="J38" s="28" t="str">
        <f>[8]Sheet1!AE10</f>
        <v xml:space="preserve"> 60-69</v>
      </c>
      <c r="K38" s="98">
        <f>[8]Sheet1!AF10</f>
        <v>0</v>
      </c>
      <c r="M38" s="27">
        <f>[8]Sheet1!AI10</f>
        <v>0</v>
      </c>
      <c r="N38" s="28" t="str">
        <f>[8]Sheet1!AJ10</f>
        <v xml:space="preserve"> 60-69</v>
      </c>
      <c r="O38" s="98">
        <f>[8]Sheet1!AK10</f>
        <v>37</v>
      </c>
      <c r="Q38" s="27"/>
      <c r="R38" s="28" t="str">
        <f>[8]Sheet1!BN10</f>
        <v xml:space="preserve"> 60-69</v>
      </c>
      <c r="S38" s="231">
        <f>[8]Sheet1!BO10</f>
        <v>808</v>
      </c>
    </row>
    <row r="39" spans="1:19" s="28" customFormat="1" x14ac:dyDescent="0.2">
      <c r="A39" s="27"/>
      <c r="B39" s="28" t="str">
        <f>[8]Sheet1!U11</f>
        <v xml:space="preserve"> 70-79</v>
      </c>
      <c r="C39" s="29">
        <f>[8]Sheet1!V11</f>
        <v>0</v>
      </c>
      <c r="E39" s="27"/>
      <c r="F39" s="28" t="str">
        <f>[8]Sheet1!Z11</f>
        <v xml:space="preserve"> 70-79</v>
      </c>
      <c r="G39" s="98">
        <f>[8]Sheet1!AA11</f>
        <v>162.63253458498025</v>
      </c>
      <c r="I39" s="27"/>
      <c r="J39" s="28" t="str">
        <f>[8]Sheet1!AE11</f>
        <v xml:space="preserve"> 70-79</v>
      </c>
      <c r="K39" s="98">
        <f>[8]Sheet1!AF11</f>
        <v>1</v>
      </c>
      <c r="M39" s="27">
        <f>[8]Sheet1!AI11</f>
        <v>0</v>
      </c>
      <c r="N39" s="28" t="str">
        <f>[8]Sheet1!AJ11</f>
        <v xml:space="preserve"> 70-79</v>
      </c>
      <c r="O39" s="98">
        <f>[8]Sheet1!AK11</f>
        <v>17</v>
      </c>
      <c r="Q39" s="27"/>
      <c r="R39" s="28" t="str">
        <f>[8]Sheet1!BN11</f>
        <v xml:space="preserve"> 70-79</v>
      </c>
      <c r="S39" s="231">
        <f>[8]Sheet1!BO11</f>
        <v>403.77309782608694</v>
      </c>
    </row>
    <row r="40" spans="1:19" s="28" customFormat="1" x14ac:dyDescent="0.2">
      <c r="A40" s="27"/>
      <c r="B40" s="28" t="str">
        <f>[8]Sheet1!U12</f>
        <v xml:space="preserve"> 80+</v>
      </c>
      <c r="C40" s="29">
        <f>[8]Sheet1!V12</f>
        <v>0</v>
      </c>
      <c r="E40" s="27"/>
      <c r="F40" s="28" t="str">
        <f>[8]Sheet1!Z12</f>
        <v xml:space="preserve"> 80+</v>
      </c>
      <c r="G40" s="98">
        <f>[8]Sheet1!AA12</f>
        <v>64.290432157010756</v>
      </c>
      <c r="I40" s="27"/>
      <c r="J40" s="28" t="str">
        <f>[8]Sheet1!AE12</f>
        <v xml:space="preserve"> 80+</v>
      </c>
      <c r="K40" s="98">
        <f>[8]Sheet1!AF12</f>
        <v>1</v>
      </c>
      <c r="M40" s="27">
        <f>[8]Sheet1!AI12</f>
        <v>0</v>
      </c>
      <c r="N40" s="28" t="str">
        <f>[8]Sheet1!AJ12</f>
        <v xml:space="preserve"> 80+</v>
      </c>
      <c r="O40" s="98">
        <f>[8]Sheet1!AK12</f>
        <v>2</v>
      </c>
      <c r="Q40" s="27"/>
      <c r="R40" s="28" t="str">
        <f>[8]Sheet1!BN12</f>
        <v xml:space="preserve"> 80+</v>
      </c>
      <c r="S40" s="231">
        <f>[8]Sheet1!BO12</f>
        <v>126</v>
      </c>
    </row>
    <row r="41" spans="1:19" s="28" customFormat="1" x14ac:dyDescent="0.2">
      <c r="A41" s="27"/>
      <c r="B41" s="28" t="str">
        <f>[8]Sheet1!U13</f>
        <v>all ages</v>
      </c>
      <c r="C41" s="29">
        <f>[8]Sheet1!V13</f>
        <v>1</v>
      </c>
      <c r="E41" s="27"/>
      <c r="F41" s="28" t="str">
        <f>[8]Sheet1!Z13</f>
        <v>all ages</v>
      </c>
      <c r="G41" s="98">
        <f>[8]Sheet1!AA13</f>
        <v>941.44220419456053</v>
      </c>
      <c r="I41" s="27"/>
      <c r="J41" s="28" t="str">
        <f>[8]Sheet1!AE13</f>
        <v>all ages</v>
      </c>
      <c r="K41" s="98">
        <f>[8]Sheet1!AF13</f>
        <v>5</v>
      </c>
      <c r="M41" s="27">
        <f>[8]Sheet1!AI13</f>
        <v>0</v>
      </c>
      <c r="N41" s="28" t="str">
        <f>[8]Sheet1!AJ13</f>
        <v>all ages</v>
      </c>
      <c r="O41" s="98">
        <f>[8]Sheet1!AK13</f>
        <v>137.52995783984051</v>
      </c>
      <c r="Q41" s="27"/>
      <c r="R41" s="28" t="str">
        <f>[8]Sheet1!BN13</f>
        <v>all ages</v>
      </c>
      <c r="S41" s="231">
        <f>[8]Sheet1!BO13</f>
        <v>2556.5166296333646</v>
      </c>
    </row>
    <row r="42" spans="1:19" s="28" customFormat="1" x14ac:dyDescent="0.2">
      <c r="A42" s="48" t="str">
        <f>[8]Sheet1!T14</f>
        <v>Females</v>
      </c>
      <c r="B42" s="28" t="str">
        <f>[8]Sheet1!U14</f>
        <v xml:space="preserve">  0 - 4</v>
      </c>
      <c r="C42" s="29">
        <f>[8]Sheet1!V14</f>
        <v>0</v>
      </c>
      <c r="E42" s="48" t="str">
        <f>[8]Sheet1!Y14</f>
        <v>Females</v>
      </c>
      <c r="F42" s="28" t="str">
        <f>[8]Sheet1!Z14</f>
        <v xml:space="preserve">  0 - 4</v>
      </c>
      <c r="G42" s="98">
        <f>[8]Sheet1!AA14</f>
        <v>0</v>
      </c>
      <c r="I42" s="48" t="str">
        <f>[8]Sheet1!AD14</f>
        <v>Females</v>
      </c>
      <c r="J42" s="28" t="str">
        <f>[8]Sheet1!AE14</f>
        <v xml:space="preserve">  0 - 4</v>
      </c>
      <c r="K42" s="98">
        <f>[8]Sheet1!AF14</f>
        <v>0</v>
      </c>
      <c r="M42" s="48" t="str">
        <f>[8]Sheet1!AI14</f>
        <v>Females</v>
      </c>
      <c r="N42" s="28" t="str">
        <f>[8]Sheet1!AJ14</f>
        <v xml:space="preserve">  0 - 4</v>
      </c>
      <c r="O42" s="98">
        <f>[8]Sheet1!AK14</f>
        <v>0</v>
      </c>
      <c r="Q42" s="48" t="str">
        <f>[8]Sheet1!BM14</f>
        <v>Females</v>
      </c>
      <c r="R42" s="28" t="str">
        <f>[8]Sheet1!BN14</f>
        <v xml:space="preserve">  0 - 4</v>
      </c>
      <c r="S42" s="231">
        <f>[8]Sheet1!BO14</f>
        <v>0</v>
      </c>
    </row>
    <row r="43" spans="1:19" s="28" customFormat="1" x14ac:dyDescent="0.2">
      <c r="A43" s="48"/>
      <c r="B43" s="28" t="str">
        <f>[8]Sheet1!U15</f>
        <v xml:space="preserve"> 5-14</v>
      </c>
      <c r="C43" s="29">
        <f>[8]Sheet1!V15</f>
        <v>0</v>
      </c>
      <c r="E43" s="48"/>
      <c r="F43" s="28" t="str">
        <f>[8]Sheet1!Z15</f>
        <v xml:space="preserve"> 5-14</v>
      </c>
      <c r="G43" s="98">
        <f>[8]Sheet1!AA15</f>
        <v>0</v>
      </c>
      <c r="I43" s="48"/>
      <c r="J43" s="28" t="str">
        <f>[8]Sheet1!AE15</f>
        <v xml:space="preserve"> 5-14</v>
      </c>
      <c r="K43" s="98">
        <f>[8]Sheet1!AF15</f>
        <v>0</v>
      </c>
      <c r="M43" s="48">
        <f>[8]Sheet1!AI15</f>
        <v>0</v>
      </c>
      <c r="N43" s="28" t="str">
        <f>[8]Sheet1!AJ15</f>
        <v xml:space="preserve"> 5-14</v>
      </c>
      <c r="O43" s="98">
        <f>[8]Sheet1!AK15</f>
        <v>0</v>
      </c>
      <c r="Q43" s="27"/>
      <c r="R43" s="28" t="str">
        <f>[8]Sheet1!BN15</f>
        <v xml:space="preserve"> 5-14</v>
      </c>
      <c r="S43" s="231">
        <f>[8]Sheet1!BO15</f>
        <v>0</v>
      </c>
    </row>
    <row r="44" spans="1:19" s="28" customFormat="1" x14ac:dyDescent="0.2">
      <c r="A44" s="27"/>
      <c r="B44" s="28" t="str">
        <f>[8]Sheet1!U16</f>
        <v xml:space="preserve"> 15-29</v>
      </c>
      <c r="C44" s="29">
        <f>[8]Sheet1!V16</f>
        <v>0</v>
      </c>
      <c r="E44" s="27"/>
      <c r="F44" s="28" t="str">
        <f>[8]Sheet1!Z16</f>
        <v xml:space="preserve"> 15-29</v>
      </c>
      <c r="G44" s="98">
        <f>[8]Sheet1!AA16</f>
        <v>0</v>
      </c>
      <c r="I44" s="27"/>
      <c r="J44" s="28" t="str">
        <f>[8]Sheet1!AE16</f>
        <v xml:space="preserve"> 15-29</v>
      </c>
      <c r="K44" s="98">
        <f>[8]Sheet1!AF16</f>
        <v>0</v>
      </c>
      <c r="M44" s="27">
        <f>[8]Sheet1!AI16</f>
        <v>0</v>
      </c>
      <c r="N44" s="28" t="str">
        <f>[8]Sheet1!AJ16</f>
        <v xml:space="preserve"> 15-29</v>
      </c>
      <c r="O44" s="98">
        <f>[8]Sheet1!AK16</f>
        <v>2</v>
      </c>
      <c r="Q44" s="27"/>
      <c r="R44" s="28" t="str">
        <f>[8]Sheet1!BN16</f>
        <v xml:space="preserve"> 15-29</v>
      </c>
      <c r="S44" s="231">
        <f>[8]Sheet1!BO16</f>
        <v>9</v>
      </c>
    </row>
    <row r="45" spans="1:19" s="28" customFormat="1" x14ac:dyDescent="0.2">
      <c r="A45" s="27"/>
      <c r="B45" s="28" t="str">
        <f>[8]Sheet1!U17</f>
        <v xml:space="preserve"> 30-44</v>
      </c>
      <c r="C45" s="29">
        <f>[8]Sheet1!V17</f>
        <v>0</v>
      </c>
      <c r="E45" s="27"/>
      <c r="F45" s="28" t="str">
        <f>[8]Sheet1!Z17</f>
        <v xml:space="preserve"> 30-44</v>
      </c>
      <c r="G45" s="98">
        <f>[8]Sheet1!AA17</f>
        <v>66.72571220260113</v>
      </c>
      <c r="I45" s="27"/>
      <c r="J45" s="28" t="str">
        <f>[8]Sheet1!AE17</f>
        <v xml:space="preserve"> 30-44</v>
      </c>
      <c r="K45" s="98">
        <f>[8]Sheet1!AF17</f>
        <v>0</v>
      </c>
      <c r="M45" s="27">
        <f>[8]Sheet1!AI17</f>
        <v>0</v>
      </c>
      <c r="N45" s="28" t="str">
        <f>[8]Sheet1!AJ17</f>
        <v xml:space="preserve"> 30-44</v>
      </c>
      <c r="O45" s="98">
        <f>[8]Sheet1!AK17</f>
        <v>9.1451424405202264</v>
      </c>
      <c r="Q45" s="27"/>
      <c r="R45" s="28" t="str">
        <f>[8]Sheet1!BN17</f>
        <v xml:space="preserve"> 30-44</v>
      </c>
      <c r="S45" s="231">
        <f>[8]Sheet1!BO17</f>
        <v>225.19313369144498</v>
      </c>
    </row>
    <row r="46" spans="1:19" s="28" customFormat="1" x14ac:dyDescent="0.2">
      <c r="A46" s="27"/>
      <c r="B46" s="28" t="str">
        <f>[8]Sheet1!U18</f>
        <v xml:space="preserve"> 45-59</v>
      </c>
      <c r="C46" s="29">
        <f>[8]Sheet1!V18</f>
        <v>0</v>
      </c>
      <c r="E46" s="27"/>
      <c r="F46" s="28" t="str">
        <f>[8]Sheet1!Z18</f>
        <v xml:space="preserve"> 45-59</v>
      </c>
      <c r="G46" s="98">
        <f>[8]Sheet1!AA18</f>
        <v>317.30869428961745</v>
      </c>
      <c r="I46" s="27"/>
      <c r="J46" s="28" t="str">
        <f>[8]Sheet1!AE18</f>
        <v xml:space="preserve"> 45-59</v>
      </c>
      <c r="K46" s="98">
        <f>[8]Sheet1!AF18</f>
        <v>3.0106485963213938</v>
      </c>
      <c r="M46" s="27">
        <f>[8]Sheet1!AI18</f>
        <v>0</v>
      </c>
      <c r="N46" s="28" t="str">
        <f>[8]Sheet1!AJ18</f>
        <v xml:space="preserve"> 45-59</v>
      </c>
      <c r="O46" s="98">
        <f>[8]Sheet1!AK18</f>
        <v>51.082914884707243</v>
      </c>
      <c r="Q46" s="27"/>
      <c r="R46" s="28" t="str">
        <f>[8]Sheet1!BN18</f>
        <v xml:space="preserve"> 45-59</v>
      </c>
      <c r="S46" s="231">
        <f>[8]Sheet1!BO18</f>
        <v>910.21573663788399</v>
      </c>
    </row>
    <row r="47" spans="1:19" s="28" customFormat="1" x14ac:dyDescent="0.2">
      <c r="A47" s="27"/>
      <c r="B47" s="28" t="str">
        <f>[8]Sheet1!U19</f>
        <v xml:space="preserve"> 60-69</v>
      </c>
      <c r="C47" s="29">
        <f>[8]Sheet1!V19</f>
        <v>1</v>
      </c>
      <c r="E47" s="27"/>
      <c r="F47" s="28" t="str">
        <f>[8]Sheet1!Z19</f>
        <v xml:space="preserve"> 60-69</v>
      </c>
      <c r="G47" s="98">
        <f>[8]Sheet1!AA19</f>
        <v>245</v>
      </c>
      <c r="I47" s="27"/>
      <c r="J47" s="28" t="str">
        <f>[8]Sheet1!AE19</f>
        <v xml:space="preserve"> 60-69</v>
      </c>
      <c r="K47" s="98">
        <f>[8]Sheet1!AF19</f>
        <v>1</v>
      </c>
      <c r="M47" s="27">
        <f>[8]Sheet1!AI19</f>
        <v>0</v>
      </c>
      <c r="N47" s="28" t="str">
        <f>[8]Sheet1!AJ19</f>
        <v xml:space="preserve"> 60-69</v>
      </c>
      <c r="O47" s="98">
        <f>[8]Sheet1!AK19</f>
        <v>54</v>
      </c>
      <c r="Q47" s="27"/>
      <c r="R47" s="28" t="str">
        <f>[8]Sheet1!BN19</f>
        <v xml:space="preserve"> 60-69</v>
      </c>
      <c r="S47" s="231">
        <f>[8]Sheet1!BO19</f>
        <v>811</v>
      </c>
    </row>
    <row r="48" spans="1:19" s="28" customFormat="1" x14ac:dyDescent="0.2">
      <c r="A48" s="27"/>
      <c r="B48" s="28" t="str">
        <f>[8]Sheet1!U20</f>
        <v xml:space="preserve"> 70-79</v>
      </c>
      <c r="C48" s="29">
        <f>[8]Sheet1!V20</f>
        <v>0</v>
      </c>
      <c r="E48" s="27"/>
      <c r="F48" s="28" t="str">
        <f>[8]Sheet1!Z20</f>
        <v xml:space="preserve"> 70-79</v>
      </c>
      <c r="G48" s="98">
        <f>[8]Sheet1!AA20</f>
        <v>203</v>
      </c>
      <c r="I48" s="27"/>
      <c r="J48" s="28" t="str">
        <f>[8]Sheet1!AE20</f>
        <v xml:space="preserve"> 70-79</v>
      </c>
      <c r="K48" s="98">
        <f>[8]Sheet1!AF20</f>
        <v>3</v>
      </c>
      <c r="M48" s="27">
        <f>[8]Sheet1!AI20</f>
        <v>0</v>
      </c>
      <c r="N48" s="28" t="str">
        <f>[8]Sheet1!AJ20</f>
        <v xml:space="preserve"> 70-79</v>
      </c>
      <c r="O48" s="98">
        <f>[8]Sheet1!AK20</f>
        <v>27</v>
      </c>
      <c r="Q48" s="27"/>
      <c r="R48" s="28" t="str">
        <f>[8]Sheet1!BN20</f>
        <v xml:space="preserve"> 70-79</v>
      </c>
      <c r="S48" s="231">
        <f>[8]Sheet1!BO20</f>
        <v>492</v>
      </c>
    </row>
    <row r="49" spans="1:19" s="28" customFormat="1" x14ac:dyDescent="0.2">
      <c r="A49" s="27"/>
      <c r="B49" s="28" t="str">
        <f>[8]Sheet1!U21</f>
        <v xml:space="preserve"> 80+</v>
      </c>
      <c r="C49" s="29">
        <f>[8]Sheet1!V21</f>
        <v>0</v>
      </c>
      <c r="E49" s="27"/>
      <c r="F49" s="28" t="str">
        <f>[8]Sheet1!Z21</f>
        <v xml:space="preserve"> 80+</v>
      </c>
      <c r="G49" s="98">
        <f>[8]Sheet1!AA21</f>
        <v>86.033210332103323</v>
      </c>
      <c r="I49" s="27"/>
      <c r="J49" s="28" t="str">
        <f>[8]Sheet1!AE21</f>
        <v xml:space="preserve"> 80+</v>
      </c>
      <c r="K49" s="98">
        <f>[8]Sheet1!AF21</f>
        <v>0</v>
      </c>
      <c r="M49" s="27">
        <f>[8]Sheet1!AI21</f>
        <v>0</v>
      </c>
      <c r="N49" s="28" t="str">
        <f>[8]Sheet1!AJ21</f>
        <v xml:space="preserve"> 80+</v>
      </c>
      <c r="O49" s="98">
        <f>[8]Sheet1!AK21</f>
        <v>9</v>
      </c>
      <c r="Q49" s="27"/>
      <c r="R49" s="28" t="str">
        <f>[8]Sheet1!BN21</f>
        <v xml:space="preserve"> 80+</v>
      </c>
      <c r="S49" s="231">
        <f>[8]Sheet1!BO21</f>
        <v>163.34440344403444</v>
      </c>
    </row>
    <row r="50" spans="1:19" s="28" customFormat="1" x14ac:dyDescent="0.2">
      <c r="A50" s="30"/>
      <c r="B50" s="31" t="str">
        <f>[8]Sheet1!U22</f>
        <v>all ages</v>
      </c>
      <c r="C50" s="32">
        <f>[8]Sheet1!V22</f>
        <v>1</v>
      </c>
      <c r="E50" s="30"/>
      <c r="F50" s="31" t="str">
        <f>[8]Sheet1!Z22</f>
        <v>all ages</v>
      </c>
      <c r="G50" s="181">
        <f>[8]Sheet1!AA22</f>
        <v>918.06761682432182</v>
      </c>
      <c r="I50" s="30"/>
      <c r="J50" s="31" t="str">
        <f>[8]Sheet1!AE22</f>
        <v>all ages</v>
      </c>
      <c r="K50" s="181">
        <f>[8]Sheet1!AF22</f>
        <v>7.0106485963213938</v>
      </c>
      <c r="M50" s="30">
        <f>[8]Sheet1!AI22</f>
        <v>0</v>
      </c>
      <c r="N50" s="31" t="str">
        <f>[8]Sheet1!AJ22</f>
        <v>all ages</v>
      </c>
      <c r="O50" s="181">
        <f>[8]Sheet1!AK22</f>
        <v>152.22805732522747</v>
      </c>
      <c r="Q50" s="30"/>
      <c r="R50" s="31" t="str">
        <f>[8]Sheet1!BN22</f>
        <v>all ages</v>
      </c>
      <c r="S50" s="232">
        <f>[8]Sheet1!BO22</f>
        <v>2610.7532737733636</v>
      </c>
    </row>
    <row r="51" spans="1:19" s="28" customFormat="1" x14ac:dyDescent="0.2">
      <c r="G51" s="46"/>
      <c r="K51" s="46"/>
      <c r="O51" s="46"/>
    </row>
    <row r="54" spans="1:19" x14ac:dyDescent="0.2">
      <c r="A54" s="23" t="s">
        <v>227</v>
      </c>
    </row>
    <row r="56" spans="1:19" x14ac:dyDescent="0.2">
      <c r="A56" s="221" t="s">
        <v>228</v>
      </c>
      <c r="E56" s="221" t="s">
        <v>229</v>
      </c>
      <c r="F56" s="22"/>
      <c r="G56" s="22"/>
      <c r="I56" s="221" t="s">
        <v>230</v>
      </c>
      <c r="J56" s="22"/>
      <c r="K56" s="22"/>
      <c r="L56" s="22"/>
      <c r="M56" s="221" t="s">
        <v>231</v>
      </c>
      <c r="N56" s="22"/>
      <c r="O56" s="22"/>
    </row>
    <row r="57" spans="1:19" s="22" customFormat="1" x14ac:dyDescent="0.2"/>
    <row r="58" spans="1:19" x14ac:dyDescent="0.2">
      <c r="A58" s="44" t="str">
        <f t="shared" ref="A58:C76" si="0">A32</f>
        <v>Sex</v>
      </c>
      <c r="B58" s="223" t="str">
        <f t="shared" si="0"/>
        <v>Age</v>
      </c>
      <c r="C58" s="224" t="str">
        <f t="shared" si="0"/>
        <v>Number</v>
      </c>
      <c r="D58" s="28"/>
      <c r="E58" s="44" t="s">
        <v>23</v>
      </c>
      <c r="F58" s="223" t="str">
        <f t="shared" ref="F58:G58" si="1">F32</f>
        <v>Age</v>
      </c>
      <c r="G58" s="224" t="str">
        <f t="shared" si="1"/>
        <v>Number</v>
      </c>
      <c r="H58" s="28"/>
      <c r="I58" s="44" t="str">
        <f t="shared" ref="I58:K58" si="2">I32</f>
        <v>Sex</v>
      </c>
      <c r="J58" s="223" t="str">
        <f t="shared" si="2"/>
        <v>Age</v>
      </c>
      <c r="K58" s="224" t="str">
        <f t="shared" si="2"/>
        <v>Number</v>
      </c>
      <c r="L58" s="28"/>
      <c r="M58" s="44" t="s">
        <v>23</v>
      </c>
      <c r="N58" s="223" t="str">
        <f t="shared" ref="N58:O58" si="3">N32</f>
        <v>Age</v>
      </c>
      <c r="O58" s="224" t="str">
        <f t="shared" si="3"/>
        <v>Number</v>
      </c>
    </row>
    <row r="59" spans="1:19" x14ac:dyDescent="0.2">
      <c r="A59" s="48" t="str">
        <f t="shared" si="0"/>
        <v>Males</v>
      </c>
      <c r="B59" s="28" t="str">
        <f t="shared" si="0"/>
        <v xml:space="preserve">  0 - 4</v>
      </c>
      <c r="C59" s="98">
        <f t="shared" ref="C59:C76" si="4">S7</f>
        <v>0</v>
      </c>
      <c r="D59" s="28"/>
      <c r="E59" s="48" t="str">
        <f t="shared" ref="E59:F59" si="5">E33</f>
        <v>Males</v>
      </c>
      <c r="F59" s="28" t="str">
        <f t="shared" si="5"/>
        <v xml:space="preserve">  0 - 4</v>
      </c>
      <c r="G59" s="98">
        <f>C7+G7</f>
        <v>0</v>
      </c>
      <c r="H59" s="28"/>
      <c r="I59" s="48" t="str">
        <f t="shared" ref="I59:J59" si="6">I33</f>
        <v>Males</v>
      </c>
      <c r="J59" s="28" t="str">
        <f t="shared" si="6"/>
        <v xml:space="preserve">  0 - 4</v>
      </c>
      <c r="K59" s="98">
        <f t="shared" ref="K59:K76" si="7">S33</f>
        <v>0</v>
      </c>
      <c r="L59" s="28"/>
      <c r="M59" s="48" t="str">
        <f t="shared" ref="M59:N59" si="8">M33</f>
        <v>Males</v>
      </c>
      <c r="N59" s="28" t="str">
        <f t="shared" si="8"/>
        <v xml:space="preserve">  0 - 4</v>
      </c>
      <c r="O59" s="98">
        <f>C33+G33</f>
        <v>0</v>
      </c>
    </row>
    <row r="60" spans="1:19" x14ac:dyDescent="0.2">
      <c r="A60" s="27"/>
      <c r="B60" s="28" t="str">
        <f t="shared" si="0"/>
        <v xml:space="preserve"> 5-14</v>
      </c>
      <c r="C60" s="98">
        <f t="shared" si="4"/>
        <v>0</v>
      </c>
      <c r="D60" s="28"/>
      <c r="E60" s="27"/>
      <c r="F60" s="28" t="str">
        <f t="shared" ref="F60" si="9">F34</f>
        <v xml:space="preserve"> 5-14</v>
      </c>
      <c r="G60" s="98">
        <f t="shared" ref="G60:G76" si="10">C8+G8</f>
        <v>0</v>
      </c>
      <c r="H60" s="28"/>
      <c r="I60" s="27"/>
      <c r="J60" s="28" t="str">
        <f t="shared" ref="J60" si="11">J34</f>
        <v xml:space="preserve"> 5-14</v>
      </c>
      <c r="K60" s="98">
        <f t="shared" si="7"/>
        <v>0</v>
      </c>
      <c r="L60" s="28"/>
      <c r="M60" s="27"/>
      <c r="N60" s="28" t="str">
        <f t="shared" ref="N60" si="12">N34</f>
        <v xml:space="preserve"> 5-14</v>
      </c>
      <c r="O60" s="98">
        <f t="shared" ref="O60:O76" si="13">C34+G34</f>
        <v>0</v>
      </c>
    </row>
    <row r="61" spans="1:19" x14ac:dyDescent="0.2">
      <c r="A61" s="27"/>
      <c r="B61" s="28" t="str">
        <f t="shared" si="0"/>
        <v xml:space="preserve"> 15-29</v>
      </c>
      <c r="C61" s="98">
        <f t="shared" si="4"/>
        <v>4</v>
      </c>
      <c r="D61" s="28"/>
      <c r="E61" s="27"/>
      <c r="F61" s="28" t="str">
        <f t="shared" ref="F61" si="14">F35</f>
        <v xml:space="preserve"> 15-29</v>
      </c>
      <c r="G61" s="98">
        <f t="shared" si="10"/>
        <v>3</v>
      </c>
      <c r="H61" s="28"/>
      <c r="I61" s="27"/>
      <c r="J61" s="28" t="str">
        <f t="shared" ref="J61" si="15">J35</f>
        <v xml:space="preserve"> 15-29</v>
      </c>
      <c r="K61" s="98">
        <f t="shared" si="7"/>
        <v>9</v>
      </c>
      <c r="L61" s="28"/>
      <c r="M61" s="27"/>
      <c r="N61" s="28" t="str">
        <f t="shared" ref="N61" si="16">N35</f>
        <v xml:space="preserve"> 15-29</v>
      </c>
      <c r="O61" s="98">
        <f t="shared" si="13"/>
        <v>3</v>
      </c>
    </row>
    <row r="62" spans="1:19" x14ac:dyDescent="0.2">
      <c r="A62" s="27"/>
      <c r="B62" s="28" t="str">
        <f t="shared" si="0"/>
        <v xml:space="preserve"> 30-44</v>
      </c>
      <c r="C62" s="98">
        <f t="shared" si="4"/>
        <v>7.1029178951649214</v>
      </c>
      <c r="D62" s="28"/>
      <c r="E62" s="27"/>
      <c r="F62" s="28" t="str">
        <f t="shared" ref="F62" si="17">F36</f>
        <v xml:space="preserve"> 30-44</v>
      </c>
      <c r="G62" s="98">
        <f t="shared" si="10"/>
        <v>7.3241220495106507</v>
      </c>
      <c r="H62" s="28"/>
      <c r="I62" s="27"/>
      <c r="J62" s="28" t="str">
        <f t="shared" ref="J62" si="18">J36</f>
        <v xml:space="preserve"> 30-44</v>
      </c>
      <c r="K62" s="98">
        <f t="shared" si="7"/>
        <v>220.74353180727755</v>
      </c>
      <c r="L62" s="28"/>
      <c r="M62" s="27"/>
      <c r="N62" s="28" t="str">
        <f t="shared" ref="N62" si="19">N36</f>
        <v xml:space="preserve"> 30-44</v>
      </c>
      <c r="O62" s="98">
        <f t="shared" si="13"/>
        <v>76.519237452569499</v>
      </c>
    </row>
    <row r="63" spans="1:19" x14ac:dyDescent="0.2">
      <c r="A63" s="27"/>
      <c r="B63" s="28" t="str">
        <f t="shared" si="0"/>
        <v xml:space="preserve"> 45-59</v>
      </c>
      <c r="C63" s="98">
        <f t="shared" si="4"/>
        <v>5</v>
      </c>
      <c r="D63" s="28"/>
      <c r="E63" s="27"/>
      <c r="F63" s="28" t="str">
        <f t="shared" ref="F63" si="20">F37</f>
        <v xml:space="preserve"> 45-59</v>
      </c>
      <c r="G63" s="98">
        <f t="shared" si="10"/>
        <v>2</v>
      </c>
      <c r="H63" s="28"/>
      <c r="I63" s="27"/>
      <c r="J63" s="28" t="str">
        <f t="shared" ref="J63" si="21">J37</f>
        <v xml:space="preserve"> 45-59</v>
      </c>
      <c r="K63" s="98">
        <f t="shared" si="7"/>
        <v>989</v>
      </c>
      <c r="L63" s="28"/>
      <c r="M63" s="27"/>
      <c r="N63" s="28" t="str">
        <f t="shared" ref="N63" si="22">N37</f>
        <v xml:space="preserve"> 45-59</v>
      </c>
      <c r="O63" s="98">
        <f t="shared" si="13"/>
        <v>337</v>
      </c>
    </row>
    <row r="64" spans="1:19" x14ac:dyDescent="0.2">
      <c r="A64" s="27"/>
      <c r="B64" s="28" t="str">
        <f t="shared" si="0"/>
        <v xml:space="preserve"> 60-69</v>
      </c>
      <c r="C64" s="98">
        <f t="shared" si="4"/>
        <v>5</v>
      </c>
      <c r="D64" s="28"/>
      <c r="E64" s="27"/>
      <c r="F64" s="28" t="str">
        <f t="shared" ref="F64" si="23">F38</f>
        <v xml:space="preserve"> 60-69</v>
      </c>
      <c r="G64" s="98">
        <f t="shared" si="10"/>
        <v>2</v>
      </c>
      <c r="H64" s="28"/>
      <c r="I64" s="27"/>
      <c r="J64" s="28" t="str">
        <f t="shared" ref="J64" si="24">J38</f>
        <v xml:space="preserve"> 60-69</v>
      </c>
      <c r="K64" s="98">
        <f t="shared" si="7"/>
        <v>808</v>
      </c>
      <c r="L64" s="28"/>
      <c r="M64" s="27"/>
      <c r="N64" s="28" t="str">
        <f t="shared" ref="N64" si="25">N38</f>
        <v xml:space="preserve"> 60-69</v>
      </c>
      <c r="O64" s="98">
        <f t="shared" si="13"/>
        <v>299</v>
      </c>
    </row>
    <row r="65" spans="1:17" x14ac:dyDescent="0.2">
      <c r="A65" s="27"/>
      <c r="B65" s="28" t="str">
        <f t="shared" si="0"/>
        <v xml:space="preserve"> 70-79</v>
      </c>
      <c r="C65" s="98">
        <f t="shared" si="4"/>
        <v>2</v>
      </c>
      <c r="D65" s="28"/>
      <c r="E65" s="27"/>
      <c r="F65" s="28" t="str">
        <f t="shared" ref="F65" si="26">F39</f>
        <v xml:space="preserve"> 70-79</v>
      </c>
      <c r="G65" s="98">
        <f t="shared" si="10"/>
        <v>2</v>
      </c>
      <c r="H65" s="28"/>
      <c r="I65" s="27"/>
      <c r="J65" s="28" t="str">
        <f t="shared" ref="J65" si="27">J39</f>
        <v xml:space="preserve"> 70-79</v>
      </c>
      <c r="K65" s="98">
        <f t="shared" si="7"/>
        <v>403.77309782608694</v>
      </c>
      <c r="L65" s="28"/>
      <c r="M65" s="27"/>
      <c r="N65" s="28" t="str">
        <f t="shared" ref="N65" si="28">N39</f>
        <v xml:space="preserve"> 70-79</v>
      </c>
      <c r="O65" s="98">
        <f t="shared" si="13"/>
        <v>162.63253458498025</v>
      </c>
    </row>
    <row r="66" spans="1:17" x14ac:dyDescent="0.2">
      <c r="A66" s="27"/>
      <c r="B66" s="28" t="str">
        <f t="shared" si="0"/>
        <v xml:space="preserve"> 80+</v>
      </c>
      <c r="C66" s="98">
        <f t="shared" si="4"/>
        <v>0</v>
      </c>
      <c r="D66" s="28"/>
      <c r="E66" s="27"/>
      <c r="F66" s="28" t="str">
        <f t="shared" ref="F66" si="29">F40</f>
        <v xml:space="preserve"> 80+</v>
      </c>
      <c r="G66" s="98">
        <f t="shared" si="10"/>
        <v>14.096810719003585</v>
      </c>
      <c r="H66" s="28"/>
      <c r="I66" s="27"/>
      <c r="J66" s="28" t="str">
        <f t="shared" ref="J66" si="30">J40</f>
        <v xml:space="preserve"> 80+</v>
      </c>
      <c r="K66" s="98">
        <f t="shared" si="7"/>
        <v>126</v>
      </c>
      <c r="L66" s="28"/>
      <c r="M66" s="27"/>
      <c r="N66" s="28" t="str">
        <f t="shared" ref="N66" si="31">N40</f>
        <v xml:space="preserve"> 80+</v>
      </c>
      <c r="O66" s="98">
        <f t="shared" si="13"/>
        <v>64.290432157010756</v>
      </c>
    </row>
    <row r="67" spans="1:17" x14ac:dyDescent="0.2">
      <c r="A67" s="27"/>
      <c r="B67" s="28" t="str">
        <f t="shared" si="0"/>
        <v>all ages</v>
      </c>
      <c r="C67" s="98">
        <f t="shared" si="4"/>
        <v>23.102917895164921</v>
      </c>
      <c r="D67" s="28"/>
      <c r="E67" s="27"/>
      <c r="F67" s="28" t="str">
        <f t="shared" ref="F67" si="32">F41</f>
        <v>all ages</v>
      </c>
      <c r="G67" s="98">
        <f t="shared" si="10"/>
        <v>30.420932768514234</v>
      </c>
      <c r="H67" s="28"/>
      <c r="I67" s="27"/>
      <c r="J67" s="28" t="str">
        <f t="shared" ref="J67" si="33">J41</f>
        <v>all ages</v>
      </c>
      <c r="K67" s="98">
        <f t="shared" si="7"/>
        <v>2556.5166296333646</v>
      </c>
      <c r="L67" s="28"/>
      <c r="M67" s="27"/>
      <c r="N67" s="28" t="str">
        <f t="shared" ref="N67" si="34">N41</f>
        <v>all ages</v>
      </c>
      <c r="O67" s="98">
        <f t="shared" si="13"/>
        <v>942.44220419456053</v>
      </c>
      <c r="P67" s="196"/>
    </row>
    <row r="68" spans="1:17" x14ac:dyDescent="0.2">
      <c r="A68" s="27" t="str">
        <f t="shared" si="0"/>
        <v>Females</v>
      </c>
      <c r="B68" s="28" t="str">
        <f t="shared" si="0"/>
        <v xml:space="preserve">  0 - 4</v>
      </c>
      <c r="C68" s="98">
        <f t="shared" si="4"/>
        <v>0</v>
      </c>
      <c r="D68" s="28"/>
      <c r="E68" s="27" t="str">
        <f t="shared" ref="E68:F68" si="35">E42</f>
        <v>Females</v>
      </c>
      <c r="F68" s="28" t="str">
        <f t="shared" si="35"/>
        <v xml:space="preserve">  0 - 4</v>
      </c>
      <c r="G68" s="98">
        <f t="shared" si="10"/>
        <v>0</v>
      </c>
      <c r="H68" s="28"/>
      <c r="I68" s="27" t="str">
        <f t="shared" ref="I68:J68" si="36">I42</f>
        <v>Females</v>
      </c>
      <c r="J68" s="28" t="str">
        <f t="shared" si="36"/>
        <v xml:space="preserve">  0 - 4</v>
      </c>
      <c r="K68" s="98">
        <f t="shared" si="7"/>
        <v>0</v>
      </c>
      <c r="L68" s="28"/>
      <c r="M68" s="27" t="str">
        <f t="shared" ref="M68:N68" si="37">M42</f>
        <v>Females</v>
      </c>
      <c r="N68" s="28" t="str">
        <f t="shared" si="37"/>
        <v xml:space="preserve">  0 - 4</v>
      </c>
      <c r="O68" s="98">
        <f t="shared" si="13"/>
        <v>0</v>
      </c>
    </row>
    <row r="69" spans="1:17" x14ac:dyDescent="0.2">
      <c r="A69" s="48"/>
      <c r="B69" s="28" t="str">
        <f t="shared" si="0"/>
        <v xml:space="preserve"> 5-14</v>
      </c>
      <c r="C69" s="98">
        <f t="shared" si="4"/>
        <v>0</v>
      </c>
      <c r="D69" s="28"/>
      <c r="E69" s="48"/>
      <c r="F69" s="28" t="str">
        <f t="shared" ref="F69" si="38">F43</f>
        <v xml:space="preserve"> 5-14</v>
      </c>
      <c r="G69" s="98">
        <f t="shared" si="10"/>
        <v>0</v>
      </c>
      <c r="H69" s="28"/>
      <c r="I69" s="48"/>
      <c r="J69" s="28" t="str">
        <f t="shared" ref="J69" si="39">J43</f>
        <v xml:space="preserve"> 5-14</v>
      </c>
      <c r="K69" s="98">
        <f t="shared" si="7"/>
        <v>0</v>
      </c>
      <c r="L69" s="28"/>
      <c r="M69" s="48"/>
      <c r="N69" s="28" t="str">
        <f t="shared" ref="N69" si="40">N43</f>
        <v xml:space="preserve"> 5-14</v>
      </c>
      <c r="O69" s="98">
        <f t="shared" si="13"/>
        <v>0</v>
      </c>
      <c r="Q69" s="22" t="s">
        <v>23</v>
      </c>
    </row>
    <row r="70" spans="1:17" x14ac:dyDescent="0.2">
      <c r="A70" s="27"/>
      <c r="B70" s="28" t="str">
        <f t="shared" si="0"/>
        <v xml:space="preserve"> 15-29</v>
      </c>
      <c r="C70" s="98">
        <f t="shared" si="4"/>
        <v>5</v>
      </c>
      <c r="D70" s="28"/>
      <c r="E70" s="27"/>
      <c r="F70" s="28" t="str">
        <f t="shared" ref="F70" si="41">F44</f>
        <v xml:space="preserve"> 15-29</v>
      </c>
      <c r="G70" s="98">
        <f t="shared" si="10"/>
        <v>0</v>
      </c>
      <c r="H70" s="28"/>
      <c r="I70" s="27"/>
      <c r="J70" s="28" t="str">
        <f t="shared" ref="J70" si="42">J44</f>
        <v xml:space="preserve"> 15-29</v>
      </c>
      <c r="K70" s="98">
        <f t="shared" si="7"/>
        <v>9</v>
      </c>
      <c r="L70" s="28"/>
      <c r="M70" s="27"/>
      <c r="N70" s="28" t="str">
        <f t="shared" ref="N70" si="43">N44</f>
        <v xml:space="preserve"> 15-29</v>
      </c>
      <c r="O70" s="98">
        <f t="shared" si="13"/>
        <v>0</v>
      </c>
    </row>
    <row r="71" spans="1:17" x14ac:dyDescent="0.2">
      <c r="A71" s="27"/>
      <c r="B71" s="28" t="str">
        <f t="shared" si="0"/>
        <v xml:space="preserve"> 30-44</v>
      </c>
      <c r="C71" s="98">
        <f t="shared" si="4"/>
        <v>15.290284881040453</v>
      </c>
      <c r="D71" s="28"/>
      <c r="E71" s="27"/>
      <c r="F71" s="28" t="str">
        <f t="shared" ref="F71" si="44">F45</f>
        <v xml:space="preserve"> 30-44</v>
      </c>
      <c r="G71" s="98">
        <f t="shared" si="10"/>
        <v>1</v>
      </c>
      <c r="H71" s="28"/>
      <c r="I71" s="27"/>
      <c r="J71" s="28" t="str">
        <f t="shared" ref="J71" si="45">J45</f>
        <v xml:space="preserve"> 30-44</v>
      </c>
      <c r="K71" s="98">
        <f t="shared" si="7"/>
        <v>225.19313369144498</v>
      </c>
      <c r="L71" s="28"/>
      <c r="M71" s="27"/>
      <c r="N71" s="28" t="str">
        <f t="shared" ref="N71" si="46">N45</f>
        <v xml:space="preserve"> 30-44</v>
      </c>
      <c r="O71" s="98">
        <f t="shared" si="13"/>
        <v>66.72571220260113</v>
      </c>
    </row>
    <row r="72" spans="1:17" x14ac:dyDescent="0.2">
      <c r="A72" s="27"/>
      <c r="B72" s="28" t="str">
        <f t="shared" si="0"/>
        <v xml:space="preserve"> 45-59</v>
      </c>
      <c r="C72" s="98">
        <f t="shared" si="4"/>
        <v>5.0212971926427876</v>
      </c>
      <c r="D72" s="28"/>
      <c r="E72" s="27"/>
      <c r="F72" s="28" t="str">
        <f t="shared" ref="F72" si="47">F46</f>
        <v xml:space="preserve"> 45-59</v>
      </c>
      <c r="G72" s="98">
        <f t="shared" si="10"/>
        <v>2</v>
      </c>
      <c r="H72" s="28"/>
      <c r="I72" s="27"/>
      <c r="J72" s="28" t="str">
        <f t="shared" ref="J72" si="48">J46</f>
        <v xml:space="preserve"> 45-59</v>
      </c>
      <c r="K72" s="98">
        <f t="shared" si="7"/>
        <v>910.21573663788399</v>
      </c>
      <c r="L72" s="28"/>
      <c r="M72" s="27"/>
      <c r="N72" s="28" t="str">
        <f t="shared" ref="N72" si="49">N46</f>
        <v xml:space="preserve"> 45-59</v>
      </c>
      <c r="O72" s="98">
        <f t="shared" si="13"/>
        <v>317.30869428961745</v>
      </c>
    </row>
    <row r="73" spans="1:17" x14ac:dyDescent="0.2">
      <c r="A73" s="27"/>
      <c r="B73" s="28" t="str">
        <f t="shared" si="0"/>
        <v xml:space="preserve"> 60-69</v>
      </c>
      <c r="C73" s="98">
        <f t="shared" si="4"/>
        <v>3</v>
      </c>
      <c r="D73" s="28"/>
      <c r="E73" s="27"/>
      <c r="F73" s="28" t="str">
        <f t="shared" ref="F73" si="50">F47</f>
        <v xml:space="preserve"> 60-69</v>
      </c>
      <c r="G73" s="98">
        <f t="shared" si="10"/>
        <v>0</v>
      </c>
      <c r="H73" s="28"/>
      <c r="I73" s="27"/>
      <c r="J73" s="28" t="str">
        <f t="shared" ref="J73" si="51">J47</f>
        <v xml:space="preserve"> 60-69</v>
      </c>
      <c r="K73" s="98">
        <f t="shared" si="7"/>
        <v>811</v>
      </c>
      <c r="L73" s="28"/>
      <c r="M73" s="27"/>
      <c r="N73" s="28" t="str">
        <f t="shared" ref="N73" si="52">N47</f>
        <v xml:space="preserve"> 60-69</v>
      </c>
      <c r="O73" s="98">
        <f t="shared" si="13"/>
        <v>246</v>
      </c>
    </row>
    <row r="74" spans="1:17" x14ac:dyDescent="0.2">
      <c r="A74" s="27"/>
      <c r="B74" s="28" t="str">
        <f t="shared" si="0"/>
        <v xml:space="preserve"> 70-79</v>
      </c>
      <c r="C74" s="98">
        <f t="shared" si="4"/>
        <v>1</v>
      </c>
      <c r="D74" s="28"/>
      <c r="E74" s="27"/>
      <c r="F74" s="28" t="str">
        <f t="shared" ref="F74" si="53">F48</f>
        <v xml:space="preserve"> 70-79</v>
      </c>
      <c r="G74" s="98">
        <f t="shared" si="10"/>
        <v>2</v>
      </c>
      <c r="H74" s="28"/>
      <c r="I74" s="27"/>
      <c r="J74" s="28" t="str">
        <f t="shared" ref="J74" si="54">J48</f>
        <v xml:space="preserve"> 70-79</v>
      </c>
      <c r="K74" s="98">
        <f t="shared" si="7"/>
        <v>492</v>
      </c>
      <c r="L74" s="28"/>
      <c r="M74" s="27"/>
      <c r="N74" s="28" t="str">
        <f t="shared" ref="N74" si="55">N48</f>
        <v xml:space="preserve"> 70-79</v>
      </c>
      <c r="O74" s="98">
        <f t="shared" si="13"/>
        <v>203</v>
      </c>
    </row>
    <row r="75" spans="1:17" x14ac:dyDescent="0.2">
      <c r="A75" s="27"/>
      <c r="B75" s="28" t="str">
        <f t="shared" si="0"/>
        <v xml:space="preserve"> 80+</v>
      </c>
      <c r="C75" s="98">
        <f t="shared" si="4"/>
        <v>1</v>
      </c>
      <c r="D75" s="28"/>
      <c r="E75" s="27"/>
      <c r="F75" s="28" t="str">
        <f t="shared" ref="F75" si="56">F49</f>
        <v xml:space="preserve"> 80+</v>
      </c>
      <c r="G75" s="98">
        <f t="shared" si="10"/>
        <v>0</v>
      </c>
      <c r="H75" s="28"/>
      <c r="I75" s="27"/>
      <c r="J75" s="28" t="str">
        <f t="shared" ref="J75" si="57">J49</f>
        <v xml:space="preserve"> 80+</v>
      </c>
      <c r="K75" s="98">
        <f t="shared" si="7"/>
        <v>163.34440344403444</v>
      </c>
      <c r="L75" s="28"/>
      <c r="M75" s="27"/>
      <c r="N75" s="28" t="str">
        <f t="shared" ref="N75" si="58">N49</f>
        <v xml:space="preserve"> 80+</v>
      </c>
      <c r="O75" s="98">
        <f t="shared" si="13"/>
        <v>86.033210332103323</v>
      </c>
      <c r="Q75" s="22" t="s">
        <v>23</v>
      </c>
    </row>
    <row r="76" spans="1:17" x14ac:dyDescent="0.2">
      <c r="A76" s="27"/>
      <c r="B76" s="28" t="str">
        <f t="shared" si="0"/>
        <v>all ages</v>
      </c>
      <c r="C76" s="98">
        <f t="shared" si="4"/>
        <v>30.31158207368324</v>
      </c>
      <c r="D76" s="28"/>
      <c r="E76" s="27"/>
      <c r="F76" s="28" t="str">
        <f t="shared" ref="F76" si="59">F50</f>
        <v>all ages</v>
      </c>
      <c r="G76" s="98">
        <f t="shared" si="10"/>
        <v>5</v>
      </c>
      <c r="H76" s="28"/>
      <c r="I76" s="27"/>
      <c r="J76" s="28" t="str">
        <f t="shared" ref="J76" si="60">J50</f>
        <v>all ages</v>
      </c>
      <c r="K76" s="98">
        <f t="shared" si="7"/>
        <v>2610.7532737733636</v>
      </c>
      <c r="L76" s="28"/>
      <c r="M76" s="27"/>
      <c r="N76" s="28" t="str">
        <f t="shared" ref="N76" si="61">N50</f>
        <v>all ages</v>
      </c>
      <c r="O76" s="98">
        <f t="shared" si="13"/>
        <v>919.06761682432182</v>
      </c>
    </row>
    <row r="77" spans="1:17" x14ac:dyDescent="0.2">
      <c r="A77" s="30"/>
      <c r="B77" s="31"/>
      <c r="C77" s="32"/>
      <c r="D77" s="28"/>
      <c r="E77" s="30"/>
      <c r="F77" s="31"/>
      <c r="G77" s="32"/>
      <c r="H77" s="28"/>
      <c r="I77" s="30"/>
      <c r="J77" s="31"/>
      <c r="K77" s="32"/>
      <c r="L77" s="28"/>
      <c r="M77" s="30"/>
      <c r="N77" s="31"/>
      <c r="O77" s="32"/>
      <c r="P77" s="196"/>
    </row>
    <row r="78" spans="1:17" x14ac:dyDescent="0.2">
      <c r="A78" s="28"/>
      <c r="B78" s="28"/>
      <c r="C78" s="28"/>
      <c r="D78" s="28"/>
      <c r="E78" s="28"/>
      <c r="F78" s="28"/>
      <c r="G78" s="28"/>
      <c r="H78" s="28"/>
      <c r="I78" s="28"/>
      <c r="J78" s="28"/>
      <c r="K78" s="28"/>
      <c r="L78" s="28"/>
      <c r="M78" s="28"/>
      <c r="N78" s="28"/>
      <c r="O78" s="28"/>
    </row>
    <row r="79" spans="1:17" x14ac:dyDescent="0.2">
      <c r="K79" s="22" t="s">
        <v>23</v>
      </c>
    </row>
  </sheetData>
  <pageMargins left="0.7" right="0.7" top="0.75" bottom="0.75" header="0.3" footer="0.3"/>
  <pageSetup paperSize="9" orientation="portrait" verticalDpi="0"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E186"/>
  <sheetViews>
    <sheetView topLeftCell="A76" zoomScale="80" zoomScaleNormal="80" workbookViewId="0">
      <selection activeCell="E145" sqref="E145"/>
    </sheetView>
  </sheetViews>
  <sheetFormatPr baseColWidth="10" defaultColWidth="9.1640625" defaultRowHeight="15" x14ac:dyDescent="0.2"/>
  <cols>
    <col min="1" max="1" width="17.83203125" style="22" customWidth="1"/>
    <col min="2" max="2" width="19.5" style="22" customWidth="1"/>
    <col min="3" max="3" width="12.33203125" style="22" customWidth="1"/>
    <col min="4" max="4" width="12.6640625" style="22" customWidth="1"/>
    <col min="5" max="5" width="10.6640625" style="22" customWidth="1"/>
    <col min="6" max="6" width="11.83203125" style="22" customWidth="1"/>
    <col min="7" max="7" width="14.33203125" style="22" customWidth="1"/>
    <col min="8" max="8" width="8.5" style="22" customWidth="1"/>
    <col min="9" max="10" width="9" style="22"/>
    <col min="11" max="11" width="17.33203125" style="22" customWidth="1"/>
    <col min="12" max="12" width="17.5" style="22" customWidth="1"/>
    <col min="13" max="16384" width="9.1640625" style="22"/>
  </cols>
  <sheetData>
    <row r="1" spans="1:10" x14ac:dyDescent="0.2">
      <c r="A1" s="420" t="s">
        <v>296</v>
      </c>
      <c r="B1" s="420"/>
      <c r="C1" s="420"/>
      <c r="D1" s="420"/>
      <c r="E1" s="420"/>
    </row>
    <row r="2" spans="1:10" x14ac:dyDescent="0.2">
      <c r="A2" s="420" t="s">
        <v>0</v>
      </c>
      <c r="B2" s="420"/>
      <c r="C2" s="420"/>
      <c r="D2" s="420"/>
      <c r="E2" s="420"/>
    </row>
    <row r="3" spans="1:10" x14ac:dyDescent="0.2">
      <c r="A3" s="420" t="s">
        <v>50</v>
      </c>
      <c r="B3" s="420"/>
      <c r="C3" s="420"/>
      <c r="D3" s="420"/>
      <c r="E3" s="420"/>
    </row>
    <row r="4" spans="1:10" x14ac:dyDescent="0.2">
      <c r="A4" s="420" t="s">
        <v>48</v>
      </c>
      <c r="B4" s="420"/>
      <c r="C4" s="420"/>
      <c r="D4" s="420"/>
      <c r="E4" s="420"/>
    </row>
    <row r="5" spans="1:10" x14ac:dyDescent="0.2">
      <c r="A5" s="420" t="s">
        <v>46</v>
      </c>
      <c r="B5" s="420"/>
      <c r="C5" s="420"/>
      <c r="D5" s="420"/>
      <c r="E5" s="420"/>
    </row>
    <row r="6" spans="1:10" x14ac:dyDescent="0.2">
      <c r="A6" s="420" t="s">
        <v>1</v>
      </c>
      <c r="B6" s="420"/>
      <c r="C6" s="420"/>
      <c r="D6" s="420"/>
      <c r="E6" s="420"/>
    </row>
    <row r="7" spans="1:10" x14ac:dyDescent="0.2">
      <c r="A7" s="2"/>
      <c r="B7" s="2"/>
      <c r="C7" s="2"/>
      <c r="D7" s="2"/>
      <c r="E7" s="2"/>
    </row>
    <row r="8" spans="1:10" x14ac:dyDescent="0.2">
      <c r="A8" s="23" t="s">
        <v>2</v>
      </c>
    </row>
    <row r="10" spans="1:10" x14ac:dyDescent="0.2">
      <c r="A10" s="44" t="s">
        <v>3</v>
      </c>
      <c r="B10" s="65" t="s">
        <v>4</v>
      </c>
      <c r="C10" s="415" t="s">
        <v>41</v>
      </c>
      <c r="D10" s="416"/>
      <c r="E10" s="417"/>
      <c r="F10" s="49"/>
      <c r="G10" s="49"/>
    </row>
    <row r="11" spans="1:10" x14ac:dyDescent="0.2">
      <c r="A11" s="52"/>
      <c r="B11" s="66"/>
      <c r="C11" s="50"/>
      <c r="D11" s="49"/>
      <c r="E11" s="51"/>
      <c r="F11" s="49"/>
      <c r="G11" s="49"/>
    </row>
    <row r="12" spans="1:10" x14ac:dyDescent="0.2">
      <c r="A12" s="30"/>
      <c r="B12" s="68"/>
      <c r="C12" s="30"/>
      <c r="D12" s="31"/>
      <c r="E12" s="32"/>
      <c r="F12" s="28"/>
      <c r="G12" s="28"/>
    </row>
    <row r="14" spans="1:10" x14ac:dyDescent="0.2">
      <c r="A14" s="23" t="s">
        <v>5</v>
      </c>
      <c r="E14" s="28"/>
    </row>
    <row r="15" spans="1:10" x14ac:dyDescent="0.2">
      <c r="A15" s="23"/>
      <c r="B15" s="23"/>
      <c r="E15" s="28"/>
      <c r="F15" s="28"/>
      <c r="G15" s="28"/>
      <c r="H15" s="28"/>
      <c r="I15" s="28"/>
      <c r="J15" s="28"/>
    </row>
    <row r="16" spans="1:10" x14ac:dyDescent="0.2">
      <c r="A16" s="65" t="s">
        <v>4</v>
      </c>
      <c r="B16" s="43" t="s">
        <v>30</v>
      </c>
      <c r="C16" s="54" t="s">
        <v>6</v>
      </c>
    </row>
    <row r="17" spans="1:31" x14ac:dyDescent="0.2">
      <c r="A17" s="66" t="s">
        <v>334</v>
      </c>
      <c r="B17" s="55">
        <v>0.113</v>
      </c>
      <c r="C17" s="418" t="s">
        <v>333</v>
      </c>
    </row>
    <row r="18" spans="1:31" x14ac:dyDescent="0.2">
      <c r="A18" s="67"/>
      <c r="B18" s="41"/>
      <c r="C18" s="419"/>
      <c r="E18" s="22" t="s">
        <v>23</v>
      </c>
    </row>
    <row r="19" spans="1:31" x14ac:dyDescent="0.2">
      <c r="A19" s="53"/>
      <c r="B19" s="5"/>
      <c r="C19" s="32"/>
    </row>
    <row r="20" spans="1:31" x14ac:dyDescent="0.2">
      <c r="A20" s="92"/>
      <c r="B20" s="28"/>
      <c r="C20" s="28"/>
    </row>
    <row r="21" spans="1:31" x14ac:dyDescent="0.2">
      <c r="A21" s="92"/>
      <c r="B21" s="28"/>
      <c r="C21" s="28"/>
    </row>
    <row r="22" spans="1:31" x14ac:dyDescent="0.2">
      <c r="A22" s="92"/>
      <c r="B22" s="28"/>
      <c r="C22" s="28"/>
    </row>
    <row r="23" spans="1:31" x14ac:dyDescent="0.2">
      <c r="A23" s="92"/>
      <c r="B23" s="28"/>
      <c r="C23" s="28"/>
    </row>
    <row r="24" spans="1:31" x14ac:dyDescent="0.2">
      <c r="A24" s="92"/>
      <c r="B24" s="28"/>
      <c r="C24" s="28"/>
    </row>
    <row r="25" spans="1:31" x14ac:dyDescent="0.2">
      <c r="A25" s="92"/>
      <c r="B25" s="28"/>
      <c r="C25" s="28"/>
    </row>
    <row r="26" spans="1:31" x14ac:dyDescent="0.2">
      <c r="A26" s="92"/>
      <c r="B26" s="28"/>
      <c r="C26" s="28"/>
    </row>
    <row r="28" spans="1:31" x14ac:dyDescent="0.2">
      <c r="A28" s="23" t="s">
        <v>8</v>
      </c>
    </row>
    <row r="29" spans="1:31" x14ac:dyDescent="0.2">
      <c r="A29" s="370" t="s">
        <v>309</v>
      </c>
    </row>
    <row r="30" spans="1:31" x14ac:dyDescent="0.2">
      <c r="A30" s="370"/>
    </row>
    <row r="31" spans="1:31" x14ac:dyDescent="0.2">
      <c r="A31" s="23"/>
      <c r="G31" s="22" t="s">
        <v>331</v>
      </c>
      <c r="T31" s="372" t="s">
        <v>335</v>
      </c>
      <c r="U31" s="372"/>
      <c r="V31" s="372"/>
      <c r="W31" s="372"/>
      <c r="X31" s="372"/>
      <c r="Y31" s="372"/>
      <c r="Z31" s="372"/>
      <c r="AA31" s="372"/>
      <c r="AB31" s="372"/>
      <c r="AC31" s="372"/>
      <c r="AD31" s="372"/>
      <c r="AE31" s="372"/>
    </row>
    <row r="32" spans="1:31" x14ac:dyDescent="0.2">
      <c r="A32" s="436" t="s">
        <v>4</v>
      </c>
      <c r="B32" s="411" t="s">
        <v>81</v>
      </c>
      <c r="C32" s="429" t="s">
        <v>9</v>
      </c>
      <c r="D32" s="430"/>
      <c r="E32" s="421" t="s">
        <v>6</v>
      </c>
      <c r="G32" s="411" t="s">
        <v>81</v>
      </c>
      <c r="H32" s="22" t="s">
        <v>332</v>
      </c>
      <c r="I32" s="22" t="s">
        <v>332</v>
      </c>
    </row>
    <row r="33" spans="1:31" x14ac:dyDescent="0.2">
      <c r="A33" s="437"/>
      <c r="B33" s="412"/>
      <c r="C33" s="94" t="s">
        <v>108</v>
      </c>
      <c r="D33" s="94" t="s">
        <v>109</v>
      </c>
      <c r="E33" s="422"/>
      <c r="G33" s="412"/>
      <c r="H33" s="22" t="s">
        <v>108</v>
      </c>
      <c r="I33" s="22" t="s">
        <v>109</v>
      </c>
      <c r="T33" s="372" t="s">
        <v>336</v>
      </c>
      <c r="U33" s="372"/>
      <c r="V33" s="372"/>
      <c r="W33" s="372"/>
      <c r="X33" s="372"/>
      <c r="Y33" s="372"/>
      <c r="Z33" s="372"/>
      <c r="AA33" s="372"/>
      <c r="AB33" s="372"/>
      <c r="AC33" s="372"/>
      <c r="AD33" s="372"/>
      <c r="AE33" s="372"/>
    </row>
    <row r="34" spans="1:31" x14ac:dyDescent="0.2">
      <c r="A34" s="431"/>
      <c r="B34" s="96" t="s">
        <v>7</v>
      </c>
      <c r="C34" s="95"/>
      <c r="D34" s="95"/>
      <c r="E34" s="423" t="s">
        <v>110</v>
      </c>
      <c r="G34" s="96" t="s">
        <v>7</v>
      </c>
      <c r="T34" s="372"/>
      <c r="U34" s="372" t="s">
        <v>34</v>
      </c>
      <c r="V34" s="372"/>
      <c r="W34" s="372"/>
      <c r="X34" s="372"/>
      <c r="Y34" s="372"/>
      <c r="Z34" s="372"/>
      <c r="AA34" s="372"/>
      <c r="AB34" s="372"/>
      <c r="AC34" s="372"/>
      <c r="AD34" s="372"/>
      <c r="AE34" s="372"/>
    </row>
    <row r="35" spans="1:31" x14ac:dyDescent="0.2">
      <c r="A35" s="432"/>
      <c r="B35" s="33" t="s">
        <v>11</v>
      </c>
      <c r="C35" s="95"/>
      <c r="D35" s="95"/>
      <c r="E35" s="424"/>
      <c r="G35" s="371" t="s">
        <v>330</v>
      </c>
      <c r="T35" s="372"/>
      <c r="U35" s="372" t="s">
        <v>79</v>
      </c>
      <c r="V35" s="372" t="s">
        <v>79</v>
      </c>
      <c r="W35" s="372" t="s">
        <v>79</v>
      </c>
      <c r="X35" s="372" t="s">
        <v>80</v>
      </c>
      <c r="Y35" s="372" t="s">
        <v>80</v>
      </c>
      <c r="Z35" s="372" t="s">
        <v>80</v>
      </c>
      <c r="AA35" s="372" t="s">
        <v>80</v>
      </c>
      <c r="AB35" s="372" t="s">
        <v>80</v>
      </c>
      <c r="AC35" s="372" t="s">
        <v>80</v>
      </c>
      <c r="AD35" s="372" t="s">
        <v>80</v>
      </c>
      <c r="AE35" s="372" t="s">
        <v>80</v>
      </c>
    </row>
    <row r="36" spans="1:31" x14ac:dyDescent="0.2">
      <c r="A36" s="432"/>
      <c r="B36" s="33" t="s">
        <v>12</v>
      </c>
      <c r="C36" s="95"/>
      <c r="D36" s="95"/>
      <c r="E36" s="424"/>
      <c r="G36" s="33" t="s">
        <v>304</v>
      </c>
      <c r="H36" s="22">
        <v>1.1000000000000001</v>
      </c>
      <c r="I36" s="22">
        <v>0.6</v>
      </c>
      <c r="T36" s="372" t="s">
        <v>81</v>
      </c>
      <c r="U36" s="372" t="s">
        <v>85</v>
      </c>
      <c r="V36" s="372" t="s">
        <v>9</v>
      </c>
      <c r="W36" s="372" t="s">
        <v>84</v>
      </c>
      <c r="X36" s="372" t="s">
        <v>27</v>
      </c>
      <c r="Y36" s="372" t="s">
        <v>85</v>
      </c>
      <c r="Z36" s="372" t="s">
        <v>82</v>
      </c>
      <c r="AA36" s="372" t="s">
        <v>83</v>
      </c>
      <c r="AB36" s="372" t="s">
        <v>9</v>
      </c>
      <c r="AC36" s="372" t="s">
        <v>86</v>
      </c>
      <c r="AD36" s="372" t="s">
        <v>87</v>
      </c>
      <c r="AE36" s="372" t="s">
        <v>88</v>
      </c>
    </row>
    <row r="37" spans="1:31" x14ac:dyDescent="0.2">
      <c r="A37" s="432"/>
      <c r="B37" s="33" t="s">
        <v>13</v>
      </c>
      <c r="C37" s="95"/>
      <c r="D37" s="95"/>
      <c r="E37" s="424"/>
      <c r="G37" s="33" t="s">
        <v>305</v>
      </c>
      <c r="H37" s="22">
        <v>1.8</v>
      </c>
      <c r="I37" s="22">
        <v>0.5</v>
      </c>
      <c r="T37" s="372"/>
      <c r="U37" s="372" t="s">
        <v>89</v>
      </c>
      <c r="V37" s="372" t="s">
        <v>89</v>
      </c>
      <c r="W37" s="372" t="s">
        <v>89</v>
      </c>
      <c r="X37" s="372" t="s">
        <v>89</v>
      </c>
      <c r="Y37" s="372" t="s">
        <v>89</v>
      </c>
      <c r="Z37" s="372" t="s">
        <v>89</v>
      </c>
      <c r="AA37" s="372" t="s">
        <v>89</v>
      </c>
      <c r="AB37" s="372" t="s">
        <v>90</v>
      </c>
      <c r="AC37" s="372" t="s">
        <v>89</v>
      </c>
      <c r="AD37" s="372" t="s">
        <v>91</v>
      </c>
      <c r="AE37" s="372" t="s">
        <v>90</v>
      </c>
    </row>
    <row r="38" spans="1:31" x14ac:dyDescent="0.2">
      <c r="A38" s="432"/>
      <c r="B38" s="33" t="s">
        <v>14</v>
      </c>
      <c r="C38" s="95"/>
      <c r="D38" s="95"/>
      <c r="E38" s="424"/>
      <c r="G38" s="33" t="s">
        <v>306</v>
      </c>
      <c r="H38" s="22">
        <v>2.1</v>
      </c>
      <c r="I38" s="22">
        <v>0.8</v>
      </c>
      <c r="T38" s="372" t="s">
        <v>7</v>
      </c>
      <c r="U38" s="372">
        <v>0</v>
      </c>
      <c r="V38" s="372">
        <v>0.74</v>
      </c>
      <c r="W38" s="372">
        <v>1.1000000000000001</v>
      </c>
      <c r="X38" s="372">
        <v>0</v>
      </c>
      <c r="Y38" s="372">
        <v>0</v>
      </c>
      <c r="Z38" s="372">
        <v>2.9999999999999997E-4</v>
      </c>
      <c r="AA38" s="372">
        <v>0</v>
      </c>
      <c r="AB38" s="372">
        <v>33.030500000000004</v>
      </c>
      <c r="AC38" s="372">
        <v>0</v>
      </c>
      <c r="AD38" s="372">
        <v>1.0672999999999999</v>
      </c>
      <c r="AE38" s="372">
        <v>2.4148999999999998</v>
      </c>
    </row>
    <row r="39" spans="1:31" x14ac:dyDescent="0.2">
      <c r="A39" s="432"/>
      <c r="B39" s="33" t="s">
        <v>15</v>
      </c>
      <c r="C39" s="95"/>
      <c r="D39" s="95"/>
      <c r="E39" s="424"/>
      <c r="G39" s="33" t="s">
        <v>307</v>
      </c>
      <c r="H39" s="22">
        <v>2.2999999999999998</v>
      </c>
      <c r="I39" s="22">
        <v>1.8</v>
      </c>
      <c r="T39" s="372" t="s">
        <v>11</v>
      </c>
      <c r="U39" s="372">
        <v>0</v>
      </c>
      <c r="V39" s="372">
        <v>0.74</v>
      </c>
      <c r="W39" s="372">
        <v>1.1000000000000001</v>
      </c>
      <c r="X39" s="372">
        <v>0</v>
      </c>
      <c r="Y39" s="372">
        <v>0</v>
      </c>
      <c r="Z39" s="372">
        <v>1E-4</v>
      </c>
      <c r="AA39" s="372">
        <v>1E-4</v>
      </c>
      <c r="AB39" s="372">
        <v>28.027799999999999</v>
      </c>
      <c r="AC39" s="372">
        <v>0</v>
      </c>
      <c r="AD39" s="372">
        <v>1.1040000000000001</v>
      </c>
      <c r="AE39" s="372">
        <v>7.6315999999999997</v>
      </c>
    </row>
    <row r="40" spans="1:31" x14ac:dyDescent="0.2">
      <c r="A40" s="432"/>
      <c r="B40" s="33" t="s">
        <v>16</v>
      </c>
      <c r="C40" s="95"/>
      <c r="D40" s="95"/>
      <c r="E40" s="424"/>
      <c r="G40" s="33" t="s">
        <v>308</v>
      </c>
      <c r="H40" s="22">
        <v>3.4</v>
      </c>
      <c r="I40" s="22">
        <v>2.5</v>
      </c>
      <c r="T40" s="372" t="s">
        <v>12</v>
      </c>
      <c r="U40" s="372">
        <v>3.5999999999999999E-3</v>
      </c>
      <c r="V40" s="372">
        <v>0.74</v>
      </c>
      <c r="W40" s="372">
        <v>1.1000000000000001</v>
      </c>
      <c r="X40" s="372">
        <v>5.9999999999999995E-4</v>
      </c>
      <c r="Y40" s="372">
        <v>2.2000000000000001E-3</v>
      </c>
      <c r="Z40" s="372">
        <v>0</v>
      </c>
      <c r="AA40" s="372">
        <v>2.0000000000000001E-4</v>
      </c>
      <c r="AB40" s="372">
        <v>9.8226999999999993</v>
      </c>
      <c r="AC40" s="372">
        <v>0</v>
      </c>
      <c r="AD40" s="372">
        <v>1.0949</v>
      </c>
      <c r="AE40" s="372">
        <v>26.2834</v>
      </c>
    </row>
    <row r="41" spans="1:31" x14ac:dyDescent="0.2">
      <c r="A41" s="433"/>
      <c r="B41" s="53" t="s">
        <v>17</v>
      </c>
      <c r="C41" s="95"/>
      <c r="D41" s="95"/>
      <c r="E41" s="425"/>
      <c r="G41" s="53" t="s">
        <v>196</v>
      </c>
      <c r="H41" s="22">
        <v>4.2</v>
      </c>
      <c r="I41" s="22">
        <v>2.2999999999999998</v>
      </c>
      <c r="T41" s="372" t="s">
        <v>13</v>
      </c>
      <c r="U41" s="372">
        <v>1.5699999999999999E-2</v>
      </c>
      <c r="V41" s="372">
        <v>0.74</v>
      </c>
      <c r="W41" s="372">
        <v>1.1000000000000001</v>
      </c>
      <c r="X41" s="372">
        <v>6.3E-3</v>
      </c>
      <c r="Y41" s="372">
        <v>1.5800000000000002E-2</v>
      </c>
      <c r="Z41" s="372">
        <v>0.34849999999999998</v>
      </c>
      <c r="AA41" s="372">
        <v>4.0000000000000002E-4</v>
      </c>
      <c r="AB41" s="372">
        <v>2.5411999999999999</v>
      </c>
      <c r="AC41" s="372">
        <v>0</v>
      </c>
      <c r="AD41" s="372">
        <v>1.097</v>
      </c>
      <c r="AE41" s="372">
        <v>39.102499999999999</v>
      </c>
    </row>
    <row r="42" spans="1:31" ht="14.25" customHeight="1" x14ac:dyDescent="0.2">
      <c r="A42" s="445"/>
      <c r="B42" s="92" t="s">
        <v>7</v>
      </c>
      <c r="C42" s="56"/>
      <c r="D42" s="56"/>
      <c r="E42" s="426" t="s">
        <v>110</v>
      </c>
      <c r="G42"/>
      <c r="T42" s="372" t="s">
        <v>14</v>
      </c>
      <c r="U42" s="372">
        <v>2.1499999999999998E-2</v>
      </c>
      <c r="V42" s="372">
        <v>0.74</v>
      </c>
      <c r="W42" s="372">
        <v>1.1000000000000001</v>
      </c>
      <c r="X42" s="372">
        <v>1.26E-2</v>
      </c>
      <c r="Y42" s="372">
        <v>2.1299999999999999E-2</v>
      </c>
      <c r="Z42" s="372">
        <v>0.56559999999999999</v>
      </c>
      <c r="AA42" s="372">
        <v>8.9999999999999998E-4</v>
      </c>
      <c r="AB42" s="372">
        <v>1.6830000000000001</v>
      </c>
      <c r="AC42" s="372">
        <v>0</v>
      </c>
      <c r="AD42" s="372">
        <v>1.0971</v>
      </c>
      <c r="AE42" s="372">
        <v>53.115600000000001</v>
      </c>
    </row>
    <row r="43" spans="1:31" ht="14.25" customHeight="1" x14ac:dyDescent="0.2">
      <c r="A43" s="446"/>
      <c r="B43" s="92" t="s">
        <v>11</v>
      </c>
      <c r="C43" s="57"/>
      <c r="D43" s="57"/>
      <c r="E43" s="427"/>
      <c r="G43"/>
      <c r="T43" s="372" t="s">
        <v>15</v>
      </c>
      <c r="U43" s="372">
        <v>2.75E-2</v>
      </c>
      <c r="V43" s="372">
        <v>0.74</v>
      </c>
      <c r="W43" s="372">
        <v>1.1000000000000001</v>
      </c>
      <c r="X43" s="372">
        <v>1.18E-2</v>
      </c>
      <c r="Y43" s="372">
        <v>2.76E-2</v>
      </c>
      <c r="Z43" s="372">
        <v>0.373</v>
      </c>
      <c r="AA43" s="372">
        <v>2E-3</v>
      </c>
      <c r="AB43" s="372">
        <v>2.3159000000000001</v>
      </c>
      <c r="AC43" s="372">
        <v>1E-4</v>
      </c>
      <c r="AD43" s="372">
        <v>1.0983000000000001</v>
      </c>
      <c r="AE43" s="372">
        <v>65.621600000000001</v>
      </c>
    </row>
    <row r="44" spans="1:31" ht="14.25" customHeight="1" x14ac:dyDescent="0.2">
      <c r="A44" s="446"/>
      <c r="B44" s="92" t="s">
        <v>12</v>
      </c>
      <c r="C44" s="57"/>
      <c r="D44" s="57"/>
      <c r="E44" s="427"/>
      <c r="G44"/>
      <c r="T44" s="372" t="s">
        <v>16</v>
      </c>
      <c r="U44" s="372">
        <v>3.7400000000000003E-2</v>
      </c>
      <c r="V44" s="372">
        <v>0.74</v>
      </c>
      <c r="W44" s="372">
        <v>1.1000000000000001</v>
      </c>
      <c r="X44" s="372">
        <v>1.54E-2</v>
      </c>
      <c r="Y44" s="372">
        <v>3.7600000000000001E-2</v>
      </c>
      <c r="Z44" s="372">
        <v>0.37140000000000001</v>
      </c>
      <c r="AA44" s="372">
        <v>4.4000000000000003E-3</v>
      </c>
      <c r="AB44" s="372">
        <v>2.3399000000000001</v>
      </c>
      <c r="AC44" s="372">
        <v>2.0000000000000001E-4</v>
      </c>
      <c r="AD44" s="372">
        <v>1.0952</v>
      </c>
      <c r="AE44" s="372">
        <v>74.580699999999993</v>
      </c>
    </row>
    <row r="45" spans="1:31" ht="14.25" customHeight="1" x14ac:dyDescent="0.2">
      <c r="A45" s="446"/>
      <c r="B45" s="92" t="s">
        <v>13</v>
      </c>
      <c r="C45" s="57"/>
      <c r="D45" s="57"/>
      <c r="E45" s="427"/>
      <c r="G45"/>
      <c r="T45" s="372" t="s">
        <v>17</v>
      </c>
      <c r="U45" s="372">
        <v>4.2000000000000003E-2</v>
      </c>
      <c r="V45" s="372">
        <v>0.74</v>
      </c>
      <c r="W45" s="372">
        <v>1.1000000000000001</v>
      </c>
      <c r="X45" s="372">
        <v>1.44E-2</v>
      </c>
      <c r="Y45" s="372">
        <v>4.2099999999999999E-2</v>
      </c>
      <c r="Z45" s="372">
        <v>0.31979999999999997</v>
      </c>
      <c r="AA45" s="372">
        <v>8.8000000000000005E-3</v>
      </c>
      <c r="AB45" s="372">
        <v>2.9582999999999999</v>
      </c>
      <c r="AC45" s="372">
        <v>4.0000000000000002E-4</v>
      </c>
      <c r="AD45" s="372">
        <v>1.0958000000000001</v>
      </c>
      <c r="AE45" s="372">
        <v>82.849199999999996</v>
      </c>
    </row>
    <row r="46" spans="1:31" ht="14.25" customHeight="1" x14ac:dyDescent="0.2">
      <c r="A46" s="446"/>
      <c r="B46" s="92" t="s">
        <v>14</v>
      </c>
      <c r="C46" s="57"/>
      <c r="D46" s="57"/>
      <c r="E46" s="427"/>
      <c r="G46"/>
      <c r="I46" s="22" t="s">
        <v>23</v>
      </c>
      <c r="T46" s="372" t="s">
        <v>92</v>
      </c>
      <c r="U46" s="372">
        <v>1.32E-2</v>
      </c>
      <c r="V46" s="372" t="s">
        <v>93</v>
      </c>
      <c r="W46" s="372" t="s">
        <v>93</v>
      </c>
      <c r="X46" s="372">
        <v>6.0000000000000001E-3</v>
      </c>
      <c r="Y46" s="372">
        <v>1.29E-2</v>
      </c>
      <c r="Z46" s="372">
        <v>0.41370000000000001</v>
      </c>
      <c r="AA46" s="372">
        <v>1.6999999999999999E-3</v>
      </c>
      <c r="AB46" s="372">
        <v>2.2984</v>
      </c>
      <c r="AC46" s="372">
        <v>0</v>
      </c>
      <c r="AD46" s="372">
        <v>1.0964</v>
      </c>
      <c r="AE46" s="372">
        <v>53.731200000000001</v>
      </c>
    </row>
    <row r="47" spans="1:31" ht="14.25" customHeight="1" x14ac:dyDescent="0.2">
      <c r="A47" s="446"/>
      <c r="B47" s="92" t="s">
        <v>15</v>
      </c>
      <c r="C47" s="57"/>
      <c r="D47" s="57"/>
      <c r="E47" s="427"/>
      <c r="G47"/>
    </row>
    <row r="48" spans="1:31" ht="14.25" customHeight="1" x14ac:dyDescent="0.2">
      <c r="A48" s="446"/>
      <c r="B48" s="92" t="s">
        <v>16</v>
      </c>
      <c r="C48" s="63"/>
      <c r="D48" s="63"/>
      <c r="E48" s="427"/>
      <c r="G48"/>
      <c r="T48" s="372" t="s">
        <v>336</v>
      </c>
      <c r="U48" s="372"/>
      <c r="V48" s="372"/>
      <c r="W48" s="372"/>
      <c r="X48" s="372"/>
      <c r="Y48" s="372"/>
      <c r="Z48" s="372"/>
      <c r="AA48" s="372"/>
      <c r="AB48" s="372"/>
      <c r="AC48" s="372"/>
      <c r="AD48" s="372"/>
      <c r="AE48" s="372"/>
    </row>
    <row r="49" spans="1:31" ht="14.25" customHeight="1" x14ac:dyDescent="0.2">
      <c r="A49" s="446"/>
      <c r="B49" s="92" t="s">
        <v>17</v>
      </c>
      <c r="C49" s="63"/>
      <c r="D49" s="63"/>
      <c r="E49" s="427"/>
      <c r="G49"/>
      <c r="T49" s="372"/>
      <c r="U49" s="372" t="s">
        <v>34</v>
      </c>
      <c r="V49" s="372"/>
      <c r="W49" s="372"/>
      <c r="X49" s="372"/>
      <c r="Y49" s="372"/>
      <c r="Z49" s="372"/>
      <c r="AA49" s="372"/>
      <c r="AB49" s="372"/>
      <c r="AC49" s="372"/>
      <c r="AD49" s="372"/>
      <c r="AE49" s="372"/>
    </row>
    <row r="50" spans="1:31" x14ac:dyDescent="0.2">
      <c r="A50" s="447"/>
      <c r="B50" s="93"/>
      <c r="C50" s="5"/>
      <c r="D50" s="5"/>
      <c r="E50" s="428"/>
      <c r="G50"/>
      <c r="T50" s="372"/>
      <c r="U50" s="372" t="s">
        <v>79</v>
      </c>
      <c r="V50" s="372" t="s">
        <v>79</v>
      </c>
      <c r="W50" s="372" t="s">
        <v>79</v>
      </c>
      <c r="X50" s="372" t="s">
        <v>80</v>
      </c>
      <c r="Y50" s="372" t="s">
        <v>80</v>
      </c>
      <c r="Z50" s="372" t="s">
        <v>80</v>
      </c>
      <c r="AA50" s="372" t="s">
        <v>80</v>
      </c>
      <c r="AB50" s="372" t="s">
        <v>80</v>
      </c>
      <c r="AC50" s="372" t="s">
        <v>80</v>
      </c>
      <c r="AD50" s="372" t="s">
        <v>80</v>
      </c>
      <c r="AE50" s="372" t="s">
        <v>80</v>
      </c>
    </row>
    <row r="51" spans="1:31" x14ac:dyDescent="0.2">
      <c r="A51" s="23"/>
      <c r="G51"/>
      <c r="T51" s="372" t="s">
        <v>81</v>
      </c>
      <c r="U51" s="372" t="s">
        <v>85</v>
      </c>
      <c r="V51" s="372" t="s">
        <v>9</v>
      </c>
      <c r="W51" s="372" t="s">
        <v>84</v>
      </c>
      <c r="X51" s="372" t="s">
        <v>27</v>
      </c>
      <c r="Y51" s="372" t="s">
        <v>85</v>
      </c>
      <c r="Z51" s="372" t="s">
        <v>82</v>
      </c>
      <c r="AA51" s="372" t="s">
        <v>83</v>
      </c>
      <c r="AB51" s="372" t="s">
        <v>9</v>
      </c>
      <c r="AC51" s="372" t="s">
        <v>86</v>
      </c>
      <c r="AD51" s="372" t="s">
        <v>87</v>
      </c>
      <c r="AE51" s="372" t="s">
        <v>88</v>
      </c>
    </row>
    <row r="52" spans="1:31" x14ac:dyDescent="0.2">
      <c r="T52" s="372"/>
      <c r="U52" s="372" t="s">
        <v>94</v>
      </c>
      <c r="V52" s="372" t="s">
        <v>89</v>
      </c>
      <c r="W52" s="372" t="s">
        <v>89</v>
      </c>
      <c r="X52" s="372" t="s">
        <v>94</v>
      </c>
      <c r="Y52" s="372" t="s">
        <v>94</v>
      </c>
      <c r="Z52" s="372" t="s">
        <v>94</v>
      </c>
      <c r="AA52" s="372" t="s">
        <v>94</v>
      </c>
      <c r="AB52" s="372" t="s">
        <v>90</v>
      </c>
      <c r="AC52" s="372" t="s">
        <v>94</v>
      </c>
      <c r="AD52" s="372" t="s">
        <v>91</v>
      </c>
      <c r="AE52" s="372" t="s">
        <v>90</v>
      </c>
    </row>
    <row r="53" spans="1:31" x14ac:dyDescent="0.2">
      <c r="A53" s="9" t="s">
        <v>10</v>
      </c>
      <c r="T53" s="372" t="s">
        <v>7</v>
      </c>
      <c r="U53" s="372">
        <v>0</v>
      </c>
      <c r="V53" s="372">
        <v>0.74</v>
      </c>
      <c r="W53" s="372">
        <v>1.1000000000000001</v>
      </c>
      <c r="X53" s="372">
        <v>0</v>
      </c>
      <c r="Y53" s="372">
        <v>0</v>
      </c>
      <c r="Z53" s="372">
        <v>0</v>
      </c>
      <c r="AA53" s="372">
        <v>0</v>
      </c>
      <c r="AB53" s="372">
        <v>33.030500000000004</v>
      </c>
      <c r="AC53" s="372">
        <v>0</v>
      </c>
      <c r="AD53" s="372">
        <v>1.0672999999999999</v>
      </c>
      <c r="AE53" s="372">
        <v>2.4148999999999998</v>
      </c>
    </row>
    <row r="54" spans="1:31" x14ac:dyDescent="0.2">
      <c r="T54" s="372" t="s">
        <v>11</v>
      </c>
      <c r="U54" s="372">
        <v>0</v>
      </c>
      <c r="V54" s="372">
        <v>0.74</v>
      </c>
      <c r="W54" s="372">
        <v>1.1000000000000001</v>
      </c>
      <c r="X54" s="372">
        <v>0</v>
      </c>
      <c r="Y54" s="372">
        <v>0</v>
      </c>
      <c r="Z54" s="372">
        <v>0</v>
      </c>
      <c r="AA54" s="372">
        <v>0</v>
      </c>
      <c r="AB54" s="372">
        <v>28.027799999999999</v>
      </c>
      <c r="AC54" s="372">
        <v>0</v>
      </c>
      <c r="AD54" s="372">
        <v>1.1040000000000001</v>
      </c>
      <c r="AE54" s="372">
        <v>7.6315999999999997</v>
      </c>
    </row>
    <row r="55" spans="1:31" x14ac:dyDescent="0.2">
      <c r="A55" s="24"/>
      <c r="B55" s="25" t="s">
        <v>7</v>
      </c>
      <c r="C55" s="25" t="s">
        <v>11</v>
      </c>
      <c r="D55" s="25" t="s">
        <v>12</v>
      </c>
      <c r="E55" s="25" t="s">
        <v>13</v>
      </c>
      <c r="F55" s="25" t="s">
        <v>14</v>
      </c>
      <c r="G55" s="25" t="s">
        <v>15</v>
      </c>
      <c r="H55" s="25" t="s">
        <v>16</v>
      </c>
      <c r="I55" s="25" t="s">
        <v>17</v>
      </c>
      <c r="J55" s="26" t="s">
        <v>18</v>
      </c>
      <c r="T55" s="372" t="s">
        <v>12</v>
      </c>
      <c r="U55" s="372">
        <v>26033</v>
      </c>
      <c r="V55" s="372">
        <v>0.74</v>
      </c>
      <c r="W55" s="372">
        <v>1.1000000000000001</v>
      </c>
      <c r="X55" s="372">
        <v>4302</v>
      </c>
      <c r="Y55" s="372">
        <v>15742</v>
      </c>
      <c r="Z55" s="372">
        <v>0</v>
      </c>
      <c r="AA55" s="372">
        <v>3</v>
      </c>
      <c r="AB55" s="372">
        <v>9.8226999999999993</v>
      </c>
      <c r="AC55" s="372">
        <v>3</v>
      </c>
      <c r="AD55" s="372">
        <v>1.0949</v>
      </c>
      <c r="AE55" s="372">
        <v>26.2834</v>
      </c>
    </row>
    <row r="56" spans="1:31" x14ac:dyDescent="0.2">
      <c r="A56" s="27" t="s">
        <v>19</v>
      </c>
      <c r="B56" s="28"/>
      <c r="C56" s="28"/>
      <c r="D56" s="28"/>
      <c r="E56" s="28"/>
      <c r="F56" s="28"/>
      <c r="G56" s="28"/>
      <c r="H56" s="28"/>
      <c r="I56" s="28"/>
      <c r="J56" s="29"/>
      <c r="T56" s="372" t="s">
        <v>13</v>
      </c>
      <c r="U56" s="372">
        <v>123924</v>
      </c>
      <c r="V56" s="372">
        <v>0.74</v>
      </c>
      <c r="W56" s="372">
        <v>1.1000000000000001</v>
      </c>
      <c r="X56" s="372">
        <v>49209</v>
      </c>
      <c r="Y56" s="372">
        <v>125155</v>
      </c>
      <c r="Z56" s="372">
        <v>43621</v>
      </c>
      <c r="AA56" s="372">
        <v>54</v>
      </c>
      <c r="AB56" s="372">
        <v>2.5411999999999999</v>
      </c>
      <c r="AC56" s="372">
        <v>54</v>
      </c>
      <c r="AD56" s="372">
        <v>1.097</v>
      </c>
      <c r="AE56" s="372">
        <v>39.102499999999999</v>
      </c>
    </row>
    <row r="57" spans="1:31" x14ac:dyDescent="0.2">
      <c r="A57" s="21" t="s">
        <v>20</v>
      </c>
      <c r="B57" s="28"/>
      <c r="C57" s="28"/>
      <c r="D57" s="28"/>
      <c r="E57" s="28"/>
      <c r="F57" s="28"/>
      <c r="G57" s="28"/>
      <c r="H57" s="28"/>
      <c r="I57" s="28"/>
      <c r="J57" s="29"/>
      <c r="T57" s="372" t="s">
        <v>14</v>
      </c>
      <c r="U57" s="372">
        <v>141146</v>
      </c>
      <c r="V57" s="372">
        <v>0.74</v>
      </c>
      <c r="W57" s="372">
        <v>1.1000000000000001</v>
      </c>
      <c r="X57" s="372">
        <v>80672</v>
      </c>
      <c r="Y57" s="372">
        <v>139455</v>
      </c>
      <c r="Z57" s="372">
        <v>78875</v>
      </c>
      <c r="AA57" s="372">
        <v>131</v>
      </c>
      <c r="AB57" s="372">
        <v>1.6830000000000001</v>
      </c>
      <c r="AC57" s="372">
        <v>132</v>
      </c>
      <c r="AD57" s="372">
        <v>1.0971</v>
      </c>
      <c r="AE57" s="372">
        <v>53.115600000000001</v>
      </c>
    </row>
    <row r="58" spans="1:31" x14ac:dyDescent="0.2">
      <c r="A58" s="21" t="s">
        <v>21</v>
      </c>
      <c r="B58" s="28"/>
      <c r="C58" s="28"/>
      <c r="D58" s="28"/>
      <c r="E58" s="28"/>
      <c r="F58" s="28"/>
      <c r="G58" s="28"/>
      <c r="H58" s="28"/>
      <c r="I58" s="28"/>
      <c r="J58" s="29"/>
      <c r="T58" s="372" t="s">
        <v>15</v>
      </c>
      <c r="U58" s="372">
        <v>64494</v>
      </c>
      <c r="V58" s="372">
        <v>0.74</v>
      </c>
      <c r="W58" s="372">
        <v>1.1000000000000001</v>
      </c>
      <c r="X58" s="372">
        <v>26957</v>
      </c>
      <c r="Y58" s="372">
        <v>64750</v>
      </c>
      <c r="Z58" s="372">
        <v>24152</v>
      </c>
      <c r="AA58" s="372">
        <v>132</v>
      </c>
      <c r="AB58" s="372">
        <v>2.3159000000000001</v>
      </c>
      <c r="AC58" s="372">
        <v>132</v>
      </c>
      <c r="AD58" s="372">
        <v>1.0983000000000001</v>
      </c>
      <c r="AE58" s="372">
        <v>65.621600000000001</v>
      </c>
    </row>
    <row r="59" spans="1:31" x14ac:dyDescent="0.2">
      <c r="A59" s="27" t="s">
        <v>22</v>
      </c>
      <c r="B59" s="28"/>
      <c r="C59" s="28"/>
      <c r="D59" s="28"/>
      <c r="E59" s="28"/>
      <c r="F59" s="28"/>
      <c r="G59" s="28"/>
      <c r="H59" s="28"/>
      <c r="I59" s="28"/>
      <c r="J59" s="29"/>
      <c r="T59" s="372" t="s">
        <v>16</v>
      </c>
      <c r="U59" s="372">
        <v>43872</v>
      </c>
      <c r="V59" s="372">
        <v>0.74</v>
      </c>
      <c r="W59" s="372">
        <v>1.1000000000000001</v>
      </c>
      <c r="X59" s="372">
        <v>17347</v>
      </c>
      <c r="Y59" s="372">
        <v>44052</v>
      </c>
      <c r="Z59" s="372">
        <v>16359</v>
      </c>
      <c r="AA59" s="372">
        <v>192</v>
      </c>
      <c r="AB59" s="372">
        <v>2.3399000000000001</v>
      </c>
      <c r="AC59" s="372">
        <v>192</v>
      </c>
      <c r="AD59" s="372">
        <v>1.0952</v>
      </c>
      <c r="AE59" s="372">
        <v>74.580699999999993</v>
      </c>
    </row>
    <row r="60" spans="1:31" x14ac:dyDescent="0.2">
      <c r="A60" s="21" t="s">
        <v>20</v>
      </c>
      <c r="B60" s="28"/>
      <c r="C60" s="28"/>
      <c r="D60" s="28"/>
      <c r="E60" s="28"/>
      <c r="F60" s="28"/>
      <c r="G60" s="28"/>
      <c r="H60" s="28"/>
      <c r="I60" s="28"/>
      <c r="J60" s="29"/>
      <c r="T60" s="372" t="s">
        <v>17</v>
      </c>
      <c r="U60" s="372">
        <v>21293</v>
      </c>
      <c r="V60" s="372">
        <v>0.74</v>
      </c>
      <c r="W60" s="372">
        <v>1.1000000000000001</v>
      </c>
      <c r="X60" s="372">
        <v>7016</v>
      </c>
      <c r="Y60" s="372">
        <v>21360</v>
      </c>
      <c r="Z60" s="372">
        <v>6832</v>
      </c>
      <c r="AA60" s="372">
        <v>188</v>
      </c>
      <c r="AB60" s="372">
        <v>2.9582999999999999</v>
      </c>
      <c r="AC60" s="372">
        <v>188</v>
      </c>
      <c r="AD60" s="372">
        <v>1.0958000000000001</v>
      </c>
      <c r="AE60" s="372">
        <v>82.849199999999996</v>
      </c>
    </row>
    <row r="61" spans="1:31" x14ac:dyDescent="0.2">
      <c r="A61" s="21" t="s">
        <v>21</v>
      </c>
      <c r="B61" s="28"/>
      <c r="C61" s="28"/>
      <c r="D61" s="28"/>
      <c r="E61" s="28"/>
      <c r="F61" s="28"/>
      <c r="G61" s="28"/>
      <c r="H61" s="28"/>
      <c r="I61" s="28"/>
      <c r="J61" s="29"/>
      <c r="T61" s="372" t="s">
        <v>92</v>
      </c>
      <c r="U61" s="372">
        <v>420762</v>
      </c>
      <c r="V61" s="372" t="s">
        <v>93</v>
      </c>
      <c r="W61" s="372" t="s">
        <v>93</v>
      </c>
      <c r="X61" s="372">
        <v>185503</v>
      </c>
      <c r="Y61" s="372">
        <v>410514</v>
      </c>
      <c r="Z61" s="372">
        <v>169839</v>
      </c>
      <c r="AA61" s="372">
        <v>701</v>
      </c>
      <c r="AB61" s="372">
        <v>2.2984</v>
      </c>
      <c r="AC61" s="372">
        <v>701</v>
      </c>
      <c r="AD61" s="372">
        <v>1.0964</v>
      </c>
      <c r="AE61" s="372">
        <v>53.731200000000001</v>
      </c>
    </row>
    <row r="62" spans="1:31" x14ac:dyDescent="0.2">
      <c r="A62" s="27"/>
      <c r="B62" s="28"/>
      <c r="C62" s="28"/>
      <c r="D62" s="28" t="s">
        <v>23</v>
      </c>
      <c r="E62" s="28"/>
      <c r="F62" s="28"/>
      <c r="G62" s="28"/>
      <c r="H62" s="28"/>
      <c r="I62" s="28"/>
      <c r="J62" s="29"/>
    </row>
    <row r="63" spans="1:31" x14ac:dyDescent="0.2">
      <c r="A63" s="30"/>
      <c r="B63" s="31"/>
      <c r="C63" s="31"/>
      <c r="D63" s="31"/>
      <c r="E63" s="31"/>
      <c r="F63" s="31"/>
      <c r="G63" s="31"/>
      <c r="H63" s="31"/>
      <c r="I63" s="31"/>
      <c r="J63" s="32"/>
      <c r="T63" s="372" t="s">
        <v>336</v>
      </c>
      <c r="U63" s="372"/>
      <c r="V63" s="372"/>
      <c r="W63" s="372"/>
      <c r="X63" s="372"/>
      <c r="Y63" s="372"/>
      <c r="Z63" s="372"/>
      <c r="AA63" s="372"/>
      <c r="AB63" s="372"/>
      <c r="AC63" s="372"/>
      <c r="AD63" s="372"/>
      <c r="AE63" s="372"/>
    </row>
    <row r="64" spans="1:31" x14ac:dyDescent="0.2">
      <c r="T64" s="372"/>
      <c r="U64" s="372" t="s">
        <v>35</v>
      </c>
      <c r="V64" s="372"/>
      <c r="W64" s="372"/>
      <c r="X64" s="372"/>
      <c r="Y64" s="372"/>
      <c r="Z64" s="372"/>
      <c r="AA64" s="372"/>
      <c r="AB64" s="372"/>
      <c r="AC64" s="372"/>
      <c r="AD64" s="372"/>
      <c r="AE64" s="372"/>
    </row>
    <row r="65" spans="1:31" x14ac:dyDescent="0.2">
      <c r="A65" s="64" t="s">
        <v>24</v>
      </c>
      <c r="T65" s="372"/>
      <c r="U65" s="372" t="s">
        <v>79</v>
      </c>
      <c r="V65" s="372" t="s">
        <v>79</v>
      </c>
      <c r="W65" s="372" t="s">
        <v>79</v>
      </c>
      <c r="X65" s="372" t="s">
        <v>80</v>
      </c>
      <c r="Y65" s="372" t="s">
        <v>80</v>
      </c>
      <c r="Z65" s="372" t="s">
        <v>80</v>
      </c>
      <c r="AA65" s="372" t="s">
        <v>80</v>
      </c>
      <c r="AB65" s="372" t="s">
        <v>80</v>
      </c>
      <c r="AC65" s="372" t="s">
        <v>80</v>
      </c>
      <c r="AD65" s="372" t="s">
        <v>80</v>
      </c>
      <c r="AE65" s="372" t="s">
        <v>80</v>
      </c>
    </row>
    <row r="66" spans="1:31" x14ac:dyDescent="0.2">
      <c r="T66" s="372" t="s">
        <v>81</v>
      </c>
      <c r="U66" s="372" t="s">
        <v>85</v>
      </c>
      <c r="V66" s="372" t="s">
        <v>9</v>
      </c>
      <c r="W66" s="372" t="s">
        <v>84</v>
      </c>
      <c r="X66" s="372" t="s">
        <v>27</v>
      </c>
      <c r="Y66" s="372" t="s">
        <v>85</v>
      </c>
      <c r="Z66" s="372" t="s">
        <v>82</v>
      </c>
      <c r="AA66" s="372" t="s">
        <v>83</v>
      </c>
      <c r="AB66" s="372" t="s">
        <v>9</v>
      </c>
      <c r="AC66" s="372" t="s">
        <v>86</v>
      </c>
      <c r="AD66" s="372" t="s">
        <v>87</v>
      </c>
      <c r="AE66" s="372" t="s">
        <v>88</v>
      </c>
    </row>
    <row r="67" spans="1:31" x14ac:dyDescent="0.2">
      <c r="A67" s="23" t="s">
        <v>36</v>
      </c>
      <c r="H67" s="22" t="s">
        <v>23</v>
      </c>
      <c r="T67" s="372"/>
      <c r="U67" s="372" t="s">
        <v>89</v>
      </c>
      <c r="V67" s="372" t="s">
        <v>89</v>
      </c>
      <c r="W67" s="372" t="s">
        <v>89</v>
      </c>
      <c r="X67" s="372" t="s">
        <v>89</v>
      </c>
      <c r="Y67" s="372" t="s">
        <v>89</v>
      </c>
      <c r="Z67" s="372" t="s">
        <v>89</v>
      </c>
      <c r="AA67" s="372" t="s">
        <v>89</v>
      </c>
      <c r="AB67" s="372" t="s">
        <v>90</v>
      </c>
      <c r="AC67" s="372" t="s">
        <v>89</v>
      </c>
      <c r="AD67" s="372" t="s">
        <v>91</v>
      </c>
      <c r="AE67" s="372" t="s">
        <v>90</v>
      </c>
    </row>
    <row r="68" spans="1:31" x14ac:dyDescent="0.2">
      <c r="A68" s="23" t="s">
        <v>297</v>
      </c>
      <c r="T68" s="372" t="s">
        <v>7</v>
      </c>
      <c r="U68" s="372">
        <v>0</v>
      </c>
      <c r="V68" s="372">
        <v>0.74</v>
      </c>
      <c r="W68" s="372">
        <v>1.1000000000000001</v>
      </c>
      <c r="X68" s="372">
        <v>0</v>
      </c>
      <c r="Y68" s="372">
        <v>0</v>
      </c>
      <c r="Z68" s="372">
        <v>0</v>
      </c>
      <c r="AA68" s="372">
        <v>0</v>
      </c>
      <c r="AB68" s="372">
        <v>27.182400000000001</v>
      </c>
      <c r="AC68" s="372">
        <v>0</v>
      </c>
      <c r="AD68" s="372">
        <v>1.0692999999999999</v>
      </c>
      <c r="AE68" s="372">
        <v>2.698</v>
      </c>
    </row>
    <row r="69" spans="1:31" x14ac:dyDescent="0.2">
      <c r="A69" s="23"/>
      <c r="T69" s="372" t="s">
        <v>11</v>
      </c>
      <c r="U69" s="372">
        <v>0</v>
      </c>
      <c r="V69" s="372">
        <v>0.74</v>
      </c>
      <c r="W69" s="372">
        <v>1.1000000000000001</v>
      </c>
      <c r="X69" s="372">
        <v>0</v>
      </c>
      <c r="Y69" s="372">
        <v>0</v>
      </c>
      <c r="Z69" s="372">
        <v>1E-4</v>
      </c>
      <c r="AA69" s="372">
        <v>0</v>
      </c>
      <c r="AB69" s="372">
        <v>19.244</v>
      </c>
      <c r="AC69" s="372">
        <v>0</v>
      </c>
      <c r="AD69" s="372">
        <v>1.1009</v>
      </c>
      <c r="AE69" s="372">
        <v>10.7766</v>
      </c>
    </row>
    <row r="70" spans="1:31" x14ac:dyDescent="0.2">
      <c r="A70" s="24" t="s">
        <v>25</v>
      </c>
      <c r="B70" s="25" t="s">
        <v>26</v>
      </c>
      <c r="C70" s="25" t="s">
        <v>27</v>
      </c>
      <c r="D70" s="25" t="s">
        <v>28</v>
      </c>
      <c r="E70" s="25" t="s">
        <v>9</v>
      </c>
      <c r="F70" s="25" t="s">
        <v>29</v>
      </c>
      <c r="G70" s="25" t="s">
        <v>30</v>
      </c>
      <c r="H70" s="35" t="s">
        <v>31</v>
      </c>
      <c r="I70" s="26" t="s">
        <v>31</v>
      </c>
      <c r="K70" s="37" t="s">
        <v>37</v>
      </c>
      <c r="L70" s="38" t="s">
        <v>38</v>
      </c>
      <c r="T70" s="372" t="s">
        <v>12</v>
      </c>
      <c r="U70" s="372">
        <v>2E-3</v>
      </c>
      <c r="V70" s="372">
        <v>0.74</v>
      </c>
      <c r="W70" s="372">
        <v>1.1000000000000001</v>
      </c>
      <c r="X70" s="372">
        <v>5.9999999999999995E-4</v>
      </c>
      <c r="Y70" s="372">
        <v>1.6000000000000001E-3</v>
      </c>
      <c r="Z70" s="372">
        <v>0.1431</v>
      </c>
      <c r="AA70" s="372">
        <v>1E-4</v>
      </c>
      <c r="AB70" s="372">
        <v>3.7159</v>
      </c>
      <c r="AC70" s="372">
        <v>0</v>
      </c>
      <c r="AD70" s="372">
        <v>1.0999000000000001</v>
      </c>
      <c r="AE70" s="372">
        <v>27.085699999999999</v>
      </c>
    </row>
    <row r="71" spans="1:31" x14ac:dyDescent="0.2">
      <c r="A71" s="30"/>
      <c r="B71" s="31">
        <v>2014</v>
      </c>
      <c r="C71" s="31"/>
      <c r="D71" s="31" t="s">
        <v>105</v>
      </c>
      <c r="E71" s="31"/>
      <c r="F71" s="31"/>
      <c r="G71" s="31"/>
      <c r="H71" s="36" t="s">
        <v>32</v>
      </c>
      <c r="I71" s="32" t="s">
        <v>33</v>
      </c>
      <c r="K71" s="39" t="s">
        <v>32</v>
      </c>
      <c r="L71" s="40" t="s">
        <v>39</v>
      </c>
      <c r="T71" s="372" t="s">
        <v>13</v>
      </c>
      <c r="U71" s="372">
        <v>5.3E-3</v>
      </c>
      <c r="V71" s="372">
        <v>0.74</v>
      </c>
      <c r="W71" s="372">
        <v>1.1000000000000001</v>
      </c>
      <c r="X71" s="372">
        <v>3.3E-3</v>
      </c>
      <c r="Y71" s="372">
        <v>5.5999999999999999E-3</v>
      </c>
      <c r="Z71" s="372">
        <v>0.58299999999999996</v>
      </c>
      <c r="AA71" s="372">
        <v>2.0000000000000001E-4</v>
      </c>
      <c r="AB71" s="372">
        <v>1.8443000000000001</v>
      </c>
      <c r="AC71" s="372">
        <v>0</v>
      </c>
      <c r="AD71" s="372">
        <v>1.0965</v>
      </c>
      <c r="AE71" s="372">
        <v>36.958799999999997</v>
      </c>
    </row>
    <row r="72" spans="1:31" x14ac:dyDescent="0.2">
      <c r="A72" s="27"/>
      <c r="B72" s="28"/>
      <c r="C72" s="28"/>
      <c r="D72" s="28"/>
      <c r="E72" s="28"/>
      <c r="F72" s="28"/>
      <c r="G72" s="28"/>
      <c r="H72" s="58"/>
      <c r="I72" s="29"/>
      <c r="K72" s="27"/>
      <c r="L72" s="41"/>
      <c r="T72" s="372" t="s">
        <v>14</v>
      </c>
      <c r="U72" s="372">
        <v>1.0699999999999999E-2</v>
      </c>
      <c r="V72" s="372">
        <v>0.74</v>
      </c>
      <c r="W72" s="372">
        <v>1.1000000000000001</v>
      </c>
      <c r="X72" s="372">
        <v>6.3E-3</v>
      </c>
      <c r="Y72" s="372">
        <v>0.01</v>
      </c>
      <c r="Z72" s="372">
        <v>0.54430000000000001</v>
      </c>
      <c r="AA72" s="372">
        <v>5.0000000000000001E-4</v>
      </c>
      <c r="AB72" s="372">
        <v>1.6661999999999999</v>
      </c>
      <c r="AC72" s="372">
        <v>0</v>
      </c>
      <c r="AD72" s="372">
        <v>1.0963000000000001</v>
      </c>
      <c r="AE72" s="372">
        <v>54.0565</v>
      </c>
    </row>
    <row r="73" spans="1:31" x14ac:dyDescent="0.2">
      <c r="A73" s="48" t="s">
        <v>34</v>
      </c>
      <c r="B73" s="28"/>
      <c r="C73" s="28"/>
      <c r="D73" s="28"/>
      <c r="E73" s="42"/>
      <c r="F73" s="47"/>
      <c r="G73" s="45"/>
      <c r="H73" s="58"/>
      <c r="I73" s="29"/>
      <c r="K73" s="27"/>
      <c r="L73" s="41"/>
      <c r="T73" s="372" t="s">
        <v>15</v>
      </c>
      <c r="U73" s="372">
        <v>2.0899999999999998E-2</v>
      </c>
      <c r="V73" s="372">
        <v>0.74</v>
      </c>
      <c r="W73" s="372">
        <v>1.1000000000000001</v>
      </c>
      <c r="X73" s="372">
        <v>1.6E-2</v>
      </c>
      <c r="Y73" s="372">
        <v>2.0299999999999999E-2</v>
      </c>
      <c r="Z73" s="372">
        <v>0.74099999999999999</v>
      </c>
      <c r="AA73" s="372">
        <v>1.1999999999999999E-3</v>
      </c>
      <c r="AB73" s="372">
        <v>1.3636999999999999</v>
      </c>
      <c r="AC73" s="372">
        <v>0</v>
      </c>
      <c r="AD73" s="372">
        <v>1.0978000000000001</v>
      </c>
      <c r="AE73" s="372">
        <v>64.927400000000006</v>
      </c>
    </row>
    <row r="74" spans="1:31" x14ac:dyDescent="0.2">
      <c r="A74" s="33" t="s">
        <v>7</v>
      </c>
      <c r="B74" s="28">
        <f>SUM('[2]Pop 57'!$C$5:$C$6)</f>
        <v>1966319</v>
      </c>
      <c r="C74" s="46"/>
      <c r="D74" s="102"/>
      <c r="E74" s="42"/>
      <c r="F74" s="42"/>
      <c r="G74" s="45"/>
      <c r="H74" s="60">
        <f>C74*E74*G74</f>
        <v>0</v>
      </c>
      <c r="I74" s="98">
        <f>C74*G74*(1-EXP(-0.03*E74))/0.03</f>
        <v>0</v>
      </c>
      <c r="K74" s="99">
        <f>L74*G74</f>
        <v>0</v>
      </c>
      <c r="L74" s="100">
        <f>C74*E74</f>
        <v>0</v>
      </c>
      <c r="T74" s="372" t="s">
        <v>16</v>
      </c>
      <c r="U74" s="372">
        <v>2.41E-2</v>
      </c>
      <c r="V74" s="372">
        <v>0.74</v>
      </c>
      <c r="W74" s="372">
        <v>1.1000000000000001</v>
      </c>
      <c r="X74" s="372">
        <v>1.11E-2</v>
      </c>
      <c r="Y74" s="372">
        <v>2.4199999999999999E-2</v>
      </c>
      <c r="Z74" s="372">
        <v>0.4466</v>
      </c>
      <c r="AA74" s="372">
        <v>3.0999999999999999E-3</v>
      </c>
      <c r="AB74" s="372">
        <v>2.0286</v>
      </c>
      <c r="AC74" s="372">
        <v>1E-4</v>
      </c>
      <c r="AD74" s="372">
        <v>1.0956999999999999</v>
      </c>
      <c r="AE74" s="372">
        <v>74.350399999999993</v>
      </c>
    </row>
    <row r="75" spans="1:31" x14ac:dyDescent="0.2">
      <c r="A75" s="33" t="s">
        <v>11</v>
      </c>
      <c r="B75" s="28">
        <f>SUM('[2]Pop 57'!$C$7:$C$8)</f>
        <v>4179206</v>
      </c>
      <c r="C75" s="46"/>
      <c r="D75" s="102"/>
      <c r="E75" s="42"/>
      <c r="F75" s="42"/>
      <c r="G75" s="45"/>
      <c r="H75" s="60">
        <f t="shared" ref="H75:H81" si="0">C75*E75*G75</f>
        <v>0</v>
      </c>
      <c r="I75" s="98">
        <f t="shared" ref="I75:I80" si="1">C75*G75*(1-EXP(-0.03*E75))/0.03</f>
        <v>0</v>
      </c>
      <c r="K75" s="99">
        <f t="shared" ref="K75:K81" si="2">L75*G75</f>
        <v>0</v>
      </c>
      <c r="L75" s="100">
        <f t="shared" ref="L75:L81" si="3">C75*E75</f>
        <v>0</v>
      </c>
      <c r="T75" s="372" t="s">
        <v>17</v>
      </c>
      <c r="U75" s="372">
        <v>2.3E-2</v>
      </c>
      <c r="V75" s="372">
        <v>0.74</v>
      </c>
      <c r="W75" s="372">
        <v>1.1000000000000001</v>
      </c>
      <c r="X75" s="372">
        <v>1.4E-2</v>
      </c>
      <c r="Y75" s="372">
        <v>2.3E-2</v>
      </c>
      <c r="Z75" s="372">
        <v>0.58850000000000002</v>
      </c>
      <c r="AA75" s="372">
        <v>8.0999999999999996E-3</v>
      </c>
      <c r="AB75" s="372">
        <v>1.4268000000000001</v>
      </c>
      <c r="AC75" s="372">
        <v>2.0000000000000001E-4</v>
      </c>
      <c r="AD75" s="372">
        <v>1.0951</v>
      </c>
      <c r="AE75" s="372">
        <v>87.160899999999998</v>
      </c>
    </row>
    <row r="76" spans="1:31" x14ac:dyDescent="0.2">
      <c r="A76" s="33" t="s">
        <v>12</v>
      </c>
      <c r="B76" s="28">
        <f>SUM('[2]Pop 57'!$C$9:$C$11)</f>
        <v>7301822</v>
      </c>
      <c r="C76" s="46">
        <f>B76*D76</f>
        <v>1.5776316613199999</v>
      </c>
      <c r="D76" s="102">
        <f>X40*'1.Diabetes IDDM_DISMOD'!F57</f>
        <v>2.1605999999999999E-7</v>
      </c>
      <c r="E76" s="42">
        <f>AB40</f>
        <v>9.8226999999999993</v>
      </c>
      <c r="F76" s="42"/>
      <c r="G76" s="45">
        <f>$B$17</f>
        <v>0.113</v>
      </c>
      <c r="H76" s="60">
        <f t="shared" si="0"/>
        <v>1.7511160847202196</v>
      </c>
      <c r="I76" s="98">
        <f t="shared" si="1"/>
        <v>1.5166871299753333</v>
      </c>
      <c r="K76" s="99">
        <f t="shared" si="2"/>
        <v>1.7511160847202196</v>
      </c>
      <c r="L76" s="100">
        <f t="shared" si="3"/>
        <v>15.496602519647961</v>
      </c>
      <c r="T76" s="372" t="s">
        <v>92</v>
      </c>
      <c r="U76" s="372">
        <v>7.4000000000000003E-3</v>
      </c>
      <c r="V76" s="372" t="s">
        <v>93</v>
      </c>
      <c r="W76" s="372" t="s">
        <v>93</v>
      </c>
      <c r="X76" s="372">
        <v>4.4999999999999997E-3</v>
      </c>
      <c r="Y76" s="372">
        <v>7.1999999999999998E-3</v>
      </c>
      <c r="Z76" s="372">
        <v>0.56740000000000002</v>
      </c>
      <c r="AA76" s="372">
        <v>1.5E-3</v>
      </c>
      <c r="AB76" s="372">
        <v>1.694</v>
      </c>
      <c r="AC76" s="372">
        <v>0</v>
      </c>
      <c r="AD76" s="372">
        <v>1.0959000000000001</v>
      </c>
      <c r="AE76" s="372">
        <v>58.325800000000001</v>
      </c>
    </row>
    <row r="77" spans="1:31" x14ac:dyDescent="0.2">
      <c r="A77" s="33" t="s">
        <v>13</v>
      </c>
      <c r="B77" s="28">
        <f>SUM('[2]Pop 57'!$C$12:$C$14)</f>
        <v>7896765</v>
      </c>
      <c r="C77" s="46">
        <f t="shared" ref="C77:C81" si="4">B77*D77</f>
        <v>22.238079916499998</v>
      </c>
      <c r="D77" s="102">
        <f>X41*'1.Diabetes IDDM_DISMOD'!F58</f>
        <v>2.8161E-6</v>
      </c>
      <c r="E77" s="42">
        <f t="shared" ref="E77:E81" si="5">AB41</f>
        <v>2.5411999999999999</v>
      </c>
      <c r="F77" s="42"/>
      <c r="G77" s="45">
        <f t="shared" ref="G77:G81" si="6">$B$17</f>
        <v>0.113</v>
      </c>
      <c r="H77" s="60">
        <f t="shared" si="0"/>
        <v>6.385789181270507</v>
      </c>
      <c r="I77" s="98">
        <f t="shared" si="1"/>
        <v>6.1484451765421984</v>
      </c>
      <c r="K77" s="99">
        <f t="shared" si="2"/>
        <v>6.385789181270507</v>
      </c>
      <c r="L77" s="100">
        <f t="shared" si="3"/>
        <v>56.511408683809798</v>
      </c>
    </row>
    <row r="78" spans="1:31" x14ac:dyDescent="0.2">
      <c r="A78" s="33" t="s">
        <v>14</v>
      </c>
      <c r="B78" s="28">
        <f>SUM('[2]Pop 57'!$C$15:$C$17)</f>
        <v>6554289</v>
      </c>
      <c r="C78" s="46">
        <f t="shared" si="4"/>
        <v>30.985532333280005</v>
      </c>
      <c r="D78" s="102">
        <f>X42*'1.Diabetes IDDM_DISMOD'!F59</f>
        <v>4.7275200000000006E-6</v>
      </c>
      <c r="E78" s="42">
        <f t="shared" si="5"/>
        <v>1.6830000000000001</v>
      </c>
      <c r="F78" s="42"/>
      <c r="G78" s="45">
        <f t="shared" si="6"/>
        <v>0.113</v>
      </c>
      <c r="H78" s="60">
        <f t="shared" si="0"/>
        <v>5.8927975536108583</v>
      </c>
      <c r="I78" s="98">
        <f t="shared" si="1"/>
        <v>5.746506285606598</v>
      </c>
      <c r="K78" s="99">
        <f t="shared" si="2"/>
        <v>5.8927975536108583</v>
      </c>
      <c r="L78" s="100">
        <f t="shared" si="3"/>
        <v>52.148650916910249</v>
      </c>
      <c r="T78" s="372" t="s">
        <v>336</v>
      </c>
      <c r="U78" s="372"/>
      <c r="V78" s="372"/>
      <c r="W78" s="372"/>
      <c r="X78" s="372"/>
      <c r="Y78" s="372"/>
      <c r="Z78" s="372"/>
      <c r="AA78" s="372"/>
      <c r="AB78" s="372"/>
      <c r="AC78" s="372"/>
      <c r="AD78" s="372"/>
      <c r="AE78" s="372"/>
    </row>
    <row r="79" spans="1:31" x14ac:dyDescent="0.2">
      <c r="A79" s="33" t="s">
        <v>15</v>
      </c>
      <c r="B79" s="28">
        <f>SUM('[2]Pop 57'!$C$18:$C$19)</f>
        <v>2344057</v>
      </c>
      <c r="C79" s="46">
        <f t="shared" si="4"/>
        <v>8.6077523531199986</v>
      </c>
      <c r="D79" s="102">
        <f>X43*'1.Diabetes IDDM_DISMOD'!F60</f>
        <v>3.6721599999999995E-6</v>
      </c>
      <c r="E79" s="42">
        <f t="shared" si="5"/>
        <v>2.3159000000000001</v>
      </c>
      <c r="F79" s="42"/>
      <c r="G79" s="45">
        <f t="shared" si="6"/>
        <v>0.113</v>
      </c>
      <c r="H79" s="60">
        <f t="shared" si="0"/>
        <v>2.2526203852287385</v>
      </c>
      <c r="I79" s="98">
        <f t="shared" si="1"/>
        <v>2.1761489400715148</v>
      </c>
      <c r="K79" s="99">
        <f t="shared" si="2"/>
        <v>2.2526203852287385</v>
      </c>
      <c r="L79" s="100">
        <f t="shared" si="3"/>
        <v>19.934693674590605</v>
      </c>
      <c r="T79" s="372"/>
      <c r="U79" s="372" t="s">
        <v>35</v>
      </c>
      <c r="V79" s="372"/>
      <c r="W79" s="372"/>
      <c r="X79" s="372"/>
      <c r="Y79" s="372"/>
      <c r="Z79" s="372"/>
      <c r="AA79" s="372"/>
      <c r="AB79" s="372"/>
      <c r="AC79" s="372"/>
      <c r="AD79" s="372"/>
      <c r="AE79" s="372"/>
    </row>
    <row r="80" spans="1:31" x14ac:dyDescent="0.2">
      <c r="A80" s="33" t="s">
        <v>16</v>
      </c>
      <c r="B80" s="28">
        <f>SUM('[2]Pop 57'!$C$20:$C$21)</f>
        <v>1173067</v>
      </c>
      <c r="C80" s="46">
        <f t="shared" si="4"/>
        <v>4.8721930164599998</v>
      </c>
      <c r="D80" s="102">
        <f>X44*'1.Diabetes IDDM_DISMOD'!F61</f>
        <v>4.1533800000000002E-6</v>
      </c>
      <c r="E80" s="42">
        <f t="shared" si="5"/>
        <v>2.3399000000000001</v>
      </c>
      <c r="F80" s="42"/>
      <c r="G80" s="45">
        <f t="shared" si="6"/>
        <v>0.113</v>
      </c>
      <c r="H80" s="60">
        <f t="shared" si="0"/>
        <v>1.2882502216312672</v>
      </c>
      <c r="I80" s="98">
        <f t="shared" si="1"/>
        <v>1.2440742627589034</v>
      </c>
      <c r="J80" s="22" t="s">
        <v>23</v>
      </c>
      <c r="K80" s="99">
        <f t="shared" si="2"/>
        <v>1.2882502216312672</v>
      </c>
      <c r="L80" s="100">
        <f t="shared" si="3"/>
        <v>11.400444439214754</v>
      </c>
      <c r="T80" s="372"/>
      <c r="U80" s="372" t="s">
        <v>79</v>
      </c>
      <c r="V80" s="372" t="s">
        <v>79</v>
      </c>
      <c r="W80" s="372" t="s">
        <v>79</v>
      </c>
      <c r="X80" s="372" t="s">
        <v>80</v>
      </c>
      <c r="Y80" s="372" t="s">
        <v>80</v>
      </c>
      <c r="Z80" s="372" t="s">
        <v>80</v>
      </c>
      <c r="AA80" s="372" t="s">
        <v>80</v>
      </c>
      <c r="AB80" s="372" t="s">
        <v>80</v>
      </c>
      <c r="AC80" s="372" t="s">
        <v>80</v>
      </c>
      <c r="AD80" s="372" t="s">
        <v>80</v>
      </c>
      <c r="AE80" s="372" t="s">
        <v>80</v>
      </c>
    </row>
    <row r="81" spans="1:31" x14ac:dyDescent="0.2">
      <c r="A81" s="33" t="s">
        <v>17</v>
      </c>
      <c r="B81" s="28">
        <f>SUM('[2]Pop 57'!$C$22:$C$26)</f>
        <v>506965</v>
      </c>
      <c r="C81" s="46">
        <f t="shared" si="4"/>
        <v>1.7455007736000001</v>
      </c>
      <c r="D81" s="102">
        <f>X45*'1.Diabetes IDDM_DISMOD'!F62</f>
        <v>3.4430400000000002E-6</v>
      </c>
      <c r="E81" s="42">
        <f t="shared" si="5"/>
        <v>2.9582999999999999</v>
      </c>
      <c r="F81" s="42"/>
      <c r="G81" s="45">
        <f t="shared" si="6"/>
        <v>0.113</v>
      </c>
      <c r="H81" s="60">
        <f t="shared" si="0"/>
        <v>0.58349978805511948</v>
      </c>
      <c r="I81" s="98">
        <f>C81*G81*(1-EXP(-0.03*E81))/0.03</f>
        <v>0.55835655717512478</v>
      </c>
      <c r="K81" s="99">
        <f t="shared" si="2"/>
        <v>0.58349978805511948</v>
      </c>
      <c r="L81" s="100">
        <f t="shared" si="3"/>
        <v>5.1637149385408803</v>
      </c>
      <c r="T81" s="372" t="s">
        <v>81</v>
      </c>
      <c r="U81" s="372" t="s">
        <v>85</v>
      </c>
      <c r="V81" s="372" t="s">
        <v>9</v>
      </c>
      <c r="W81" s="372" t="s">
        <v>84</v>
      </c>
      <c r="X81" s="372" t="s">
        <v>27</v>
      </c>
      <c r="Y81" s="372" t="s">
        <v>85</v>
      </c>
      <c r="Z81" s="372" t="s">
        <v>82</v>
      </c>
      <c r="AA81" s="372" t="s">
        <v>83</v>
      </c>
      <c r="AB81" s="372" t="s">
        <v>9</v>
      </c>
      <c r="AC81" s="372" t="s">
        <v>86</v>
      </c>
      <c r="AD81" s="372" t="s">
        <v>87</v>
      </c>
      <c r="AE81" s="372" t="s">
        <v>88</v>
      </c>
    </row>
    <row r="82" spans="1:31" x14ac:dyDescent="0.2">
      <c r="A82" s="34" t="s">
        <v>18</v>
      </c>
      <c r="B82" s="28">
        <f>SUM(B74:B81)</f>
        <v>31922490</v>
      </c>
      <c r="C82" s="46"/>
      <c r="D82" s="28"/>
      <c r="E82" s="42"/>
      <c r="F82" s="42"/>
      <c r="G82" s="28"/>
      <c r="H82" s="60">
        <f>SUM(H74:H81)</f>
        <v>18.154073214516707</v>
      </c>
      <c r="I82" s="98">
        <f>SUM(I74:I81)</f>
        <v>17.390218352129672</v>
      </c>
      <c r="K82" s="99">
        <f>SUM(K74:K81)</f>
        <v>18.154073214516707</v>
      </c>
      <c r="L82" s="100">
        <f>SUM(L74:L81)</f>
        <v>160.65551517271425</v>
      </c>
      <c r="T82" s="372"/>
      <c r="U82" s="372" t="s">
        <v>94</v>
      </c>
      <c r="V82" s="372" t="s">
        <v>89</v>
      </c>
      <c r="W82" s="372" t="s">
        <v>89</v>
      </c>
      <c r="X82" s="372" t="s">
        <v>94</v>
      </c>
      <c r="Y82" s="372" t="s">
        <v>94</v>
      </c>
      <c r="Z82" s="372" t="s">
        <v>94</v>
      </c>
      <c r="AA82" s="372" t="s">
        <v>94</v>
      </c>
      <c r="AB82" s="372" t="s">
        <v>90</v>
      </c>
      <c r="AC82" s="372" t="s">
        <v>94</v>
      </c>
      <c r="AD82" s="372" t="s">
        <v>91</v>
      </c>
      <c r="AE82" s="372" t="s">
        <v>90</v>
      </c>
    </row>
    <row r="83" spans="1:31" x14ac:dyDescent="0.2">
      <c r="A83" s="27"/>
      <c r="B83" s="28"/>
      <c r="C83" s="28"/>
      <c r="D83" s="28"/>
      <c r="E83" s="42"/>
      <c r="F83" s="42"/>
      <c r="G83" s="45"/>
      <c r="H83" s="58"/>
      <c r="I83" s="29"/>
      <c r="K83" s="99"/>
      <c r="L83" s="100"/>
      <c r="T83" s="372" t="s">
        <v>7</v>
      </c>
      <c r="U83" s="372">
        <v>0</v>
      </c>
      <c r="V83" s="372">
        <v>0.74</v>
      </c>
      <c r="W83" s="372">
        <v>1.1000000000000001</v>
      </c>
      <c r="X83" s="372">
        <v>0</v>
      </c>
      <c r="Y83" s="372">
        <v>0</v>
      </c>
      <c r="Z83" s="372">
        <v>0</v>
      </c>
      <c r="AA83" s="372">
        <v>0</v>
      </c>
      <c r="AB83" s="372">
        <v>27.182400000000001</v>
      </c>
      <c r="AC83" s="372">
        <v>0</v>
      </c>
      <c r="AD83" s="372">
        <v>1.0692999999999999</v>
      </c>
      <c r="AE83" s="372">
        <v>2.698</v>
      </c>
    </row>
    <row r="84" spans="1:31" x14ac:dyDescent="0.2">
      <c r="A84" s="48" t="s">
        <v>35</v>
      </c>
      <c r="B84" s="28"/>
      <c r="C84" s="28"/>
      <c r="D84" s="28"/>
      <c r="E84" s="42"/>
      <c r="F84" s="42"/>
      <c r="G84" s="45"/>
      <c r="H84" s="58"/>
      <c r="I84" s="29"/>
      <c r="K84" s="99"/>
      <c r="L84" s="100"/>
      <c r="T84" s="372" t="s">
        <v>11</v>
      </c>
      <c r="U84" s="372">
        <v>0</v>
      </c>
      <c r="V84" s="372">
        <v>0.74</v>
      </c>
      <c r="W84" s="372">
        <v>1.1000000000000001</v>
      </c>
      <c r="X84" s="372">
        <v>0</v>
      </c>
      <c r="Y84" s="372">
        <v>0</v>
      </c>
      <c r="Z84" s="372">
        <v>0</v>
      </c>
      <c r="AA84" s="372">
        <v>0</v>
      </c>
      <c r="AB84" s="372">
        <v>19.244</v>
      </c>
      <c r="AC84" s="372">
        <v>0</v>
      </c>
      <c r="AD84" s="372">
        <v>1.1009</v>
      </c>
      <c r="AE84" s="372">
        <v>10.7766</v>
      </c>
    </row>
    <row r="85" spans="1:31" x14ac:dyDescent="0.2">
      <c r="A85" s="33" t="s">
        <v>7</v>
      </c>
      <c r="B85" s="28">
        <f>SUM('[2]Pop 57'!$D$5:$D$6)</f>
        <v>1849075</v>
      </c>
      <c r="C85" s="46"/>
      <c r="D85" s="102"/>
      <c r="E85" s="42"/>
      <c r="F85" s="42"/>
      <c r="G85" s="45"/>
      <c r="H85" s="60">
        <f>C85*E85*G85</f>
        <v>0</v>
      </c>
      <c r="I85" s="98">
        <f>C85*G85*(1-EXP(-0.03*E85))/0.03</f>
        <v>0</v>
      </c>
      <c r="K85" s="99">
        <f>L85*G85</f>
        <v>0</v>
      </c>
      <c r="L85" s="100">
        <f>C85*E85</f>
        <v>0</v>
      </c>
      <c r="T85" s="372" t="s">
        <v>12</v>
      </c>
      <c r="U85" s="372">
        <v>13853</v>
      </c>
      <c r="V85" s="372">
        <v>0.74</v>
      </c>
      <c r="W85" s="372">
        <v>1.1000000000000001</v>
      </c>
      <c r="X85" s="372">
        <v>4515</v>
      </c>
      <c r="Y85" s="372">
        <v>11013</v>
      </c>
      <c r="Z85" s="372">
        <v>1576</v>
      </c>
      <c r="AA85" s="372">
        <v>1</v>
      </c>
      <c r="AB85" s="372">
        <v>3.7159</v>
      </c>
      <c r="AC85" s="372">
        <v>1</v>
      </c>
      <c r="AD85" s="372">
        <v>1.0999000000000001</v>
      </c>
      <c r="AE85" s="372">
        <v>27.085699999999999</v>
      </c>
    </row>
    <row r="86" spans="1:31" x14ac:dyDescent="0.2">
      <c r="A86" s="33" t="s">
        <v>11</v>
      </c>
      <c r="B86" s="28">
        <f>SUM('[2]Pop 57'!$D$7:$D$8)</f>
        <v>3940160</v>
      </c>
      <c r="C86" s="46"/>
      <c r="D86" s="102"/>
      <c r="E86" s="42"/>
      <c r="F86" s="42"/>
      <c r="G86" s="45"/>
      <c r="H86" s="60">
        <f t="shared" ref="H86:H92" si="7">C86*E86*G86</f>
        <v>0</v>
      </c>
      <c r="I86" s="98">
        <f t="shared" ref="I86:I91" si="8">C86*G86*(1-EXP(-0.03*E86))/0.03</f>
        <v>0</v>
      </c>
      <c r="K86" s="99">
        <f t="shared" ref="K86:K92" si="9">L86*G86</f>
        <v>0</v>
      </c>
      <c r="L86" s="100">
        <f t="shared" ref="L86:L92" si="10">C86*E86</f>
        <v>0</v>
      </c>
      <c r="T86" s="372" t="s">
        <v>13</v>
      </c>
      <c r="U86" s="372">
        <v>42663</v>
      </c>
      <c r="V86" s="372">
        <v>0.74</v>
      </c>
      <c r="W86" s="372">
        <v>1.1000000000000001</v>
      </c>
      <c r="X86" s="372">
        <v>25968</v>
      </c>
      <c r="Y86" s="372">
        <v>44936</v>
      </c>
      <c r="Z86" s="372">
        <v>26199</v>
      </c>
      <c r="AA86" s="372">
        <v>7</v>
      </c>
      <c r="AB86" s="372">
        <v>1.8443000000000001</v>
      </c>
      <c r="AC86" s="372">
        <v>7</v>
      </c>
      <c r="AD86" s="372">
        <v>1.0965</v>
      </c>
      <c r="AE86" s="372">
        <v>36.958799999999997</v>
      </c>
    </row>
    <row r="87" spans="1:31" x14ac:dyDescent="0.2">
      <c r="A87" s="33" t="s">
        <v>12</v>
      </c>
      <c r="B87" s="46">
        <f>SUM('[2]Pop 57'!$D$9:$D$11)</f>
        <v>7026158.1752900956</v>
      </c>
      <c r="C87" s="46">
        <f>B87*D87</f>
        <v>1.5433659047842223</v>
      </c>
      <c r="D87" s="102">
        <f>X70*'1.Diabetes IDDM_DISMOD'!F87</f>
        <v>2.1966E-7</v>
      </c>
      <c r="E87" s="42">
        <f>AB70</f>
        <v>3.7159</v>
      </c>
      <c r="F87" s="42"/>
      <c r="G87" s="45">
        <f>$B$17</f>
        <v>0.113</v>
      </c>
      <c r="H87" s="60">
        <f t="shared" si="7"/>
        <v>0.64805425031140917</v>
      </c>
      <c r="I87" s="98">
        <f t="shared" si="8"/>
        <v>0.61323833146230511</v>
      </c>
      <c r="K87" s="99">
        <f t="shared" si="9"/>
        <v>0.64805425031140917</v>
      </c>
      <c r="L87" s="100">
        <f t="shared" si="10"/>
        <v>5.7349933655876919</v>
      </c>
      <c r="T87" s="372" t="s">
        <v>14</v>
      </c>
      <c r="U87" s="372">
        <v>76912</v>
      </c>
      <c r="V87" s="372">
        <v>0.74</v>
      </c>
      <c r="W87" s="372">
        <v>1.1000000000000001</v>
      </c>
      <c r="X87" s="372">
        <v>44334</v>
      </c>
      <c r="Y87" s="372">
        <v>71306</v>
      </c>
      <c r="Z87" s="372">
        <v>38813</v>
      </c>
      <c r="AA87" s="372">
        <v>35</v>
      </c>
      <c r="AB87" s="372">
        <v>1.6661999999999999</v>
      </c>
      <c r="AC87" s="372">
        <v>35</v>
      </c>
      <c r="AD87" s="372">
        <v>1.0963000000000001</v>
      </c>
      <c r="AE87" s="372">
        <v>54.0565</v>
      </c>
    </row>
    <row r="88" spans="1:31" x14ac:dyDescent="0.2">
      <c r="A88" s="33" t="s">
        <v>13</v>
      </c>
      <c r="B88" s="28">
        <f>SUM('[2]Pop 57'!$D$12:$D$14)</f>
        <v>8017814</v>
      </c>
      <c r="C88" s="46">
        <f t="shared" ref="C88:C92" si="11">B88*D88</f>
        <v>12.731967919440001</v>
      </c>
      <c r="D88" s="102">
        <f>X71*'1.Diabetes IDDM_DISMOD'!F88</f>
        <v>1.58796E-6</v>
      </c>
      <c r="E88" s="42">
        <f t="shared" ref="E88:E92" si="12">AB71</f>
        <v>1.8443000000000001</v>
      </c>
      <c r="F88" s="42"/>
      <c r="G88" s="45">
        <f t="shared" ref="G88:G92" si="13">$B$17</f>
        <v>0.113</v>
      </c>
      <c r="H88" s="60">
        <f t="shared" si="7"/>
        <v>2.6534172330220214</v>
      </c>
      <c r="I88" s="98">
        <f t="shared" si="8"/>
        <v>2.5813470678890025</v>
      </c>
      <c r="K88" s="99">
        <f t="shared" si="9"/>
        <v>2.6534172330220214</v>
      </c>
      <c r="L88" s="100">
        <f t="shared" si="10"/>
        <v>23.481568433823195</v>
      </c>
      <c r="T88" s="372" t="s">
        <v>15</v>
      </c>
      <c r="U88" s="372">
        <v>57295</v>
      </c>
      <c r="V88" s="372">
        <v>0.74</v>
      </c>
      <c r="W88" s="372">
        <v>1.1000000000000001</v>
      </c>
      <c r="X88" s="372">
        <v>43022</v>
      </c>
      <c r="Y88" s="372">
        <v>55630</v>
      </c>
      <c r="Z88" s="372">
        <v>41223</v>
      </c>
      <c r="AA88" s="372">
        <v>66</v>
      </c>
      <c r="AB88" s="372">
        <v>1.3636999999999999</v>
      </c>
      <c r="AC88" s="372">
        <v>66</v>
      </c>
      <c r="AD88" s="372">
        <v>1.0978000000000001</v>
      </c>
      <c r="AE88" s="372">
        <v>64.927400000000006</v>
      </c>
    </row>
    <row r="89" spans="1:31" x14ac:dyDescent="0.2">
      <c r="A89" s="33" t="s">
        <v>14</v>
      </c>
      <c r="B89" s="28">
        <f>SUM('[2]Pop 57'!$D$15:$D$17)</f>
        <v>7162204</v>
      </c>
      <c r="C89" s="46">
        <f t="shared" si="11"/>
        <v>20.29131177444</v>
      </c>
      <c r="D89" s="102">
        <f>X72*'1.Diabetes IDDM_DISMOD'!F89</f>
        <v>2.8331099999999999E-6</v>
      </c>
      <c r="E89" s="42">
        <f t="shared" si="12"/>
        <v>1.6661999999999999</v>
      </c>
      <c r="F89" s="42"/>
      <c r="G89" s="45">
        <f t="shared" si="13"/>
        <v>0.113</v>
      </c>
      <c r="H89" s="60">
        <f t="shared" si="7"/>
        <v>3.8204603556786276</v>
      </c>
      <c r="I89" s="98">
        <f t="shared" si="8"/>
        <v>3.7265468727689779</v>
      </c>
      <c r="K89" s="99">
        <f t="shared" si="9"/>
        <v>3.8204603556786276</v>
      </c>
      <c r="L89" s="100">
        <f t="shared" si="10"/>
        <v>33.809383678571926</v>
      </c>
      <c r="T89" s="372" t="s">
        <v>16</v>
      </c>
      <c r="U89" s="372">
        <v>36482</v>
      </c>
      <c r="V89" s="372">
        <v>0.74</v>
      </c>
      <c r="W89" s="372">
        <v>1.1000000000000001</v>
      </c>
      <c r="X89" s="372">
        <v>16326</v>
      </c>
      <c r="Y89" s="372">
        <v>36607</v>
      </c>
      <c r="Z89" s="372">
        <v>16349</v>
      </c>
      <c r="AA89" s="372">
        <v>112</v>
      </c>
      <c r="AB89" s="372">
        <v>2.0286</v>
      </c>
      <c r="AC89" s="372">
        <v>112</v>
      </c>
      <c r="AD89" s="372">
        <v>1.0956999999999999</v>
      </c>
      <c r="AE89" s="372">
        <v>74.350399999999993</v>
      </c>
    </row>
    <row r="90" spans="1:31" x14ac:dyDescent="0.2">
      <c r="A90" s="33" t="s">
        <v>15</v>
      </c>
      <c r="B90" s="46">
        <f>SUM('[2]Pop 57'!$D$18:$D$19)</f>
        <v>2739970.5356088658</v>
      </c>
      <c r="C90" s="46">
        <f t="shared" si="11"/>
        <v>17.97420671359416</v>
      </c>
      <c r="D90" s="102">
        <f>X73*'1.Diabetes IDDM_DISMOD'!F90</f>
        <v>6.5599999999999999E-6</v>
      </c>
      <c r="E90" s="42">
        <f t="shared" si="12"/>
        <v>1.3636999999999999</v>
      </c>
      <c r="F90" s="42"/>
      <c r="G90" s="45">
        <f t="shared" si="13"/>
        <v>0.113</v>
      </c>
      <c r="H90" s="60">
        <f t="shared" si="7"/>
        <v>2.7697911035721043</v>
      </c>
      <c r="I90" s="98">
        <f t="shared" si="8"/>
        <v>2.7138984413350991</v>
      </c>
      <c r="K90" s="99">
        <f t="shared" si="9"/>
        <v>2.7697911035721043</v>
      </c>
      <c r="L90" s="100">
        <f t="shared" si="10"/>
        <v>24.511425695328356</v>
      </c>
      <c r="T90" s="372" t="s">
        <v>17</v>
      </c>
      <c r="U90" s="372">
        <v>18036</v>
      </c>
      <c r="V90" s="372">
        <v>0.74</v>
      </c>
      <c r="W90" s="372">
        <v>1.1000000000000001</v>
      </c>
      <c r="X90" s="372">
        <v>10756</v>
      </c>
      <c r="Y90" s="372">
        <v>18023</v>
      </c>
      <c r="Z90" s="372">
        <v>10607</v>
      </c>
      <c r="AA90" s="372">
        <v>146</v>
      </c>
      <c r="AB90" s="372">
        <v>1.4268000000000001</v>
      </c>
      <c r="AC90" s="372">
        <v>146</v>
      </c>
      <c r="AD90" s="372">
        <v>1.0951</v>
      </c>
      <c r="AE90" s="372">
        <v>87.160899999999998</v>
      </c>
    </row>
    <row r="91" spans="1:31" x14ac:dyDescent="0.2">
      <c r="A91" s="33" t="s">
        <v>16</v>
      </c>
      <c r="B91" s="46">
        <f>SUM('[2]Pop 57'!$D$20:$D$21)</f>
        <v>1513246</v>
      </c>
      <c r="C91" s="46">
        <f t="shared" si="11"/>
        <v>6.2787300382800009</v>
      </c>
      <c r="D91" s="102">
        <f>X74*'1.Diabetes IDDM_DISMOD'!F91</f>
        <v>4.1491800000000003E-6</v>
      </c>
      <c r="E91" s="42">
        <f t="shared" si="12"/>
        <v>2.0286</v>
      </c>
      <c r="F91" s="42"/>
      <c r="G91" s="45">
        <f t="shared" si="13"/>
        <v>0.113</v>
      </c>
      <c r="H91" s="60">
        <f t="shared" si="7"/>
        <v>1.4392845883889935</v>
      </c>
      <c r="I91" s="98">
        <f t="shared" si="8"/>
        <v>1.3963636887356929</v>
      </c>
      <c r="K91" s="99">
        <f t="shared" si="9"/>
        <v>1.4392845883889935</v>
      </c>
      <c r="L91" s="100">
        <f t="shared" si="10"/>
        <v>12.73703175565481</v>
      </c>
      <c r="T91" s="372" t="s">
        <v>92</v>
      </c>
      <c r="U91" s="372">
        <v>245242</v>
      </c>
      <c r="V91" s="372" t="s">
        <v>93</v>
      </c>
      <c r="W91" s="372" t="s">
        <v>93</v>
      </c>
      <c r="X91" s="372">
        <v>144921</v>
      </c>
      <c r="Y91" s="372">
        <v>237515</v>
      </c>
      <c r="Z91" s="372">
        <v>134767</v>
      </c>
      <c r="AA91" s="372">
        <v>366</v>
      </c>
      <c r="AB91" s="372">
        <v>1.694</v>
      </c>
      <c r="AC91" s="372">
        <v>366</v>
      </c>
      <c r="AD91" s="372">
        <v>1.0959000000000001</v>
      </c>
      <c r="AE91" s="372">
        <v>58.325800000000001</v>
      </c>
    </row>
    <row r="92" spans="1:31" x14ac:dyDescent="0.2">
      <c r="A92" s="33" t="s">
        <v>17</v>
      </c>
      <c r="B92" s="46">
        <f>SUM('[2]Pop 57'!$D$22:$D$26)</f>
        <v>784195.44620730029</v>
      </c>
      <c r="C92" s="46">
        <f t="shared" si="11"/>
        <v>3.7679022799368367</v>
      </c>
      <c r="D92" s="102">
        <f>X75*'1.Diabetes IDDM_DISMOD'!F92</f>
        <v>4.8048000000000001E-6</v>
      </c>
      <c r="E92" s="42">
        <f t="shared" si="12"/>
        <v>1.4268000000000001</v>
      </c>
      <c r="F92" s="42"/>
      <c r="G92" s="45">
        <f t="shared" si="13"/>
        <v>0.113</v>
      </c>
      <c r="H92" s="60">
        <f t="shared" si="7"/>
        <v>0.60749285595056834</v>
      </c>
      <c r="I92" s="98">
        <f>C92*G92*(1-EXP(-0.03*E92))/0.03</f>
        <v>0.59467483190638226</v>
      </c>
      <c r="K92" s="99">
        <f t="shared" si="9"/>
        <v>0.60749285595056834</v>
      </c>
      <c r="L92" s="100">
        <f t="shared" si="10"/>
        <v>5.3760429730138792</v>
      </c>
    </row>
    <row r="93" spans="1:31" x14ac:dyDescent="0.2">
      <c r="A93" s="34" t="s">
        <v>18</v>
      </c>
      <c r="B93" s="46">
        <f>SUM(B85:B92)</f>
        <v>33032823.157106262</v>
      </c>
      <c r="C93" s="46"/>
      <c r="D93" s="28"/>
      <c r="E93" s="42"/>
      <c r="F93" s="28"/>
      <c r="G93" s="28"/>
      <c r="H93" s="60">
        <f>SUM(H85:H92)</f>
        <v>11.938500386923725</v>
      </c>
      <c r="I93" s="98">
        <f>SUM(I85:I92)</f>
        <v>11.626069234097459</v>
      </c>
      <c r="K93" s="99">
        <f>SUM(K85:K92)</f>
        <v>11.938500386923725</v>
      </c>
      <c r="L93" s="100">
        <f>SUM(L85:L92)</f>
        <v>105.65044590197986</v>
      </c>
    </row>
    <row r="94" spans="1:31" x14ac:dyDescent="0.2">
      <c r="A94" s="30"/>
      <c r="B94" s="31"/>
      <c r="C94" s="31"/>
      <c r="D94" s="31"/>
      <c r="E94" s="31"/>
      <c r="F94" s="31"/>
      <c r="G94" s="31"/>
      <c r="H94" s="59"/>
      <c r="I94" s="32"/>
      <c r="K94" s="30"/>
      <c r="L94" s="5"/>
    </row>
    <row r="97" spans="1:12" x14ac:dyDescent="0.2">
      <c r="A97" s="23" t="s">
        <v>298</v>
      </c>
    </row>
    <row r="98" spans="1:12" x14ac:dyDescent="0.2">
      <c r="A98" s="23"/>
    </row>
    <row r="99" spans="1:12" x14ac:dyDescent="0.2">
      <c r="A99" s="24" t="s">
        <v>25</v>
      </c>
      <c r="B99" s="25" t="s">
        <v>26</v>
      </c>
      <c r="C99" s="25" t="s">
        <v>27</v>
      </c>
      <c r="D99" s="25" t="s">
        <v>28</v>
      </c>
      <c r="E99" s="25" t="s">
        <v>9</v>
      </c>
      <c r="F99" s="25" t="s">
        <v>29</v>
      </c>
      <c r="G99" s="25" t="s">
        <v>30</v>
      </c>
      <c r="H99" s="35" t="s">
        <v>31</v>
      </c>
      <c r="I99" s="26" t="s">
        <v>31</v>
      </c>
      <c r="K99" s="37" t="s">
        <v>37</v>
      </c>
      <c r="L99" s="38" t="s">
        <v>38</v>
      </c>
    </row>
    <row r="100" spans="1:12" x14ac:dyDescent="0.2">
      <c r="A100" s="30"/>
      <c r="B100" s="31">
        <v>2014</v>
      </c>
      <c r="C100" s="31"/>
      <c r="D100" s="31" t="s">
        <v>105</v>
      </c>
      <c r="E100" s="31"/>
      <c r="F100" s="31"/>
      <c r="G100" s="31"/>
      <c r="H100" s="36" t="s">
        <v>32</v>
      </c>
      <c r="I100" s="32" t="s">
        <v>33</v>
      </c>
      <c r="K100" s="39" t="s">
        <v>32</v>
      </c>
      <c r="L100" s="40" t="s">
        <v>39</v>
      </c>
    </row>
    <row r="101" spans="1:12" x14ac:dyDescent="0.2">
      <c r="A101" s="27"/>
      <c r="B101" s="28"/>
      <c r="C101" s="28"/>
      <c r="D101" s="28"/>
      <c r="E101" s="28"/>
      <c r="F101" s="28"/>
      <c r="G101" s="28"/>
      <c r="H101" s="58"/>
      <c r="I101" s="29"/>
      <c r="K101" s="27"/>
      <c r="L101" s="41"/>
    </row>
    <row r="102" spans="1:12" x14ac:dyDescent="0.2">
      <c r="A102" s="48" t="s">
        <v>34</v>
      </c>
      <c r="B102" s="28"/>
      <c r="C102" s="28"/>
      <c r="D102" s="28"/>
      <c r="E102" s="42"/>
      <c r="F102" s="47"/>
      <c r="G102" s="45"/>
      <c r="H102" s="58"/>
      <c r="I102" s="29"/>
      <c r="K102" s="27"/>
      <c r="L102" s="41"/>
    </row>
    <row r="103" spans="1:12" x14ac:dyDescent="0.2">
      <c r="A103" s="33" t="s">
        <v>7</v>
      </c>
      <c r="B103" s="28">
        <f>SUM('[2]Pop 57'!$C$5:$C$6)</f>
        <v>1966319</v>
      </c>
      <c r="C103" s="46"/>
      <c r="D103" s="91"/>
      <c r="E103" s="42"/>
      <c r="F103" s="42"/>
      <c r="G103" s="45"/>
      <c r="H103" s="60">
        <f>C103*E103*G103</f>
        <v>0</v>
      </c>
      <c r="I103" s="98">
        <f>C103*G103*(1-EXP(-0.03*E103))/0.03</f>
        <v>0</v>
      </c>
      <c r="K103" s="99">
        <f>L103*G103</f>
        <v>0</v>
      </c>
      <c r="L103" s="100">
        <f>C103*E103</f>
        <v>0</v>
      </c>
    </row>
    <row r="104" spans="1:12" x14ac:dyDescent="0.2">
      <c r="A104" s="33" t="s">
        <v>11</v>
      </c>
      <c r="B104" s="28">
        <f>SUM('[2]Pop 57'!$C$7:$C$8)</f>
        <v>4179206</v>
      </c>
      <c r="C104" s="46"/>
      <c r="D104" s="91"/>
      <c r="E104" s="42"/>
      <c r="F104" s="42"/>
      <c r="G104" s="45"/>
      <c r="H104" s="60">
        <f t="shared" ref="H104:H110" si="14">C104*E104*G104</f>
        <v>0</v>
      </c>
      <c r="I104" s="98">
        <f t="shared" ref="I104:I109" si="15">C104*G104*(1-EXP(-0.03*E104))/0.03</f>
        <v>0</v>
      </c>
      <c r="K104" s="99">
        <f t="shared" ref="K104:K110" si="16">L104*G104</f>
        <v>0</v>
      </c>
      <c r="L104" s="100">
        <f t="shared" ref="L104:L110" si="17">C104*E104</f>
        <v>0</v>
      </c>
    </row>
    <row r="105" spans="1:12" x14ac:dyDescent="0.2">
      <c r="A105" s="33" t="s">
        <v>12</v>
      </c>
      <c r="B105" s="28">
        <f>SUM('[2]Pop 57'!$C$9:$C$11)</f>
        <v>7301822</v>
      </c>
      <c r="C105" s="46">
        <f>D105*B105</f>
        <v>60.872399999999992</v>
      </c>
      <c r="D105" s="91">
        <f>X40*'1.Diabetes case'!N95</f>
        <v>8.3366042064569626E-6</v>
      </c>
      <c r="E105" s="42">
        <f>AB40</f>
        <v>9.8226999999999993</v>
      </c>
      <c r="F105" s="42"/>
      <c r="G105" s="45">
        <f t="shared" ref="G105:G110" si="18">$B$17</f>
        <v>0.113</v>
      </c>
      <c r="H105" s="60">
        <f t="shared" si="14"/>
        <v>67.566239553239981</v>
      </c>
      <c r="I105" s="98">
        <f t="shared" si="15"/>
        <v>58.520875255167553</v>
      </c>
      <c r="K105" s="99">
        <f t="shared" si="16"/>
        <v>67.566239553239981</v>
      </c>
      <c r="L105" s="100">
        <f t="shared" si="17"/>
        <v>597.93132347999983</v>
      </c>
    </row>
    <row r="106" spans="1:12" x14ac:dyDescent="0.2">
      <c r="A106" s="33" t="s">
        <v>13</v>
      </c>
      <c r="B106" s="28">
        <f>SUM('[2]Pop 57'!$C$12:$C$14)</f>
        <v>7896765</v>
      </c>
      <c r="C106" s="46">
        <f t="shared" ref="C106:C110" si="19">D106*B106</f>
        <v>2568.7431000000001</v>
      </c>
      <c r="D106" s="91">
        <f>X41*'1.Diabetes case'!N96</f>
        <v>3.2529055885543003E-4</v>
      </c>
      <c r="E106" s="42">
        <f t="shared" ref="E106:E110" si="20">AB41</f>
        <v>2.5411999999999999</v>
      </c>
      <c r="F106" s="42"/>
      <c r="G106" s="45">
        <f t="shared" si="18"/>
        <v>0.113</v>
      </c>
      <c r="H106" s="60">
        <f t="shared" si="14"/>
        <v>737.62896612636007</v>
      </c>
      <c r="I106" s="98">
        <f t="shared" si="15"/>
        <v>710.21312011980569</v>
      </c>
      <c r="K106" s="99">
        <f t="shared" si="16"/>
        <v>737.62896612636007</v>
      </c>
      <c r="L106" s="100">
        <f t="shared" si="17"/>
        <v>6527.6899657200001</v>
      </c>
    </row>
    <row r="107" spans="1:12" x14ac:dyDescent="0.2">
      <c r="A107" s="33" t="s">
        <v>14</v>
      </c>
      <c r="B107" s="28">
        <f>SUM('[2]Pop 57'!$C$15:$C$17)</f>
        <v>6554289</v>
      </c>
      <c r="C107" s="46">
        <f t="shared" si="19"/>
        <v>9028.5425999999989</v>
      </c>
      <c r="D107" s="91">
        <f>X42*'1.Diabetes case'!N97</f>
        <v>1.3775014498140072E-3</v>
      </c>
      <c r="E107" s="42">
        <f t="shared" si="20"/>
        <v>1.6830000000000001</v>
      </c>
      <c r="F107" s="42"/>
      <c r="G107" s="45">
        <f t="shared" si="18"/>
        <v>0.113</v>
      </c>
      <c r="H107" s="60">
        <f t="shared" si="14"/>
        <v>1717.0392031253998</v>
      </c>
      <c r="I107" s="98">
        <f t="shared" si="15"/>
        <v>1674.4129564313621</v>
      </c>
      <c r="K107" s="99">
        <f t="shared" si="16"/>
        <v>1717.0392031253998</v>
      </c>
      <c r="L107" s="100">
        <f t="shared" si="17"/>
        <v>15195.037195799998</v>
      </c>
    </row>
    <row r="108" spans="1:12" x14ac:dyDescent="0.2">
      <c r="A108" s="33" t="s">
        <v>15</v>
      </c>
      <c r="B108" s="28">
        <f>SUM('[2]Pop 57'!$C$18:$C$19)</f>
        <v>2344057</v>
      </c>
      <c r="C108" s="46">
        <f t="shared" si="19"/>
        <v>4063.8019999999997</v>
      </c>
      <c r="D108" s="91">
        <f>X43*'1.Diabetes case'!N98</f>
        <v>1.7336617667573781E-3</v>
      </c>
      <c r="E108" s="42">
        <f t="shared" si="20"/>
        <v>2.3159000000000001</v>
      </c>
      <c r="F108" s="42"/>
      <c r="G108" s="45">
        <f t="shared" si="18"/>
        <v>0.113</v>
      </c>
      <c r="H108" s="60">
        <f t="shared" si="14"/>
        <v>1063.4835728534001</v>
      </c>
      <c r="I108" s="98">
        <f t="shared" si="15"/>
        <v>1027.3806740914281</v>
      </c>
      <c r="K108" s="99">
        <f t="shared" si="16"/>
        <v>1063.4835728534001</v>
      </c>
      <c r="L108" s="100">
        <f t="shared" si="17"/>
        <v>9411.3590518000001</v>
      </c>
    </row>
    <row r="109" spans="1:12" x14ac:dyDescent="0.2">
      <c r="A109" s="33" t="s">
        <v>16</v>
      </c>
      <c r="B109" s="28">
        <f>SUM('[2]Pop 57'!$C$20:$C$21)</f>
        <v>1173067</v>
      </c>
      <c r="C109" s="46">
        <f t="shared" si="19"/>
        <v>2756.5383999999999</v>
      </c>
      <c r="D109" s="91">
        <f>X44*'1.Diabetes case'!N99</f>
        <v>2.3498558905842549E-3</v>
      </c>
      <c r="E109" s="42">
        <f t="shared" si="20"/>
        <v>2.3399000000000001</v>
      </c>
      <c r="F109" s="42"/>
      <c r="G109" s="45">
        <f t="shared" si="18"/>
        <v>0.113</v>
      </c>
      <c r="H109" s="60">
        <f t="shared" si="14"/>
        <v>728.85273484408003</v>
      </c>
      <c r="I109" s="98">
        <f t="shared" si="15"/>
        <v>703.85932292934262</v>
      </c>
      <c r="K109" s="99">
        <f t="shared" si="16"/>
        <v>728.85273484408003</v>
      </c>
      <c r="L109" s="100">
        <f t="shared" si="17"/>
        <v>6450.0242021599997</v>
      </c>
    </row>
    <row r="110" spans="1:12" x14ac:dyDescent="0.2">
      <c r="A110" s="33" t="s">
        <v>17</v>
      </c>
      <c r="B110" s="28">
        <f>SUM('[2]Pop 57'!$C$22:$C$26)</f>
        <v>506965</v>
      </c>
      <c r="C110" s="46">
        <f t="shared" si="19"/>
        <v>1019.5488</v>
      </c>
      <c r="D110" s="91">
        <f>X45*'1.Diabetes case'!N100</f>
        <v>2.0110832108725454E-3</v>
      </c>
      <c r="E110" s="42">
        <f t="shared" si="20"/>
        <v>2.9582999999999999</v>
      </c>
      <c r="F110" s="42"/>
      <c r="G110" s="45">
        <f t="shared" si="18"/>
        <v>0.113</v>
      </c>
      <c r="H110" s="60">
        <f t="shared" si="14"/>
        <v>340.82282729951999</v>
      </c>
      <c r="I110" s="98">
        <f>C110*G110*(1-EXP(-0.03*E110))/0.03</f>
        <v>326.13664024103412</v>
      </c>
      <c r="K110" s="99">
        <f t="shared" si="16"/>
        <v>340.82282729951999</v>
      </c>
      <c r="L110" s="100">
        <f t="shared" si="17"/>
        <v>3016.1312150399999</v>
      </c>
    </row>
    <row r="111" spans="1:12" x14ac:dyDescent="0.2">
      <c r="A111" s="34" t="s">
        <v>18</v>
      </c>
      <c r="B111" s="28">
        <f>SUM(B103:B110)</f>
        <v>31922490</v>
      </c>
      <c r="C111" s="46"/>
      <c r="D111" s="28"/>
      <c r="E111" s="42"/>
      <c r="F111" s="42"/>
      <c r="G111" s="45"/>
      <c r="H111" s="60">
        <f>SUM(H103:H110)</f>
        <v>4655.3935438020007</v>
      </c>
      <c r="I111" s="98">
        <f>SUM(I103:I110)</f>
        <v>4500.5235890681406</v>
      </c>
      <c r="K111" s="99">
        <f>SUM(K103:K110)</f>
        <v>4655.3935438020007</v>
      </c>
      <c r="L111" s="100">
        <f>SUM(L103:L110)</f>
        <v>41198.172953999994</v>
      </c>
    </row>
    <row r="112" spans="1:12" x14ac:dyDescent="0.2">
      <c r="A112" s="27"/>
      <c r="B112" s="28"/>
      <c r="C112" s="28"/>
      <c r="D112" s="28"/>
      <c r="E112" s="42"/>
      <c r="F112" s="42"/>
      <c r="G112" s="45"/>
      <c r="H112" s="58"/>
      <c r="I112" s="29"/>
      <c r="K112" s="99"/>
      <c r="L112" s="100"/>
    </row>
    <row r="113" spans="1:12" x14ac:dyDescent="0.2">
      <c r="A113" s="48" t="s">
        <v>35</v>
      </c>
      <c r="B113" s="28"/>
      <c r="C113" s="28"/>
      <c r="D113" s="28"/>
      <c r="E113" s="42"/>
      <c r="F113" s="42"/>
      <c r="G113" s="45"/>
      <c r="H113" s="58"/>
      <c r="I113" s="29"/>
      <c r="K113" s="99"/>
      <c r="L113" s="100"/>
    </row>
    <row r="114" spans="1:12" x14ac:dyDescent="0.2">
      <c r="A114" s="33" t="s">
        <v>7</v>
      </c>
      <c r="B114" s="28">
        <f>SUM('[2]Pop 57'!$D$5:$D$6)</f>
        <v>1849075</v>
      </c>
      <c r="C114" s="46"/>
      <c r="D114" s="91"/>
      <c r="E114" s="42"/>
      <c r="F114" s="42"/>
      <c r="G114" s="45"/>
      <c r="H114" s="60">
        <f>C114*E114*G114</f>
        <v>0</v>
      </c>
      <c r="I114" s="98">
        <f>C114*G114*(1-EXP(-0.03*E114))/0.03</f>
        <v>0</v>
      </c>
      <c r="K114" s="99">
        <f>L114*G114</f>
        <v>0</v>
      </c>
      <c r="L114" s="100">
        <f>C114*E114</f>
        <v>0</v>
      </c>
    </row>
    <row r="115" spans="1:12" x14ac:dyDescent="0.2">
      <c r="A115" s="33" t="s">
        <v>11</v>
      </c>
      <c r="B115" s="28">
        <f>SUM('[2]Pop 57'!$D$7:$D$8)</f>
        <v>3940160</v>
      </c>
      <c r="C115" s="46"/>
      <c r="D115" s="91"/>
      <c r="E115" s="42"/>
      <c r="F115" s="42"/>
      <c r="G115" s="45"/>
      <c r="H115" s="60">
        <f t="shared" ref="H115:H121" si="21">C115*E115*G115</f>
        <v>0</v>
      </c>
      <c r="I115" s="98">
        <f t="shared" ref="I115:I120" si="22">C115*G115*(1-EXP(-0.03*E115))/0.03</f>
        <v>0</v>
      </c>
      <c r="K115" s="99">
        <f t="shared" ref="K115:K121" si="23">L115*G115</f>
        <v>0</v>
      </c>
      <c r="L115" s="100">
        <f t="shared" ref="L115:L121" si="24">C115*E115</f>
        <v>0</v>
      </c>
    </row>
    <row r="116" spans="1:12" x14ac:dyDescent="0.2">
      <c r="A116" s="33" t="s">
        <v>12</v>
      </c>
      <c r="B116" s="46">
        <f>SUM('[2]Pop 57'!$D$9:$D$11)</f>
        <v>7026158.1752900956</v>
      </c>
      <c r="C116" s="46">
        <f>D116*B116</f>
        <v>92.353799999999978</v>
      </c>
      <c r="D116" s="91">
        <f>X70*'1.Diabetes case'!N106</f>
        <v>1.3144281369126291E-5</v>
      </c>
      <c r="E116" s="42">
        <f>AB70</f>
        <v>3.7159</v>
      </c>
      <c r="F116" s="42"/>
      <c r="G116" s="45">
        <f t="shared" ref="G116:G121" si="25">$B$17</f>
        <v>0.113</v>
      </c>
      <c r="H116" s="60">
        <f t="shared" si="21"/>
        <v>38.77905585245999</v>
      </c>
      <c r="I116" s="98">
        <f t="shared" si="22"/>
        <v>36.695698693772513</v>
      </c>
      <c r="K116" s="99">
        <f t="shared" si="23"/>
        <v>38.77905585245999</v>
      </c>
      <c r="L116" s="100">
        <f t="shared" si="24"/>
        <v>343.17748541999993</v>
      </c>
    </row>
    <row r="117" spans="1:12" x14ac:dyDescent="0.2">
      <c r="A117" s="33" t="s">
        <v>13</v>
      </c>
      <c r="B117" s="28">
        <f>SUM('[2]Pop 57'!$D$12:$D$14)</f>
        <v>8017814</v>
      </c>
      <c r="C117" s="46">
        <f t="shared" ref="C117:C121" si="26">D117*B117</f>
        <v>1534.5626999999999</v>
      </c>
      <c r="D117" s="91">
        <f>X71*'1.Diabetes case'!N107</f>
        <v>1.9139415057520666E-4</v>
      </c>
      <c r="E117" s="42">
        <f t="shared" ref="E117:E121" si="27">AB71</f>
        <v>1.8443000000000001</v>
      </c>
      <c r="F117" s="42"/>
      <c r="G117" s="45">
        <f t="shared" si="25"/>
        <v>0.113</v>
      </c>
      <c r="H117" s="60">
        <f t="shared" si="21"/>
        <v>319.81192059993003</v>
      </c>
      <c r="I117" s="98">
        <f t="shared" si="22"/>
        <v>311.12542469483861</v>
      </c>
      <c r="K117" s="99">
        <f t="shared" si="23"/>
        <v>319.81192059993003</v>
      </c>
      <c r="L117" s="100">
        <f t="shared" si="24"/>
        <v>2830.19398761</v>
      </c>
    </row>
    <row r="118" spans="1:12" x14ac:dyDescent="0.2">
      <c r="A118" s="33" t="s">
        <v>14</v>
      </c>
      <c r="B118" s="28">
        <f>SUM('[2]Pop 57'!$D$15:$D$17)</f>
        <v>7162204</v>
      </c>
      <c r="C118" s="46">
        <f t="shared" si="26"/>
        <v>5045.0273999999999</v>
      </c>
      <c r="D118" s="91">
        <f>X72*'1.Diabetes case'!N108</f>
        <v>7.0439593733995849E-4</v>
      </c>
      <c r="E118" s="42">
        <f t="shared" si="27"/>
        <v>1.6661999999999999</v>
      </c>
      <c r="F118" s="42"/>
      <c r="G118" s="45">
        <f t="shared" si="25"/>
        <v>0.113</v>
      </c>
      <c r="H118" s="60">
        <f t="shared" si="21"/>
        <v>949.88078588844007</v>
      </c>
      <c r="I118" s="98">
        <f t="shared" si="22"/>
        <v>926.53108332729585</v>
      </c>
      <c r="K118" s="99">
        <f t="shared" si="23"/>
        <v>949.88078588844007</v>
      </c>
      <c r="L118" s="100">
        <f t="shared" si="24"/>
        <v>8406.0246538800002</v>
      </c>
    </row>
    <row r="119" spans="1:12" x14ac:dyDescent="0.2">
      <c r="A119" s="33" t="s">
        <v>15</v>
      </c>
      <c r="B119" s="46">
        <f>SUM('[2]Pop 57'!$D$18:$D$19)</f>
        <v>2739970.5356088658</v>
      </c>
      <c r="C119" s="46">
        <f t="shared" si="26"/>
        <v>8906.9120000000003</v>
      </c>
      <c r="D119" s="91">
        <f>X73*'1.Diabetes case'!N109</f>
        <v>3.2507327667378513E-3</v>
      </c>
      <c r="E119" s="42">
        <f t="shared" si="27"/>
        <v>1.3636999999999999</v>
      </c>
      <c r="F119" s="42"/>
      <c r="G119" s="45">
        <f t="shared" si="25"/>
        <v>0.113</v>
      </c>
      <c r="H119" s="60">
        <f t="shared" si="21"/>
        <v>1372.5382160672</v>
      </c>
      <c r="I119" s="98">
        <f t="shared" si="22"/>
        <v>1344.8412482998151</v>
      </c>
      <c r="K119" s="99">
        <f t="shared" si="23"/>
        <v>1372.5382160672</v>
      </c>
      <c r="L119" s="100">
        <f t="shared" si="24"/>
        <v>12146.3558944</v>
      </c>
    </row>
    <row r="120" spans="1:12" x14ac:dyDescent="0.2">
      <c r="A120" s="33" t="s">
        <v>16</v>
      </c>
      <c r="B120" s="46">
        <f>SUM('[2]Pop 57'!$D$20:$D$21)</f>
        <v>1513246</v>
      </c>
      <c r="C120" s="46">
        <f t="shared" si="26"/>
        <v>3629.5113000000006</v>
      </c>
      <c r="D120" s="91">
        <f>X74*'1.Diabetes case'!N110</f>
        <v>2.3984938998682305E-3</v>
      </c>
      <c r="E120" s="42">
        <f t="shared" si="27"/>
        <v>2.0286</v>
      </c>
      <c r="F120" s="42"/>
      <c r="G120" s="45">
        <f t="shared" si="25"/>
        <v>0.113</v>
      </c>
      <c r="H120" s="60">
        <f t="shared" si="21"/>
        <v>831.99940841934006</v>
      </c>
      <c r="I120" s="98">
        <f t="shared" si="22"/>
        <v>807.18835756223143</v>
      </c>
      <c r="K120" s="99">
        <f t="shared" si="23"/>
        <v>831.99940841934006</v>
      </c>
      <c r="L120" s="100">
        <f t="shared" si="24"/>
        <v>7362.8266231800008</v>
      </c>
    </row>
    <row r="121" spans="1:12" x14ac:dyDescent="0.2">
      <c r="A121" s="33" t="s">
        <v>17</v>
      </c>
      <c r="B121" s="46">
        <f>SUM('[2]Pop 57'!$D$22:$D$26)</f>
        <v>784195.44620730029</v>
      </c>
      <c r="C121" s="46">
        <f t="shared" si="26"/>
        <v>1400.2099999999998</v>
      </c>
      <c r="D121" s="91">
        <f>X75*'1.Diabetes case'!N111</f>
        <v>1.7855370198488216E-3</v>
      </c>
      <c r="E121" s="42">
        <f t="shared" si="27"/>
        <v>1.4268000000000001</v>
      </c>
      <c r="F121" s="42"/>
      <c r="G121" s="45">
        <f t="shared" si="25"/>
        <v>0.113</v>
      </c>
      <c r="H121" s="60">
        <f t="shared" si="21"/>
        <v>225.75361796399997</v>
      </c>
      <c r="I121" s="98">
        <f>C121*G121*(1-EXP(-0.03*E121))/0.03</f>
        <v>220.99024457651109</v>
      </c>
      <c r="K121" s="99">
        <f t="shared" si="23"/>
        <v>225.75361796399997</v>
      </c>
      <c r="L121" s="100">
        <f t="shared" si="24"/>
        <v>1997.8196279999997</v>
      </c>
    </row>
    <row r="122" spans="1:12" x14ac:dyDescent="0.2">
      <c r="A122" s="34" t="s">
        <v>18</v>
      </c>
      <c r="B122" s="46">
        <f>SUM(B114:B121)</f>
        <v>33032823.157106262</v>
      </c>
      <c r="C122" s="46"/>
      <c r="D122" s="28"/>
      <c r="E122" s="42"/>
      <c r="F122" s="28"/>
      <c r="G122" s="28"/>
      <c r="H122" s="60">
        <f>SUM(H114:H121)</f>
        <v>3738.7630047913703</v>
      </c>
      <c r="I122" s="98">
        <f>SUM(I114:I121)</f>
        <v>3647.3720571544645</v>
      </c>
      <c r="K122" s="99">
        <f>SUM(K114:K121)</f>
        <v>3738.7630047913703</v>
      </c>
      <c r="L122" s="100">
        <f>SUM(L114:L121)</f>
        <v>33086.398272489998</v>
      </c>
    </row>
    <row r="123" spans="1:12" x14ac:dyDescent="0.2">
      <c r="A123" s="30"/>
      <c r="B123" s="31"/>
      <c r="C123" s="31"/>
      <c r="D123" s="31"/>
      <c r="E123" s="31"/>
      <c r="F123" s="31"/>
      <c r="G123" s="31"/>
      <c r="H123" s="59"/>
      <c r="I123" s="32"/>
      <c r="K123" s="30"/>
      <c r="L123" s="5"/>
    </row>
    <row r="126" spans="1:12" x14ac:dyDescent="0.2">
      <c r="A126" s="23" t="s">
        <v>299</v>
      </c>
    </row>
    <row r="127" spans="1:12" x14ac:dyDescent="0.2">
      <c r="A127" s="23"/>
      <c r="I127" s="22" t="s">
        <v>23</v>
      </c>
    </row>
    <row r="128" spans="1:12" x14ac:dyDescent="0.2">
      <c r="A128" s="24" t="s">
        <v>25</v>
      </c>
      <c r="B128" s="35" t="s">
        <v>31</v>
      </c>
      <c r="C128" s="26" t="s">
        <v>31</v>
      </c>
      <c r="L128" s="22" t="s">
        <v>23</v>
      </c>
    </row>
    <row r="129" spans="1:3" x14ac:dyDescent="0.2">
      <c r="A129" s="30"/>
      <c r="B129" s="36" t="s">
        <v>32</v>
      </c>
      <c r="C129" s="32" t="s">
        <v>33</v>
      </c>
    </row>
    <row r="130" spans="1:3" x14ac:dyDescent="0.2">
      <c r="A130" s="27"/>
      <c r="B130" s="58"/>
      <c r="C130" s="29"/>
    </row>
    <row r="131" spans="1:3" x14ac:dyDescent="0.2">
      <c r="A131" s="48" t="s">
        <v>34</v>
      </c>
      <c r="B131" s="58"/>
      <c r="C131" s="103"/>
    </row>
    <row r="132" spans="1:3" x14ac:dyDescent="0.2">
      <c r="A132" s="33" t="s">
        <v>7</v>
      </c>
      <c r="B132" s="60">
        <f>H74+H103</f>
        <v>0</v>
      </c>
      <c r="C132" s="62">
        <f>I74+I103</f>
        <v>0</v>
      </c>
    </row>
    <row r="133" spans="1:3" x14ac:dyDescent="0.2">
      <c r="A133" s="33" t="s">
        <v>11</v>
      </c>
      <c r="B133" s="60">
        <f t="shared" ref="B133:C140" si="28">H75+H104</f>
        <v>0</v>
      </c>
      <c r="C133" s="62">
        <f t="shared" si="28"/>
        <v>0</v>
      </c>
    </row>
    <row r="134" spans="1:3" x14ac:dyDescent="0.2">
      <c r="A134" s="33" t="s">
        <v>12</v>
      </c>
      <c r="B134" s="60">
        <f t="shared" si="28"/>
        <v>69.317355637960205</v>
      </c>
      <c r="C134" s="62">
        <f t="shared" si="28"/>
        <v>60.037562385142884</v>
      </c>
    </row>
    <row r="135" spans="1:3" x14ac:dyDescent="0.2">
      <c r="A135" s="33" t="s">
        <v>13</v>
      </c>
      <c r="B135" s="60">
        <f t="shared" si="28"/>
        <v>744.01475530763059</v>
      </c>
      <c r="C135" s="62">
        <f t="shared" si="28"/>
        <v>716.36156529634786</v>
      </c>
    </row>
    <row r="136" spans="1:3" x14ac:dyDescent="0.2">
      <c r="A136" s="33" t="s">
        <v>14</v>
      </c>
      <c r="B136" s="60">
        <f t="shared" si="28"/>
        <v>1722.9320006790106</v>
      </c>
      <c r="C136" s="62">
        <f t="shared" si="28"/>
        <v>1680.1594627169686</v>
      </c>
    </row>
    <row r="137" spans="1:3" x14ac:dyDescent="0.2">
      <c r="A137" s="33" t="s">
        <v>15</v>
      </c>
      <c r="B137" s="60">
        <f t="shared" si="28"/>
        <v>1065.7361932386289</v>
      </c>
      <c r="C137" s="62">
        <f t="shared" si="28"/>
        <v>1029.5568230314996</v>
      </c>
    </row>
    <row r="138" spans="1:3" x14ac:dyDescent="0.2">
      <c r="A138" s="33" t="s">
        <v>16</v>
      </c>
      <c r="B138" s="60">
        <f t="shared" si="28"/>
        <v>730.14098506571133</v>
      </c>
      <c r="C138" s="62">
        <f t="shared" si="28"/>
        <v>705.10339719210151</v>
      </c>
    </row>
    <row r="139" spans="1:3" x14ac:dyDescent="0.2">
      <c r="A139" s="33" t="s">
        <v>17</v>
      </c>
      <c r="B139" s="60">
        <f t="shared" si="28"/>
        <v>341.40632708757511</v>
      </c>
      <c r="C139" s="62">
        <f t="shared" si="28"/>
        <v>326.69499679820922</v>
      </c>
    </row>
    <row r="140" spans="1:3" x14ac:dyDescent="0.2">
      <c r="A140" s="34" t="s">
        <v>18</v>
      </c>
      <c r="B140" s="60">
        <f t="shared" si="28"/>
        <v>4673.5476170165175</v>
      </c>
      <c r="C140" s="62">
        <f t="shared" si="28"/>
        <v>4517.9138074202701</v>
      </c>
    </row>
    <row r="141" spans="1:3" x14ac:dyDescent="0.2">
      <c r="A141" s="27"/>
      <c r="B141" s="58"/>
      <c r="C141" s="103"/>
    </row>
    <row r="142" spans="1:3" x14ac:dyDescent="0.2">
      <c r="A142" s="48" t="s">
        <v>35</v>
      </c>
      <c r="B142" s="58"/>
      <c r="C142" s="103"/>
    </row>
    <row r="143" spans="1:3" x14ac:dyDescent="0.2">
      <c r="A143" s="33" t="s">
        <v>7</v>
      </c>
      <c r="B143" s="60">
        <f>H85+H114</f>
        <v>0</v>
      </c>
      <c r="C143" s="62">
        <f>I85+I114</f>
        <v>0</v>
      </c>
    </row>
    <row r="144" spans="1:3" x14ac:dyDescent="0.2">
      <c r="A144" s="33" t="s">
        <v>11</v>
      </c>
      <c r="B144" s="60">
        <f t="shared" ref="B144:C151" si="29">H86+H115</f>
        <v>0</v>
      </c>
      <c r="C144" s="62">
        <f t="shared" si="29"/>
        <v>0</v>
      </c>
    </row>
    <row r="145" spans="1:3" x14ac:dyDescent="0.2">
      <c r="A145" s="33" t="s">
        <v>12</v>
      </c>
      <c r="B145" s="60">
        <f t="shared" si="29"/>
        <v>39.427110102771401</v>
      </c>
      <c r="C145" s="62">
        <f t="shared" si="29"/>
        <v>37.308937025234819</v>
      </c>
    </row>
    <row r="146" spans="1:3" x14ac:dyDescent="0.2">
      <c r="A146" s="33" t="s">
        <v>13</v>
      </c>
      <c r="B146" s="60">
        <f t="shared" si="29"/>
        <v>322.46533783295206</v>
      </c>
      <c r="C146" s="62">
        <f t="shared" si="29"/>
        <v>313.70677176272761</v>
      </c>
    </row>
    <row r="147" spans="1:3" x14ac:dyDescent="0.2">
      <c r="A147" s="33" t="s">
        <v>14</v>
      </c>
      <c r="B147" s="60">
        <f t="shared" si="29"/>
        <v>953.70124624411869</v>
      </c>
      <c r="C147" s="62">
        <f t="shared" si="29"/>
        <v>930.2576302000648</v>
      </c>
    </row>
    <row r="148" spans="1:3" x14ac:dyDescent="0.2">
      <c r="A148" s="33" t="s">
        <v>15</v>
      </c>
      <c r="B148" s="60">
        <f t="shared" si="29"/>
        <v>1375.308007170772</v>
      </c>
      <c r="C148" s="62">
        <f t="shared" si="29"/>
        <v>1347.5551467411501</v>
      </c>
    </row>
    <row r="149" spans="1:3" x14ac:dyDescent="0.2">
      <c r="A149" s="33" t="s">
        <v>16</v>
      </c>
      <c r="B149" s="60">
        <f t="shared" si="29"/>
        <v>833.43869300772906</v>
      </c>
      <c r="C149" s="62">
        <f t="shared" si="29"/>
        <v>808.58472125096716</v>
      </c>
    </row>
    <row r="150" spans="1:3" x14ac:dyDescent="0.2">
      <c r="A150" s="33" t="s">
        <v>17</v>
      </c>
      <c r="B150" s="60">
        <f t="shared" si="29"/>
        <v>226.36111081995054</v>
      </c>
      <c r="C150" s="62">
        <f t="shared" si="29"/>
        <v>221.58491940841748</v>
      </c>
    </row>
    <row r="151" spans="1:3" x14ac:dyDescent="0.2">
      <c r="A151" s="34" t="s">
        <v>18</v>
      </c>
      <c r="B151" s="60">
        <f t="shared" si="29"/>
        <v>3750.7015051782942</v>
      </c>
      <c r="C151" s="62">
        <f t="shared" si="29"/>
        <v>3658.998126388562</v>
      </c>
    </row>
    <row r="152" spans="1:3" x14ac:dyDescent="0.2">
      <c r="A152" s="30"/>
      <c r="B152" s="59"/>
      <c r="C152" s="61"/>
    </row>
    <row r="159" spans="1:3" x14ac:dyDescent="0.2">
      <c r="A159" s="22" t="s">
        <v>310</v>
      </c>
    </row>
    <row r="160" spans="1:3" x14ac:dyDescent="0.2">
      <c r="A160" s="22" t="s">
        <v>311</v>
      </c>
    </row>
    <row r="161" spans="1:1" x14ac:dyDescent="0.2">
      <c r="A161" s="22" t="s">
        <v>312</v>
      </c>
    </row>
    <row r="162" spans="1:1" x14ac:dyDescent="0.2">
      <c r="A162" s="22" t="s">
        <v>313</v>
      </c>
    </row>
    <row r="163" spans="1:1" x14ac:dyDescent="0.2">
      <c r="A163" s="22" t="s">
        <v>314</v>
      </c>
    </row>
    <row r="164" spans="1:1" x14ac:dyDescent="0.2">
      <c r="A164" s="22" t="s">
        <v>315</v>
      </c>
    </row>
    <row r="167" spans="1:1" x14ac:dyDescent="0.2">
      <c r="A167" s="22" t="s">
        <v>316</v>
      </c>
    </row>
    <row r="169" spans="1:1" x14ac:dyDescent="0.2">
      <c r="A169" s="22" t="s">
        <v>317</v>
      </c>
    </row>
    <row r="171" spans="1:1" x14ac:dyDescent="0.2">
      <c r="A171" s="22" t="s">
        <v>318</v>
      </c>
    </row>
    <row r="173" spans="1:1" x14ac:dyDescent="0.2">
      <c r="A173" s="22" t="s">
        <v>319</v>
      </c>
    </row>
    <row r="175" spans="1:1" x14ac:dyDescent="0.2">
      <c r="A175" s="22" t="s">
        <v>320</v>
      </c>
    </row>
    <row r="176" spans="1:1" x14ac:dyDescent="0.2">
      <c r="A176" s="22" t="s">
        <v>321</v>
      </c>
    </row>
    <row r="177" spans="1:1" x14ac:dyDescent="0.2">
      <c r="A177" s="22" t="s">
        <v>322</v>
      </c>
    </row>
    <row r="178" spans="1:1" x14ac:dyDescent="0.2">
      <c r="A178" s="22" t="s">
        <v>323</v>
      </c>
    </row>
    <row r="179" spans="1:1" x14ac:dyDescent="0.2">
      <c r="A179" s="22" t="s">
        <v>324</v>
      </c>
    </row>
    <row r="181" spans="1:1" x14ac:dyDescent="0.2">
      <c r="A181" s="22" t="s">
        <v>325</v>
      </c>
    </row>
    <row r="182" spans="1:1" x14ac:dyDescent="0.2">
      <c r="A182" s="22" t="s">
        <v>326</v>
      </c>
    </row>
    <row r="183" spans="1:1" x14ac:dyDescent="0.2">
      <c r="A183" s="22" t="s">
        <v>327</v>
      </c>
    </row>
    <row r="185" spans="1:1" x14ac:dyDescent="0.2">
      <c r="A185" s="22" t="s">
        <v>328</v>
      </c>
    </row>
    <row r="186" spans="1:1" x14ac:dyDescent="0.2">
      <c r="A186" s="22" t="s">
        <v>329</v>
      </c>
    </row>
  </sheetData>
  <mergeCells count="17">
    <mergeCell ref="A34:A41"/>
    <mergeCell ref="E34:E41"/>
    <mergeCell ref="A42:A50"/>
    <mergeCell ref="E42:E50"/>
    <mergeCell ref="C10:E10"/>
    <mergeCell ref="C17:C18"/>
    <mergeCell ref="A32:A33"/>
    <mergeCell ref="B32:B33"/>
    <mergeCell ref="C32:D32"/>
    <mergeCell ref="E32:E33"/>
    <mergeCell ref="A6:E6"/>
    <mergeCell ref="G32:G33"/>
    <mergeCell ref="A1:E1"/>
    <mergeCell ref="A2:E2"/>
    <mergeCell ref="A3:E3"/>
    <mergeCell ref="A4:E4"/>
    <mergeCell ref="A5:E5"/>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45"/>
  <sheetViews>
    <sheetView topLeftCell="A73" zoomScale="90" zoomScaleNormal="90" workbookViewId="0">
      <selection activeCell="K64" sqref="K64:K83"/>
    </sheetView>
  </sheetViews>
  <sheetFormatPr baseColWidth="10" defaultColWidth="8.83203125" defaultRowHeight="15" x14ac:dyDescent="0.2"/>
  <cols>
    <col min="1" max="1" width="17.83203125" customWidth="1"/>
    <col min="2" max="2" width="13.5" customWidth="1"/>
    <col min="3" max="3" width="12.33203125" customWidth="1"/>
    <col min="4" max="4" width="12.6640625" customWidth="1"/>
    <col min="5" max="5" width="12.5" customWidth="1"/>
    <col min="6" max="6" width="11.83203125" customWidth="1"/>
    <col min="7" max="7" width="13.6640625" customWidth="1"/>
    <col min="8" max="8" width="8.5" customWidth="1"/>
    <col min="9" max="9" width="11.83203125" customWidth="1"/>
    <col min="11" max="11" width="17.33203125" customWidth="1"/>
    <col min="12" max="12" width="17.5" customWidth="1"/>
  </cols>
  <sheetData>
    <row r="1" spans="1:10" x14ac:dyDescent="0.2">
      <c r="A1" s="420" t="s">
        <v>47</v>
      </c>
      <c r="B1" s="420"/>
      <c r="C1" s="420"/>
      <c r="D1" s="420"/>
      <c r="E1" s="420"/>
    </row>
    <row r="2" spans="1:10" x14ac:dyDescent="0.2">
      <c r="A2" s="420" t="s">
        <v>0</v>
      </c>
      <c r="B2" s="420"/>
      <c r="C2" s="420"/>
      <c r="D2" s="420"/>
      <c r="E2" s="420"/>
    </row>
    <row r="3" spans="1:10" x14ac:dyDescent="0.2">
      <c r="A3" s="420" t="s">
        <v>50</v>
      </c>
      <c r="B3" s="420"/>
      <c r="C3" s="420"/>
      <c r="D3" s="420"/>
      <c r="E3" s="420"/>
    </row>
    <row r="4" spans="1:10" x14ac:dyDescent="0.2">
      <c r="A4" s="420" t="s">
        <v>48</v>
      </c>
      <c r="B4" s="420"/>
      <c r="C4" s="420"/>
      <c r="D4" s="420"/>
      <c r="E4" s="420"/>
    </row>
    <row r="5" spans="1:10" x14ac:dyDescent="0.2">
      <c r="A5" s="420" t="s">
        <v>46</v>
      </c>
      <c r="B5" s="420"/>
      <c r="C5" s="420"/>
      <c r="D5" s="420"/>
      <c r="E5" s="420"/>
    </row>
    <row r="6" spans="1:10" ht="16" thickBot="1" x14ac:dyDescent="0.25">
      <c r="A6" s="420" t="s">
        <v>1</v>
      </c>
      <c r="B6" s="420"/>
      <c r="C6" s="420"/>
      <c r="D6" s="420"/>
      <c r="E6" s="420"/>
    </row>
    <row r="7" spans="1:10" ht="16" thickBot="1" x14ac:dyDescent="0.25">
      <c r="A7" s="311" t="s">
        <v>266</v>
      </c>
      <c r="B7" s="312">
        <f ca="1">TODAY()</f>
        <v>44004</v>
      </c>
      <c r="C7" s="325"/>
      <c r="D7" s="2"/>
      <c r="E7" s="2"/>
    </row>
    <row r="8" spans="1:10" x14ac:dyDescent="0.2">
      <c r="A8" s="4" t="s">
        <v>2</v>
      </c>
      <c r="B8" s="3"/>
      <c r="C8" s="3"/>
      <c r="D8" s="3"/>
      <c r="E8" s="3"/>
    </row>
    <row r="9" spans="1:10" x14ac:dyDescent="0.2">
      <c r="A9" s="1"/>
      <c r="B9" s="1"/>
      <c r="C9" s="1"/>
    </row>
    <row r="10" spans="1:10" x14ac:dyDescent="0.2">
      <c r="A10" s="44" t="s">
        <v>3</v>
      </c>
      <c r="B10" s="65" t="s">
        <v>4</v>
      </c>
      <c r="C10" s="415" t="s">
        <v>281</v>
      </c>
      <c r="D10" s="416"/>
      <c r="E10" s="417"/>
      <c r="F10" s="49"/>
      <c r="G10" s="49"/>
    </row>
    <row r="11" spans="1:10" s="22" customFormat="1" x14ac:dyDescent="0.2">
      <c r="A11" s="52" t="s">
        <v>51</v>
      </c>
      <c r="B11" s="66" t="s">
        <v>52</v>
      </c>
      <c r="C11" s="50"/>
      <c r="D11" s="49"/>
      <c r="E11" s="51"/>
      <c r="F11" s="49"/>
      <c r="G11" s="49"/>
    </row>
    <row r="12" spans="1:10" s="22" customFormat="1" x14ac:dyDescent="0.2">
      <c r="A12" s="48"/>
      <c r="B12" s="67" t="s">
        <v>53</v>
      </c>
      <c r="C12" s="50" t="s">
        <v>282</v>
      </c>
      <c r="D12" s="49"/>
      <c r="E12" s="51"/>
      <c r="F12" s="49"/>
      <c r="G12" s="49"/>
    </row>
    <row r="13" spans="1:10" x14ac:dyDescent="0.2">
      <c r="A13" s="30"/>
      <c r="B13" s="68"/>
      <c r="C13" s="30"/>
      <c r="D13" s="31"/>
      <c r="E13" s="32"/>
      <c r="F13" s="28"/>
      <c r="G13" s="28"/>
    </row>
    <row r="15" spans="1:10" x14ac:dyDescent="0.2">
      <c r="A15" s="7" t="s">
        <v>5</v>
      </c>
      <c r="B15" s="6"/>
      <c r="C15" s="6"/>
      <c r="D15" s="6"/>
      <c r="E15" s="8"/>
    </row>
    <row r="16" spans="1:10" x14ac:dyDescent="0.2">
      <c r="A16" s="23"/>
      <c r="B16" s="23"/>
      <c r="C16" s="6"/>
      <c r="D16" s="6"/>
      <c r="E16" s="28"/>
      <c r="F16" s="28"/>
      <c r="G16" s="28"/>
      <c r="H16" s="28"/>
      <c r="I16" s="28"/>
      <c r="J16" s="28"/>
    </row>
    <row r="17" spans="1:5" x14ac:dyDescent="0.2">
      <c r="A17" s="65" t="s">
        <v>4</v>
      </c>
      <c r="B17" s="43" t="s">
        <v>30</v>
      </c>
      <c r="C17" s="54" t="s">
        <v>6</v>
      </c>
      <c r="D17" s="22"/>
    </row>
    <row r="18" spans="1:5" x14ac:dyDescent="0.2">
      <c r="A18" s="66" t="s">
        <v>52</v>
      </c>
      <c r="B18" s="55">
        <v>1.2E-2</v>
      </c>
      <c r="C18" s="418" t="s">
        <v>42</v>
      </c>
    </row>
    <row r="19" spans="1:5" s="22" customFormat="1" x14ac:dyDescent="0.2">
      <c r="A19" s="67" t="s">
        <v>53</v>
      </c>
      <c r="B19" s="41">
        <v>3.3000000000000002E-2</v>
      </c>
      <c r="C19" s="419"/>
      <c r="E19" s="22" t="s">
        <v>23</v>
      </c>
    </row>
    <row r="20" spans="1:5" s="22" customFormat="1" x14ac:dyDescent="0.2">
      <c r="A20" s="53"/>
      <c r="B20" s="5"/>
      <c r="C20" s="32"/>
    </row>
    <row r="22" spans="1:5" s="22" customFormat="1" x14ac:dyDescent="0.2">
      <c r="A22" s="23" t="s">
        <v>8</v>
      </c>
    </row>
    <row r="23" spans="1:5" s="22" customFormat="1" x14ac:dyDescent="0.2"/>
    <row r="24" spans="1:5" s="22" customFormat="1" x14ac:dyDescent="0.2">
      <c r="A24" s="436" t="s">
        <v>4</v>
      </c>
      <c r="B24" s="411" t="s">
        <v>81</v>
      </c>
      <c r="C24" s="429" t="s">
        <v>9</v>
      </c>
      <c r="D24" s="430"/>
      <c r="E24" s="421" t="s">
        <v>6</v>
      </c>
    </row>
    <row r="25" spans="1:5" s="22" customFormat="1" x14ac:dyDescent="0.2">
      <c r="A25" s="437"/>
      <c r="B25" s="412"/>
      <c r="C25" s="94" t="s">
        <v>108</v>
      </c>
      <c r="D25" s="94" t="s">
        <v>109</v>
      </c>
      <c r="E25" s="422"/>
    </row>
    <row r="26" spans="1:5" s="28" customFormat="1" x14ac:dyDescent="0.2">
      <c r="A26" s="431" t="s">
        <v>106</v>
      </c>
      <c r="B26" s="96" t="s">
        <v>7</v>
      </c>
      <c r="C26" s="97">
        <f>'1.Diabetes IDDM_DISMOD'!I55</f>
        <v>57.2334757</v>
      </c>
      <c r="D26" s="97">
        <f>'1.Diabetes IDDM_DISMOD'!I85</f>
        <v>69.364647599999998</v>
      </c>
      <c r="E26" s="423" t="s">
        <v>110</v>
      </c>
    </row>
    <row r="27" spans="1:5" s="28" customFormat="1" x14ac:dyDescent="0.2">
      <c r="A27" s="432"/>
      <c r="B27" s="33" t="s">
        <v>11</v>
      </c>
      <c r="C27" s="95">
        <f>'1.Diabetes IDDM_DISMOD'!I56</f>
        <v>50.264189100000003</v>
      </c>
      <c r="D27" s="95">
        <f>'1.Diabetes IDDM_DISMOD'!I86</f>
        <v>62.355401100000002</v>
      </c>
      <c r="E27" s="424"/>
    </row>
    <row r="28" spans="1:5" s="28" customFormat="1" x14ac:dyDescent="0.2">
      <c r="A28" s="432"/>
      <c r="B28" s="33" t="s">
        <v>12</v>
      </c>
      <c r="C28" s="95">
        <f>'1.Diabetes IDDM_DISMOD'!I57</f>
        <v>39.815991599999997</v>
      </c>
      <c r="D28" s="95">
        <f>'1.Diabetes IDDM_DISMOD'!I87</f>
        <v>51.082296700000001</v>
      </c>
      <c r="E28" s="424"/>
    </row>
    <row r="29" spans="1:5" s="28" customFormat="1" x14ac:dyDescent="0.2">
      <c r="A29" s="432"/>
      <c r="B29" s="33" t="s">
        <v>13</v>
      </c>
      <c r="C29" s="95">
        <f>'1.Diabetes IDDM_DISMOD'!I58</f>
        <v>32.651477</v>
      </c>
      <c r="D29" s="95">
        <f>'1.Diabetes IDDM_DISMOD'!I88</f>
        <v>41.898612</v>
      </c>
      <c r="E29" s="424"/>
    </row>
    <row r="30" spans="1:5" s="28" customFormat="1" x14ac:dyDescent="0.2">
      <c r="A30" s="432"/>
      <c r="B30" s="33" t="s">
        <v>14</v>
      </c>
      <c r="C30" s="95">
        <f>'1.Diabetes IDDM_DISMOD'!I59</f>
        <v>22.307461499999999</v>
      </c>
      <c r="D30" s="95">
        <f>'1.Diabetes IDDM_DISMOD'!I89</f>
        <v>30.925864199999999</v>
      </c>
      <c r="E30" s="424"/>
    </row>
    <row r="31" spans="1:5" s="28" customFormat="1" x14ac:dyDescent="0.2">
      <c r="A31" s="432"/>
      <c r="B31" s="33" t="s">
        <v>15</v>
      </c>
      <c r="C31" s="95">
        <f>'1.Diabetes IDDM_DISMOD'!I60</f>
        <v>14.7862112</v>
      </c>
      <c r="D31" s="95">
        <f>'1.Diabetes IDDM_DISMOD'!I90</f>
        <v>18.924311199999998</v>
      </c>
      <c r="E31" s="424"/>
    </row>
    <row r="32" spans="1:5" s="28" customFormat="1" x14ac:dyDescent="0.2">
      <c r="A32" s="432"/>
      <c r="B32" s="33" t="s">
        <v>16</v>
      </c>
      <c r="C32" s="95">
        <f>'1.Diabetes IDDM_DISMOD'!I61</f>
        <v>11.131687899999999</v>
      </c>
      <c r="D32" s="95">
        <f>'1.Diabetes IDDM_DISMOD'!I91</f>
        <v>12.7368098</v>
      </c>
      <c r="E32" s="424"/>
    </row>
    <row r="33" spans="1:11" s="28" customFormat="1" x14ac:dyDescent="0.2">
      <c r="A33" s="433"/>
      <c r="B33" s="53" t="s">
        <v>17</v>
      </c>
      <c r="C33" s="95">
        <f>'1.Diabetes IDDM_DISMOD'!I62</f>
        <v>9.6427203000000006</v>
      </c>
      <c r="D33" s="95">
        <f>'1.Diabetes IDDM_DISMOD'!I92</f>
        <v>9.9983436999999995</v>
      </c>
      <c r="E33" s="425"/>
      <c r="F33" s="28" t="s">
        <v>23</v>
      </c>
    </row>
    <row r="34" spans="1:11" s="28" customFormat="1" x14ac:dyDescent="0.2">
      <c r="A34" s="434" t="s">
        <v>107</v>
      </c>
      <c r="B34" s="92" t="s">
        <v>7</v>
      </c>
      <c r="C34" s="56">
        <f>'1.Diabetes ALL_DISMOD'!I42</f>
        <v>54.167493999999998</v>
      </c>
      <c r="D34" s="56">
        <f>'1.Diabetes ALL_DISMOD'!I72</f>
        <v>64.091886000000002</v>
      </c>
      <c r="E34" s="426" t="s">
        <v>110</v>
      </c>
    </row>
    <row r="35" spans="1:11" s="28" customFormat="1" x14ac:dyDescent="0.2">
      <c r="A35" s="435"/>
      <c r="B35" s="92" t="s">
        <v>11</v>
      </c>
      <c r="C35" s="57">
        <f>'1.Diabetes ALL_DISMOD'!I43</f>
        <v>45.157583000000002</v>
      </c>
      <c r="D35" s="57">
        <f>'1.Diabetes ALL_DISMOD'!I73</f>
        <v>55.898117999999997</v>
      </c>
      <c r="E35" s="427"/>
    </row>
    <row r="36" spans="1:11" s="28" customFormat="1" x14ac:dyDescent="0.2">
      <c r="A36" s="435"/>
      <c r="B36" s="92" t="s">
        <v>12</v>
      </c>
      <c r="C36" s="57">
        <f>'1.Diabetes ALL_DISMOD'!I44</f>
        <v>37.063034999999999</v>
      </c>
      <c r="D36" s="57">
        <f>'1.Diabetes ALL_DISMOD'!I74</f>
        <v>47.189256999999998</v>
      </c>
      <c r="E36" s="427"/>
    </row>
    <row r="37" spans="1:11" s="28" customFormat="1" x14ac:dyDescent="0.2">
      <c r="A37" s="435"/>
      <c r="B37" s="92" t="s">
        <v>13</v>
      </c>
      <c r="C37" s="57">
        <f>'1.Diabetes ALL_DISMOD'!I45</f>
        <v>28.429959</v>
      </c>
      <c r="D37" s="57">
        <f>'1.Diabetes ALL_DISMOD'!I75</f>
        <v>32.744303000000002</v>
      </c>
      <c r="E37" s="427"/>
    </row>
    <row r="38" spans="1:11" s="28" customFormat="1" x14ac:dyDescent="0.2">
      <c r="A38" s="435"/>
      <c r="B38" s="92" t="s">
        <v>14</v>
      </c>
      <c r="C38" s="57">
        <f>'1.Diabetes ALL_DISMOD'!I46</f>
        <v>21.400614999999998</v>
      </c>
      <c r="D38" s="57">
        <f>'1.Diabetes ALL_DISMOD'!I76</f>
        <v>22.17709</v>
      </c>
      <c r="E38" s="427"/>
    </row>
    <row r="39" spans="1:11" s="28" customFormat="1" x14ac:dyDescent="0.2">
      <c r="A39" s="435"/>
      <c r="B39" s="92" t="s">
        <v>15</v>
      </c>
      <c r="C39" s="57">
        <f>'1.Diabetes ALL_DISMOD'!I47</f>
        <v>14.177087</v>
      </c>
      <c r="D39" s="57">
        <f>'1.Diabetes ALL_DISMOD'!I77</f>
        <v>13.955360000000001</v>
      </c>
      <c r="E39" s="427"/>
    </row>
    <row r="40" spans="1:11" s="28" customFormat="1" x14ac:dyDescent="0.2">
      <c r="A40" s="435"/>
      <c r="B40" s="92" t="s">
        <v>16</v>
      </c>
      <c r="C40" s="63">
        <f>'1.Diabetes ALL_DISMOD'!I48</f>
        <v>9.0248369999999998</v>
      </c>
      <c r="D40" s="63">
        <f>'1.Diabetes ALL_DISMOD'!I78</f>
        <v>7.9026259999999997</v>
      </c>
      <c r="E40" s="427"/>
    </row>
    <row r="41" spans="1:11" s="22" customFormat="1" x14ac:dyDescent="0.2">
      <c r="A41" s="435"/>
      <c r="B41" s="92" t="s">
        <v>17</v>
      </c>
      <c r="C41" s="63">
        <f>'1.Diabetes ALL_DISMOD'!I49</f>
        <v>6.344195</v>
      </c>
      <c r="D41" s="63">
        <f>'1.Diabetes ALL_DISMOD'!I79</f>
        <v>4.723509</v>
      </c>
      <c r="E41" s="427"/>
    </row>
    <row r="42" spans="1:11" s="22" customFormat="1" x14ac:dyDescent="0.2">
      <c r="A42" s="5"/>
      <c r="B42" s="93"/>
      <c r="C42" s="5"/>
      <c r="D42" s="5"/>
      <c r="E42" s="428"/>
    </row>
    <row r="43" spans="1:11" x14ac:dyDescent="0.2">
      <c r="A43" s="9" t="s">
        <v>10</v>
      </c>
      <c r="B43" s="11"/>
      <c r="C43" s="11"/>
      <c r="D43" s="11"/>
      <c r="E43" s="11"/>
      <c r="F43" s="11"/>
      <c r="G43" s="11"/>
      <c r="H43" s="11"/>
      <c r="I43" s="11"/>
      <c r="J43" s="11"/>
    </row>
    <row r="44" spans="1:11" x14ac:dyDescent="0.2">
      <c r="A44" s="10"/>
      <c r="B44" s="10"/>
      <c r="C44" s="10"/>
      <c r="D44" s="10"/>
      <c r="E44" s="10"/>
      <c r="F44" s="10"/>
      <c r="G44" s="10"/>
      <c r="H44" s="10"/>
      <c r="I44" s="10"/>
      <c r="J44" s="10"/>
    </row>
    <row r="45" spans="1:11" x14ac:dyDescent="0.2">
      <c r="A45" s="12"/>
      <c r="B45" s="13" t="s">
        <v>7</v>
      </c>
      <c r="C45" s="13" t="s">
        <v>11</v>
      </c>
      <c r="D45" s="13" t="s">
        <v>12</v>
      </c>
      <c r="E45" s="13" t="s">
        <v>13</v>
      </c>
      <c r="F45" s="13" t="s">
        <v>14</v>
      </c>
      <c r="G45" s="13" t="s">
        <v>15</v>
      </c>
      <c r="H45" s="13" t="s">
        <v>16</v>
      </c>
      <c r="I45" s="13" t="s">
        <v>17</v>
      </c>
      <c r="J45" s="14" t="s">
        <v>18</v>
      </c>
      <c r="K45" s="22" t="s">
        <v>23</v>
      </c>
    </row>
    <row r="46" spans="1:11" x14ac:dyDescent="0.2">
      <c r="A46" s="15" t="s">
        <v>19</v>
      </c>
      <c r="B46" s="46"/>
      <c r="C46" s="46"/>
      <c r="D46" s="46"/>
      <c r="E46" s="46"/>
      <c r="F46" s="46"/>
      <c r="G46" s="46"/>
      <c r="H46" s="46"/>
      <c r="I46" s="46"/>
      <c r="J46" s="17"/>
    </row>
    <row r="47" spans="1:11" x14ac:dyDescent="0.2">
      <c r="A47" s="21" t="s">
        <v>20</v>
      </c>
      <c r="B47" s="46">
        <f>[1]Death!K103</f>
        <v>1.5224372366551795</v>
      </c>
      <c r="C47" s="46">
        <f>[1]Death!L103</f>
        <v>4.5233437112759098</v>
      </c>
      <c r="D47" s="46">
        <f>[1]Death!M103</f>
        <v>25.301746446265078</v>
      </c>
      <c r="E47" s="46">
        <f>[1]Death!N103</f>
        <v>407.66025498503308</v>
      </c>
      <c r="F47" s="46">
        <f>[1]Death!O103</f>
        <v>2703.2441808184158</v>
      </c>
      <c r="G47" s="46">
        <f>[1]Death!P103</f>
        <v>2713.8677045270706</v>
      </c>
      <c r="H47" s="46">
        <f>[1]Death!Q103</f>
        <v>3228.5703379219703</v>
      </c>
      <c r="I47" s="46">
        <f>[1]Death!R103</f>
        <v>2679.2130899339572</v>
      </c>
      <c r="J47" s="98">
        <f>SUM(B47:I47)</f>
        <v>11763.903095580643</v>
      </c>
    </row>
    <row r="48" spans="1:11" x14ac:dyDescent="0.2">
      <c r="A48" s="21" t="s">
        <v>21</v>
      </c>
      <c r="B48" s="46">
        <f>[1]Death!T103</f>
        <v>46.281802016663327</v>
      </c>
      <c r="C48" s="46">
        <f>[1]Death!U103</f>
        <v>0</v>
      </c>
      <c r="D48" s="46">
        <f>[1]Death!V103</f>
        <v>37.80218732035339</v>
      </c>
      <c r="E48" s="46">
        <f>[1]Death!W103</f>
        <v>552.35976920574228</v>
      </c>
      <c r="F48" s="46">
        <f>[1]Death!X103</f>
        <v>2908.7292335967059</v>
      </c>
      <c r="G48" s="46">
        <f>[1]Death!Y103</f>
        <v>4184.36499847911</v>
      </c>
      <c r="H48" s="46">
        <f>[1]Death!Z103</f>
        <v>6176.9039235270784</v>
      </c>
      <c r="I48" s="46">
        <f>[1]Death!AA103</f>
        <v>4858.2879667255565</v>
      </c>
      <c r="J48" s="98">
        <f>SUM(B48:I48)</f>
        <v>18764.729880871208</v>
      </c>
    </row>
    <row r="49" spans="1:12" x14ac:dyDescent="0.2">
      <c r="A49" s="15" t="s">
        <v>22</v>
      </c>
      <c r="B49" s="16"/>
      <c r="C49" s="16"/>
      <c r="D49" s="16"/>
      <c r="E49" s="16"/>
      <c r="F49" s="16"/>
      <c r="G49" s="16"/>
      <c r="H49" s="16"/>
      <c r="I49" s="16"/>
      <c r="J49" s="17"/>
    </row>
    <row r="50" spans="1:12" x14ac:dyDescent="0.2">
      <c r="A50" s="21" t="s">
        <v>20</v>
      </c>
      <c r="B50" s="42">
        <f>B47/B64*100000</f>
        <v>7.7425750178642394E-2</v>
      </c>
      <c r="C50" s="42">
        <f>C47/B65*100000</f>
        <v>0.10823452376542124</v>
      </c>
      <c r="D50" s="42">
        <f>D47/B66*100000</f>
        <v>0.34651278059455681</v>
      </c>
      <c r="E50" s="42">
        <f>E47/B67*100000</f>
        <v>5.1623703502007858</v>
      </c>
      <c r="F50" s="42">
        <f>F47/B68*100000</f>
        <v>41.243896642617003</v>
      </c>
      <c r="G50" s="42">
        <f>G47/B69*100000</f>
        <v>115.77652354559085</v>
      </c>
      <c r="H50" s="42">
        <f>H47/B70*100000</f>
        <v>275.22471759259878</v>
      </c>
      <c r="I50" s="42">
        <f>I47/B71*100000</f>
        <v>528.48087933761849</v>
      </c>
      <c r="J50" s="17"/>
    </row>
    <row r="51" spans="1:12" x14ac:dyDescent="0.2">
      <c r="A51" s="21" t="s">
        <v>21</v>
      </c>
      <c r="B51" s="42">
        <f>B48/B75*100000</f>
        <v>2.5029705131843394</v>
      </c>
      <c r="C51" s="42">
        <f>C48/B76*100000</f>
        <v>0</v>
      </c>
      <c r="D51" s="42">
        <f>D48/B77*100000</f>
        <v>0.53802072736275419</v>
      </c>
      <c r="E51" s="42">
        <f>E48/B78*100000</f>
        <v>6.8891566854225141</v>
      </c>
      <c r="F51" s="42">
        <f>F48/B79*100000</f>
        <v>40.612208666448282</v>
      </c>
      <c r="G51" s="42">
        <f>G48/B80*100000</f>
        <v>152.71569325650711</v>
      </c>
      <c r="H51" s="42">
        <f>H48/B81*100000</f>
        <v>408.18901378408259</v>
      </c>
      <c r="I51" s="42">
        <f>I48/B82*100000</f>
        <v>619.52514391945078</v>
      </c>
      <c r="J51" s="17"/>
    </row>
    <row r="52" spans="1:12" x14ac:dyDescent="0.2">
      <c r="A52" s="15"/>
      <c r="B52" s="16"/>
      <c r="C52" s="16"/>
      <c r="D52" s="16" t="s">
        <v>23</v>
      </c>
      <c r="E52" s="16"/>
      <c r="F52" s="16"/>
      <c r="G52" s="16"/>
      <c r="H52" s="16"/>
      <c r="I52" s="16"/>
      <c r="J52" s="17"/>
    </row>
    <row r="53" spans="1:12" x14ac:dyDescent="0.2">
      <c r="A53" s="18"/>
      <c r="B53" s="19"/>
      <c r="C53" s="19"/>
      <c r="D53" s="19"/>
      <c r="E53" s="19"/>
      <c r="F53" s="19"/>
      <c r="G53" s="19"/>
      <c r="H53" s="19"/>
      <c r="I53" s="19"/>
      <c r="J53" s="20"/>
    </row>
    <row r="55" spans="1:12" x14ac:dyDescent="0.2">
      <c r="A55" s="64" t="s">
        <v>24</v>
      </c>
    </row>
    <row r="57" spans="1:12" x14ac:dyDescent="0.2">
      <c r="A57" s="23" t="s">
        <v>36</v>
      </c>
      <c r="B57" s="22"/>
      <c r="C57" s="22"/>
      <c r="D57" s="22"/>
      <c r="E57" s="22"/>
      <c r="F57" s="22"/>
      <c r="G57" s="22"/>
      <c r="H57" s="22" t="s">
        <v>23</v>
      </c>
      <c r="I57" s="22"/>
    </row>
    <row r="58" spans="1:12" s="22" customFormat="1" x14ac:dyDescent="0.2">
      <c r="A58" s="23" t="s">
        <v>56</v>
      </c>
    </row>
    <row r="59" spans="1:12" x14ac:dyDescent="0.2">
      <c r="A59" s="23"/>
      <c r="B59" s="22"/>
      <c r="C59" s="22"/>
      <c r="D59" s="22"/>
      <c r="E59" s="22"/>
      <c r="F59" s="22"/>
      <c r="G59" s="22"/>
      <c r="H59" s="22"/>
      <c r="I59" s="22"/>
    </row>
    <row r="60" spans="1:12" x14ac:dyDescent="0.2">
      <c r="A60" s="24" t="s">
        <v>25</v>
      </c>
      <c r="B60" s="25" t="s">
        <v>26</v>
      </c>
      <c r="C60" s="25" t="s">
        <v>27</v>
      </c>
      <c r="D60" s="25" t="s">
        <v>28</v>
      </c>
      <c r="E60" s="25" t="s">
        <v>9</v>
      </c>
      <c r="F60" s="25" t="s">
        <v>29</v>
      </c>
      <c r="G60" s="25" t="s">
        <v>30</v>
      </c>
      <c r="H60" s="35" t="s">
        <v>31</v>
      </c>
      <c r="I60" s="26" t="s">
        <v>31</v>
      </c>
      <c r="K60" s="37" t="s">
        <v>37</v>
      </c>
      <c r="L60" s="38" t="s">
        <v>38</v>
      </c>
    </row>
    <row r="61" spans="1:12" x14ac:dyDescent="0.2">
      <c r="A61" s="30"/>
      <c r="B61" s="31">
        <v>2014</v>
      </c>
      <c r="C61" s="31"/>
      <c r="D61" s="31" t="s">
        <v>105</v>
      </c>
      <c r="E61" s="31"/>
      <c r="F61" s="31"/>
      <c r="G61" s="31"/>
      <c r="H61" s="36" t="s">
        <v>32</v>
      </c>
      <c r="I61" s="32" t="s">
        <v>33</v>
      </c>
      <c r="K61" s="39" t="s">
        <v>32</v>
      </c>
      <c r="L61" s="40" t="s">
        <v>39</v>
      </c>
    </row>
    <row r="62" spans="1:12" x14ac:dyDescent="0.2">
      <c r="A62" s="27"/>
      <c r="B62" s="28"/>
      <c r="C62" s="28"/>
      <c r="D62" s="28"/>
      <c r="E62" s="28"/>
      <c r="F62" s="28"/>
      <c r="G62" s="28"/>
      <c r="H62" s="58"/>
      <c r="I62" s="29"/>
      <c r="K62" s="27"/>
      <c r="L62" s="41"/>
    </row>
    <row r="63" spans="1:12" x14ac:dyDescent="0.2">
      <c r="A63" s="48" t="s">
        <v>34</v>
      </c>
      <c r="B63" s="28"/>
      <c r="C63" s="28"/>
      <c r="D63" s="28"/>
      <c r="E63" s="42"/>
      <c r="F63" s="47"/>
      <c r="G63" s="45"/>
      <c r="H63" s="58"/>
      <c r="I63" s="29"/>
      <c r="K63" s="27"/>
      <c r="L63" s="41"/>
    </row>
    <row r="64" spans="1:12" x14ac:dyDescent="0.2">
      <c r="A64" s="33" t="s">
        <v>7</v>
      </c>
      <c r="B64" s="28">
        <f>SUM('[2]Pop 57'!$C$5:$C$6)</f>
        <v>1966319</v>
      </c>
      <c r="C64" s="46">
        <f>D64*B64</f>
        <v>32.444263500000005</v>
      </c>
      <c r="D64" s="330">
        <f>'1.Diabetes IDDM_DISMOD'!E55</f>
        <v>1.6500000000000001E-5</v>
      </c>
      <c r="E64" s="42">
        <f t="shared" ref="E64:E71" si="0">C26</f>
        <v>57.2334757</v>
      </c>
      <c r="F64" s="42">
        <f>'1.Diabetes IDDM_DISMOD'!Z55</f>
        <v>2.53959</v>
      </c>
      <c r="G64" s="323">
        <f>$B$19*J120</f>
        <v>3.2822663142121837E-2</v>
      </c>
      <c r="H64" s="60">
        <f>C64*E64*G64</f>
        <v>60.948336448041552</v>
      </c>
      <c r="I64" s="98">
        <f>C64*G64*(1-EXP(-0.03*E64))/0.03</f>
        <v>29.121540175092584</v>
      </c>
      <c r="K64" s="99">
        <f>L64*G64</f>
        <v>16.378508907918796</v>
      </c>
      <c r="L64" s="100">
        <f>'1.Diabetes IDDM_DISMOD'!T70</f>
        <v>499</v>
      </c>
    </row>
    <row r="65" spans="1:12" x14ac:dyDescent="0.2">
      <c r="A65" s="33" t="s">
        <v>11</v>
      </c>
      <c r="B65" s="28">
        <f>SUM('[2]Pop 57'!$C$7:$C$8)</f>
        <v>4179206</v>
      </c>
      <c r="C65" s="46">
        <f t="shared" ref="C65:C71" si="1">D65*B65</f>
        <v>68.956899000000007</v>
      </c>
      <c r="D65" s="330">
        <f>'1.Diabetes IDDM_DISMOD'!E56</f>
        <v>1.6500000000000001E-5</v>
      </c>
      <c r="E65" s="42">
        <f t="shared" si="0"/>
        <v>50.264189100000003</v>
      </c>
      <c r="F65" s="42">
        <f>'1.Diabetes IDDM_DISMOD'!Z56</f>
        <v>10.02267</v>
      </c>
      <c r="G65" s="323">
        <f t="shared" ref="G65:G71" si="2">$B$19*J121</f>
        <v>3.2488785828031067E-2</v>
      </c>
      <c r="H65" s="60">
        <f t="shared" ref="H65:H71" si="3">C65*E65*G65</f>
        <v>112.60816583810625</v>
      </c>
      <c r="I65" s="98">
        <f t="shared" ref="I65:I71" si="4">C65*G65*(1-EXP(-0.03*E65))/0.03</f>
        <v>58.146263377092403</v>
      </c>
      <c r="K65" s="99">
        <f t="shared" ref="K65:K71" si="5">L65*G65</f>
        <v>135.47823690288953</v>
      </c>
      <c r="L65" s="100">
        <f>'1.Diabetes IDDM_DISMOD'!T71</f>
        <v>4170</v>
      </c>
    </row>
    <row r="66" spans="1:12" x14ac:dyDescent="0.2">
      <c r="A66" s="33" t="s">
        <v>12</v>
      </c>
      <c r="B66" s="28">
        <f>SUM('[2]Pop 57'!$C$9:$C$11)</f>
        <v>7301822</v>
      </c>
      <c r="C66" s="46">
        <f t="shared" si="1"/>
        <v>113.9084232</v>
      </c>
      <c r="D66" s="330">
        <f>'1.Diabetes IDDM_DISMOD'!E57</f>
        <v>1.56E-5</v>
      </c>
      <c r="E66" s="42">
        <f t="shared" si="0"/>
        <v>39.815991599999997</v>
      </c>
      <c r="F66" s="42">
        <f>'1.Diabetes IDDM_DISMOD'!Z57</f>
        <v>22.077760000000001</v>
      </c>
      <c r="G66" s="323">
        <f t="shared" si="2"/>
        <v>3.1309460202141551E-2</v>
      </c>
      <c r="H66" s="60">
        <f t="shared" si="3"/>
        <v>142.00020008822153</v>
      </c>
      <c r="I66" s="98">
        <f t="shared" si="4"/>
        <v>82.876088816981124</v>
      </c>
      <c r="K66" s="99">
        <f t="shared" si="5"/>
        <v>504.30147547589394</v>
      </c>
      <c r="L66" s="100">
        <f>'1.Diabetes IDDM_DISMOD'!T72</f>
        <v>16107</v>
      </c>
    </row>
    <row r="67" spans="1:12" x14ac:dyDescent="0.2">
      <c r="A67" s="33" t="s">
        <v>13</v>
      </c>
      <c r="B67" s="28">
        <f>SUM('[2]Pop 57'!$C$12:$C$14)</f>
        <v>7896765</v>
      </c>
      <c r="C67" s="46">
        <f t="shared" si="1"/>
        <v>11.845147499999999</v>
      </c>
      <c r="D67" s="330">
        <f>'1.Diabetes IDDM_DISMOD'!E58</f>
        <v>1.5E-6</v>
      </c>
      <c r="E67" s="42">
        <f t="shared" si="0"/>
        <v>32.651477</v>
      </c>
      <c r="F67" s="42">
        <f>'1.Diabetes IDDM_DISMOD'!Z58</f>
        <v>31.756609999999998</v>
      </c>
      <c r="G67" s="323">
        <f t="shared" si="2"/>
        <v>2.8006728558588483E-2</v>
      </c>
      <c r="H67" s="60">
        <f t="shared" si="3"/>
        <v>10.831926060244033</v>
      </c>
      <c r="I67" s="98">
        <f t="shared" si="4"/>
        <v>6.9059979839121937</v>
      </c>
      <c r="K67" s="99">
        <f t="shared" si="5"/>
        <v>638.55341113581744</v>
      </c>
      <c r="L67" s="100">
        <f>'1.Diabetes IDDM_DISMOD'!T73</f>
        <v>22800</v>
      </c>
    </row>
    <row r="68" spans="1:12" x14ac:dyDescent="0.2">
      <c r="A68" s="33" t="s">
        <v>14</v>
      </c>
      <c r="B68" s="28">
        <f>SUM('[2]Pop 57'!$C$15:$C$17)</f>
        <v>6554289</v>
      </c>
      <c r="C68" s="46">
        <f t="shared" si="1"/>
        <v>0</v>
      </c>
      <c r="D68" s="330">
        <f>'1.Diabetes IDDM_DISMOD'!E59</f>
        <v>0</v>
      </c>
      <c r="E68" s="42">
        <f t="shared" si="0"/>
        <v>22.307461499999999</v>
      </c>
      <c r="F68" s="42">
        <f>'1.Diabetes IDDM_DISMOD'!Z59</f>
        <v>54.725009999999997</v>
      </c>
      <c r="G68" s="323">
        <f t="shared" si="2"/>
        <v>2.9669700380388218E-2</v>
      </c>
      <c r="H68" s="60">
        <f t="shared" si="3"/>
        <v>0</v>
      </c>
      <c r="I68" s="98">
        <f t="shared" si="4"/>
        <v>0</v>
      </c>
      <c r="K68" s="99">
        <f t="shared" si="5"/>
        <v>529.42613358764731</v>
      </c>
      <c r="L68" s="100">
        <f>'1.Diabetes IDDM_DISMOD'!T74</f>
        <v>17844</v>
      </c>
    </row>
    <row r="69" spans="1:12" x14ac:dyDescent="0.2">
      <c r="A69" s="33" t="s">
        <v>15</v>
      </c>
      <c r="B69" s="28">
        <f>SUM('[2]Pop 57'!$C$18:$C$19)</f>
        <v>2344057</v>
      </c>
      <c r="C69" s="46">
        <f t="shared" si="1"/>
        <v>0</v>
      </c>
      <c r="D69" s="330">
        <f>'1.Diabetes IDDM_DISMOD'!E60</f>
        <v>0</v>
      </c>
      <c r="E69" s="42">
        <f t="shared" si="0"/>
        <v>14.7862112</v>
      </c>
      <c r="F69" s="42">
        <f>'1.Diabetes IDDM_DISMOD'!Z60</f>
        <v>65.867149999999995</v>
      </c>
      <c r="G69" s="323">
        <f t="shared" si="2"/>
        <v>2.976001860329865E-2</v>
      </c>
      <c r="H69" s="60">
        <f t="shared" si="3"/>
        <v>0</v>
      </c>
      <c r="I69" s="98">
        <f t="shared" si="4"/>
        <v>0</v>
      </c>
      <c r="K69" s="99">
        <f t="shared" si="5"/>
        <v>174.86986931298287</v>
      </c>
      <c r="L69" s="100">
        <f>'1.Diabetes IDDM_DISMOD'!T75</f>
        <v>5876</v>
      </c>
    </row>
    <row r="70" spans="1:12" x14ac:dyDescent="0.2">
      <c r="A70" s="33" t="s">
        <v>16</v>
      </c>
      <c r="B70" s="28">
        <f>SUM('[2]Pop 57'!$C$20:$C$21)</f>
        <v>1173067</v>
      </c>
      <c r="C70" s="46">
        <f t="shared" si="1"/>
        <v>0</v>
      </c>
      <c r="D70" s="330">
        <f>'1.Diabetes IDDM_DISMOD'!E61</f>
        <v>0</v>
      </c>
      <c r="E70" s="42">
        <f t="shared" si="0"/>
        <v>11.131687899999999</v>
      </c>
      <c r="F70" s="42">
        <f>'1.Diabetes IDDM_DISMOD'!Z61</f>
        <v>73.202219999999997</v>
      </c>
      <c r="G70" s="323">
        <f t="shared" si="2"/>
        <v>2.8881820261035071E-2</v>
      </c>
      <c r="H70" s="60">
        <f t="shared" si="3"/>
        <v>0</v>
      </c>
      <c r="I70" s="98">
        <f t="shared" si="4"/>
        <v>0</v>
      </c>
      <c r="J70" s="22" t="s">
        <v>23</v>
      </c>
      <c r="K70" s="99">
        <f t="shared" si="5"/>
        <v>72.522250675459063</v>
      </c>
      <c r="L70" s="100">
        <f>'1.Diabetes IDDM_DISMOD'!T76</f>
        <v>2511</v>
      </c>
    </row>
    <row r="71" spans="1:12" x14ac:dyDescent="0.2">
      <c r="A71" s="33" t="s">
        <v>17</v>
      </c>
      <c r="B71" s="28">
        <f>SUM('[2]Pop 57'!$C$22:$C$26)</f>
        <v>506965</v>
      </c>
      <c r="C71" s="46">
        <f t="shared" si="1"/>
        <v>0</v>
      </c>
      <c r="D71" s="330">
        <f>'1.Diabetes IDDM_DISMOD'!E62</f>
        <v>0</v>
      </c>
      <c r="E71" s="42">
        <f t="shared" si="0"/>
        <v>9.6427203000000006</v>
      </c>
      <c r="F71" s="42">
        <f>'1.Diabetes IDDM_DISMOD'!Z62</f>
        <v>85.387839999999997</v>
      </c>
      <c r="G71" s="323">
        <f t="shared" si="2"/>
        <v>2.9587719677582155E-2</v>
      </c>
      <c r="H71" s="60">
        <f t="shared" si="3"/>
        <v>0</v>
      </c>
      <c r="I71" s="98">
        <f t="shared" si="4"/>
        <v>0</v>
      </c>
      <c r="K71" s="99">
        <f t="shared" si="5"/>
        <v>22.24996519754178</v>
      </c>
      <c r="L71" s="100">
        <f>'1.Diabetes IDDM_DISMOD'!T77</f>
        <v>752</v>
      </c>
    </row>
    <row r="72" spans="1:12" x14ac:dyDescent="0.2">
      <c r="A72" s="34" t="s">
        <v>18</v>
      </c>
      <c r="B72" s="28">
        <f>SUM(B64:B71)</f>
        <v>31922490</v>
      </c>
      <c r="C72" s="46">
        <f>SUM(C64:C71)</f>
        <v>227.15473320000001</v>
      </c>
      <c r="D72" s="28"/>
      <c r="E72" s="42"/>
      <c r="F72" s="28"/>
      <c r="G72" s="323"/>
      <c r="H72" s="60">
        <f>SUM(H64:H71)</f>
        <v>326.38862843461339</v>
      </c>
      <c r="I72" s="98">
        <f>SUM(I64:I71)</f>
        <v>177.0498903530783</v>
      </c>
      <c r="K72" s="99">
        <f>SUM(K64:K71)</f>
        <v>2093.779851196151</v>
      </c>
      <c r="L72" s="100">
        <f>SUM(L64:L71)</f>
        <v>70559</v>
      </c>
    </row>
    <row r="73" spans="1:12" x14ac:dyDescent="0.2">
      <c r="A73" s="27"/>
      <c r="B73" s="28"/>
      <c r="C73" s="28"/>
      <c r="D73" s="28"/>
      <c r="E73" s="42"/>
      <c r="F73" s="28"/>
      <c r="G73" s="323"/>
      <c r="H73" s="58"/>
      <c r="I73" s="29"/>
      <c r="K73" s="27"/>
      <c r="L73" s="41"/>
    </row>
    <row r="74" spans="1:12" x14ac:dyDescent="0.2">
      <c r="A74" s="48" t="s">
        <v>35</v>
      </c>
      <c r="B74" s="28"/>
      <c r="C74" s="28"/>
      <c r="D74" s="28"/>
      <c r="E74" s="42"/>
      <c r="F74" s="28"/>
      <c r="G74" s="323"/>
      <c r="H74" s="58"/>
      <c r="I74" s="29"/>
      <c r="K74" s="27"/>
      <c r="L74" s="41"/>
    </row>
    <row r="75" spans="1:12" x14ac:dyDescent="0.2">
      <c r="A75" s="33" t="s">
        <v>7</v>
      </c>
      <c r="B75" s="28">
        <f>SUM('[2]Pop 57'!$D$5:$D$6)</f>
        <v>1849075</v>
      </c>
      <c r="C75" s="46">
        <f>D75*B75</f>
        <v>30.509737500000004</v>
      </c>
      <c r="D75" s="102">
        <f>'1.Diabetes IDDM_DISMOD'!E85</f>
        <v>1.6500000000000001E-5</v>
      </c>
      <c r="E75" s="42">
        <f t="shared" ref="E75:E82" si="6">D26</f>
        <v>69.364647599999998</v>
      </c>
      <c r="F75" s="42">
        <f>'1.Diabetes IDDM_DISMOD'!Z85</f>
        <v>2.5401500000000001</v>
      </c>
      <c r="G75" s="323">
        <f>$B$19*K120</f>
        <v>3.2835112685977927E-2</v>
      </c>
      <c r="H75" s="60">
        <f>C75*E75*G75</f>
        <v>69.488856712507371</v>
      </c>
      <c r="I75" s="98">
        <f>C75*G75*(1-EXP(-0.03*E75))/0.03</f>
        <v>29.225142196181803</v>
      </c>
      <c r="K75" s="99">
        <f>L75*G75</f>
        <v>15.399667849723647</v>
      </c>
      <c r="L75" s="100">
        <f>'1.Diabetes IDDM_DISMOD'!T100</f>
        <v>469</v>
      </c>
    </row>
    <row r="76" spans="1:12" x14ac:dyDescent="0.2">
      <c r="A76" s="33" t="s">
        <v>11</v>
      </c>
      <c r="B76" s="28">
        <f>SUM('[2]Pop 57'!$D$7:$D$8)</f>
        <v>3940160</v>
      </c>
      <c r="C76" s="46">
        <f t="shared" ref="C76:C82" si="7">D76*B76</f>
        <v>65.012640000000005</v>
      </c>
      <c r="D76" s="102">
        <f>'1.Diabetes IDDM_DISMOD'!E86</f>
        <v>1.6500000000000001E-5</v>
      </c>
      <c r="E76" s="42">
        <f t="shared" si="6"/>
        <v>62.355401100000002</v>
      </c>
      <c r="F76" s="42">
        <f>'1.Diabetes IDDM_DISMOD'!Z86</f>
        <v>10.025779999999999</v>
      </c>
      <c r="G76" s="323">
        <f t="shared" ref="G76:G82" si="8">$B$19*K121</f>
        <v>3.1966906628331307E-2</v>
      </c>
      <c r="H76" s="60">
        <f t="shared" ref="H76:H82" si="9">C76*E76*G76</f>
        <v>129.59029893718915</v>
      </c>
      <c r="I76" s="98">
        <f t="shared" ref="I76:I82" si="10">C76*G76*(1-EXP(-0.03*E76))/0.03</f>
        <v>58.605233847172173</v>
      </c>
      <c r="K76" s="99">
        <f t="shared" ref="K76:K82" si="11">L76*G76</f>
        <v>125.5979761427137</v>
      </c>
      <c r="L76" s="100">
        <f>'1.Diabetes IDDM_DISMOD'!T101</f>
        <v>3929</v>
      </c>
    </row>
    <row r="77" spans="1:12" x14ac:dyDescent="0.2">
      <c r="A77" s="33" t="s">
        <v>12</v>
      </c>
      <c r="B77" s="46">
        <f>SUM('[2]Pop 57'!$D$9:$D$11)</f>
        <v>7026158.1752900956</v>
      </c>
      <c r="C77" s="46">
        <f t="shared" si="7"/>
        <v>109.60806753452549</v>
      </c>
      <c r="D77" s="102">
        <f>'1.Diabetes IDDM_DISMOD'!E87</f>
        <v>1.56E-5</v>
      </c>
      <c r="E77" s="42">
        <f t="shared" si="6"/>
        <v>51.082296700000001</v>
      </c>
      <c r="F77" s="42">
        <f>'1.Diabetes IDDM_DISMOD'!Z87</f>
        <v>22.1252</v>
      </c>
      <c r="G77" s="323">
        <f t="shared" si="8"/>
        <v>3.1959311631031662E-2</v>
      </c>
      <c r="H77" s="60">
        <f t="shared" si="9"/>
        <v>178.94120297557001</v>
      </c>
      <c r="I77" s="98">
        <f t="shared" si="10"/>
        <v>91.544823505193236</v>
      </c>
      <c r="K77" s="99">
        <f t="shared" si="11"/>
        <v>495.8487199554562</v>
      </c>
      <c r="L77" s="100">
        <f>'1.Diabetes IDDM_DISMOD'!T102</f>
        <v>15515</v>
      </c>
    </row>
    <row r="78" spans="1:12" x14ac:dyDescent="0.2">
      <c r="A78" s="33" t="s">
        <v>13</v>
      </c>
      <c r="B78" s="28">
        <f>SUM('[2]Pop 57'!$D$12:$D$14)</f>
        <v>8017814</v>
      </c>
      <c r="C78" s="46">
        <f t="shared" si="7"/>
        <v>12.8285024</v>
      </c>
      <c r="D78" s="102">
        <f>'1.Diabetes IDDM_DISMOD'!E88</f>
        <v>1.5999999999999999E-6</v>
      </c>
      <c r="E78" s="42">
        <f t="shared" si="6"/>
        <v>41.898612</v>
      </c>
      <c r="F78" s="42">
        <f>'1.Diabetes IDDM_DISMOD'!Z88</f>
        <v>31.755289999999999</v>
      </c>
      <c r="G78" s="323">
        <f t="shared" si="8"/>
        <v>3.2182540509697453E-2</v>
      </c>
      <c r="H78" s="60">
        <f t="shared" si="9"/>
        <v>17.298001102115009</v>
      </c>
      <c r="I78" s="98">
        <f t="shared" si="10"/>
        <v>9.8463138135845192</v>
      </c>
      <c r="K78" s="99">
        <f t="shared" si="11"/>
        <v>750.97958279379009</v>
      </c>
      <c r="L78" s="100">
        <f>'1.Diabetes IDDM_DISMOD'!T103</f>
        <v>23335</v>
      </c>
    </row>
    <row r="79" spans="1:12" x14ac:dyDescent="0.2">
      <c r="A79" s="33" t="s">
        <v>14</v>
      </c>
      <c r="B79" s="28">
        <f>SUM('[2]Pop 57'!$D$15:$D$17)</f>
        <v>7162204</v>
      </c>
      <c r="C79" s="46">
        <f t="shared" si="7"/>
        <v>0</v>
      </c>
      <c r="D79" s="102">
        <f>'1.Diabetes IDDM_DISMOD'!E89</f>
        <v>0</v>
      </c>
      <c r="E79" s="42">
        <f t="shared" si="6"/>
        <v>30.925864199999999</v>
      </c>
      <c r="F79" s="42">
        <f>'1.Diabetes IDDM_DISMOD'!Z89</f>
        <v>50.877839999999999</v>
      </c>
      <c r="G79" s="323">
        <f t="shared" si="8"/>
        <v>3.1589870600457717E-2</v>
      </c>
      <c r="H79" s="60">
        <f t="shared" si="9"/>
        <v>0</v>
      </c>
      <c r="I79" s="98">
        <f t="shared" si="10"/>
        <v>0</v>
      </c>
      <c r="K79" s="99">
        <f t="shared" si="11"/>
        <v>627.62754908989393</v>
      </c>
      <c r="L79" s="100">
        <f>'1.Diabetes IDDM_DISMOD'!T104</f>
        <v>19868</v>
      </c>
    </row>
    <row r="80" spans="1:12" x14ac:dyDescent="0.2">
      <c r="A80" s="33" t="s">
        <v>15</v>
      </c>
      <c r="B80" s="46">
        <f>SUM('[2]Pop 57'!$D$18:$D$19)</f>
        <v>2739970.5356088658</v>
      </c>
      <c r="C80" s="46">
        <f t="shared" si="7"/>
        <v>0</v>
      </c>
      <c r="D80" s="102">
        <f>'1.Diabetes IDDM_DISMOD'!E90</f>
        <v>0</v>
      </c>
      <c r="E80" s="42">
        <f t="shared" si="6"/>
        <v>18.924311199999998</v>
      </c>
      <c r="F80" s="42">
        <f>'1.Diabetes IDDM_DISMOD'!Z90</f>
        <v>65.090350000000001</v>
      </c>
      <c r="G80" s="323">
        <f t="shared" si="8"/>
        <v>3.1402454607326019E-2</v>
      </c>
      <c r="H80" s="60">
        <f t="shared" si="9"/>
        <v>0</v>
      </c>
      <c r="I80" s="98">
        <f t="shared" si="10"/>
        <v>0</v>
      </c>
      <c r="K80" s="99">
        <f t="shared" si="11"/>
        <v>214.51016742264403</v>
      </c>
      <c r="L80" s="100">
        <f>'1.Diabetes IDDM_DISMOD'!T105</f>
        <v>6831</v>
      </c>
    </row>
    <row r="81" spans="1:14" x14ac:dyDescent="0.2">
      <c r="A81" s="33" t="s">
        <v>16</v>
      </c>
      <c r="B81" s="46">
        <f>SUM('[2]Pop 57'!$D$20:$D$21)</f>
        <v>1513246</v>
      </c>
      <c r="C81" s="46">
        <f t="shared" si="7"/>
        <v>0</v>
      </c>
      <c r="D81" s="102">
        <f>'1.Diabetes IDDM_DISMOD'!E91</f>
        <v>0</v>
      </c>
      <c r="E81" s="42">
        <f t="shared" si="6"/>
        <v>12.7368098</v>
      </c>
      <c r="F81" s="42">
        <f>'1.Diabetes IDDM_DISMOD'!Z91</f>
        <v>74.056030000000007</v>
      </c>
      <c r="G81" s="323">
        <f t="shared" si="8"/>
        <v>3.1081064284716266E-2</v>
      </c>
      <c r="H81" s="60">
        <f t="shared" si="9"/>
        <v>0</v>
      </c>
      <c r="I81" s="98">
        <f t="shared" si="10"/>
        <v>0</v>
      </c>
      <c r="K81" s="99">
        <f t="shared" si="11"/>
        <v>92.870220082732203</v>
      </c>
      <c r="L81" s="100">
        <f>'1.Diabetes IDDM_DISMOD'!T106</f>
        <v>2988</v>
      </c>
    </row>
    <row r="82" spans="1:14" x14ac:dyDescent="0.2">
      <c r="A82" s="33" t="s">
        <v>17</v>
      </c>
      <c r="B82" s="46">
        <f>SUM('[2]Pop 57'!$D$22:$D$26)</f>
        <v>784195.44620730029</v>
      </c>
      <c r="C82" s="46">
        <f t="shared" si="7"/>
        <v>0</v>
      </c>
      <c r="D82" s="102">
        <f>'1.Diabetes IDDM_DISMOD'!E92</f>
        <v>0</v>
      </c>
      <c r="E82" s="42">
        <f t="shared" si="6"/>
        <v>9.9983436999999995</v>
      </c>
      <c r="F82" s="42">
        <f>'1.Diabetes IDDM_DISMOD'!Z92</f>
        <v>89.172989999999999</v>
      </c>
      <c r="G82" s="323">
        <f t="shared" si="8"/>
        <v>3.084578508601003E-2</v>
      </c>
      <c r="H82" s="60">
        <f t="shared" si="9"/>
        <v>0</v>
      </c>
      <c r="I82" s="98">
        <f t="shared" si="10"/>
        <v>0</v>
      </c>
      <c r="K82" s="99">
        <f t="shared" si="11"/>
        <v>31.462700787730231</v>
      </c>
      <c r="L82" s="100">
        <f>'1.Diabetes IDDM_DISMOD'!T107</f>
        <v>1020</v>
      </c>
    </row>
    <row r="83" spans="1:14" x14ac:dyDescent="0.2">
      <c r="A83" s="34" t="s">
        <v>18</v>
      </c>
      <c r="B83" s="46">
        <f>SUM(B75:B82)</f>
        <v>33032823.157106262</v>
      </c>
      <c r="C83" s="46">
        <f>SUM(C75:C82)</f>
        <v>217.9589474345255</v>
      </c>
      <c r="D83" s="28"/>
      <c r="E83" s="42"/>
      <c r="F83" s="28"/>
      <c r="G83" s="28"/>
      <c r="H83" s="60">
        <f>SUM(H75:H82)</f>
        <v>395.31835972738156</v>
      </c>
      <c r="I83" s="98">
        <f>SUM(I75:I82)</f>
        <v>189.22151336213173</v>
      </c>
      <c r="K83" s="99">
        <f>SUM(K75:K82)</f>
        <v>2354.2965841246837</v>
      </c>
      <c r="L83" s="100">
        <f>SUM(L75:L82)</f>
        <v>73955</v>
      </c>
    </row>
    <row r="84" spans="1:14" x14ac:dyDescent="0.2">
      <c r="A84" s="30"/>
      <c r="B84" s="31"/>
      <c r="C84" s="31"/>
      <c r="D84" s="31"/>
      <c r="E84" s="31"/>
      <c r="F84" s="31"/>
      <c r="G84" s="31"/>
      <c r="H84" s="59"/>
      <c r="I84" s="32"/>
      <c r="K84" s="30"/>
      <c r="L84" s="5"/>
    </row>
    <row r="87" spans="1:14" x14ac:dyDescent="0.2">
      <c r="A87" s="23" t="s">
        <v>57</v>
      </c>
      <c r="B87" s="22"/>
      <c r="C87" s="22"/>
      <c r="D87" s="22"/>
      <c r="E87" s="22"/>
      <c r="F87" s="22"/>
      <c r="G87" s="22"/>
      <c r="H87" s="22"/>
      <c r="I87" s="22"/>
    </row>
    <row r="88" spans="1:14" x14ac:dyDescent="0.2">
      <c r="A88" s="23"/>
      <c r="B88" s="22"/>
      <c r="C88" s="22"/>
      <c r="D88" s="22"/>
      <c r="E88" s="22"/>
      <c r="F88" s="22"/>
      <c r="G88" s="22"/>
      <c r="H88" s="22"/>
      <c r="I88" s="22"/>
    </row>
    <row r="89" spans="1:14" x14ac:dyDescent="0.2">
      <c r="A89" s="24" t="s">
        <v>25</v>
      </c>
      <c r="B89" s="25" t="s">
        <v>26</v>
      </c>
      <c r="C89" s="25" t="s">
        <v>27</v>
      </c>
      <c r="D89" s="25" t="s">
        <v>28</v>
      </c>
      <c r="E89" s="25" t="s">
        <v>9</v>
      </c>
      <c r="F89" s="25" t="s">
        <v>29</v>
      </c>
      <c r="G89" s="25" t="s">
        <v>30</v>
      </c>
      <c r="H89" s="35" t="s">
        <v>31</v>
      </c>
      <c r="I89" s="26" t="s">
        <v>31</v>
      </c>
      <c r="K89" s="37" t="s">
        <v>37</v>
      </c>
      <c r="L89" s="38" t="s">
        <v>38</v>
      </c>
      <c r="N89" s="413" t="s">
        <v>337</v>
      </c>
    </row>
    <row r="90" spans="1:14" x14ac:dyDescent="0.2">
      <c r="A90" s="30"/>
      <c r="B90" s="31">
        <v>2014</v>
      </c>
      <c r="C90" s="31"/>
      <c r="D90" s="31" t="s">
        <v>105</v>
      </c>
      <c r="E90" s="31"/>
      <c r="F90" s="31"/>
      <c r="G90" s="31"/>
      <c r="H90" s="36" t="s">
        <v>32</v>
      </c>
      <c r="I90" s="32" t="s">
        <v>33</v>
      </c>
      <c r="K90" s="39" t="s">
        <v>32</v>
      </c>
      <c r="L90" s="40" t="s">
        <v>39</v>
      </c>
      <c r="N90" s="414"/>
    </row>
    <row r="91" spans="1:14" x14ac:dyDescent="0.2">
      <c r="A91" s="27"/>
      <c r="B91" s="28"/>
      <c r="C91" s="28"/>
      <c r="D91" s="28"/>
      <c r="E91" s="28"/>
      <c r="F91" s="28"/>
      <c r="G91" s="28"/>
      <c r="H91" s="58"/>
      <c r="I91" s="29"/>
      <c r="K91" s="27"/>
      <c r="L91" s="41"/>
      <c r="N91" s="41"/>
    </row>
    <row r="92" spans="1:14" x14ac:dyDescent="0.2">
      <c r="A92" s="48" t="s">
        <v>34</v>
      </c>
      <c r="B92" s="28"/>
      <c r="C92" s="28"/>
      <c r="D92" s="28"/>
      <c r="E92" s="42"/>
      <c r="F92" s="47"/>
      <c r="G92" s="45"/>
      <c r="H92" s="58"/>
      <c r="I92" s="29"/>
      <c r="K92" s="27"/>
      <c r="L92" s="41"/>
      <c r="N92" s="41"/>
    </row>
    <row r="93" spans="1:14" x14ac:dyDescent="0.2">
      <c r="A93" s="33" t="s">
        <v>7</v>
      </c>
      <c r="B93" s="28">
        <f>SUM('[2]Pop 57'!$C$5:$C$6)</f>
        <v>1966319</v>
      </c>
      <c r="C93" s="46">
        <f>D93*B93</f>
        <v>0</v>
      </c>
      <c r="D93" s="91">
        <v>0</v>
      </c>
      <c r="E93" s="42">
        <f t="shared" ref="E93:E100" si="12">C34</f>
        <v>54.167493999999998</v>
      </c>
      <c r="F93" s="42">
        <f>'1.Diabetes ALL_DISMOD'!L42</f>
        <v>2.2670409999999999</v>
      </c>
      <c r="G93" s="323">
        <f>(B$19*'1.Diabetes case_DATA'!E30)+('1.Diabetes case'!B$18*(1-'1.Diabetes case_DATA'!E30))*'1.Diabetes case'!J120</f>
        <v>3.3000000000000002E-2</v>
      </c>
      <c r="H93" s="60">
        <f>C93*E93*G93</f>
        <v>0</v>
      </c>
      <c r="I93" s="98">
        <f>C93*G93*(1-EXP(-0.03*E93))/0.03</f>
        <v>0</v>
      </c>
      <c r="K93" s="99">
        <f>L93*G93</f>
        <v>0</v>
      </c>
      <c r="L93" s="100">
        <v>0</v>
      </c>
      <c r="N93" s="41">
        <f>L93/B93</f>
        <v>0</v>
      </c>
    </row>
    <row r="94" spans="1:14" x14ac:dyDescent="0.2">
      <c r="A94" s="33" t="s">
        <v>11</v>
      </c>
      <c r="B94" s="28">
        <f>SUM('[2]Pop 57'!$C$7:$C$8)</f>
        <v>4179206</v>
      </c>
      <c r="C94" s="46">
        <f t="shared" ref="C94:C100" si="13">D94*B94</f>
        <v>0</v>
      </c>
      <c r="D94" s="91">
        <v>0</v>
      </c>
      <c r="E94" s="42">
        <f t="shared" si="12"/>
        <v>45.157583000000002</v>
      </c>
      <c r="F94" s="42">
        <f>'1.Diabetes ALL_DISMOD'!L43</f>
        <v>12.55334</v>
      </c>
      <c r="G94" s="323">
        <f>(B$19*'1.Diabetes case_DATA'!E31)+('1.Diabetes case'!B$18*(1-'1.Diabetes case_DATA'!E31))*'1.Diabetes case'!J121</f>
        <v>3.3000000000000002E-2</v>
      </c>
      <c r="H94" s="60">
        <f t="shared" ref="H94:H100" si="14">C94*E94*G94</f>
        <v>0</v>
      </c>
      <c r="I94" s="98">
        <f t="shared" ref="I94:I100" si="15">C94*G94*(1-EXP(-0.03*E94))/0.03</f>
        <v>0</v>
      </c>
      <c r="K94" s="99">
        <f t="shared" ref="K94:K100" si="16">L94*G94</f>
        <v>0</v>
      </c>
      <c r="L94" s="100">
        <v>0</v>
      </c>
      <c r="N94" s="41">
        <f t="shared" ref="N94:N100" si="17">L94/B94</f>
        <v>0</v>
      </c>
    </row>
    <row r="95" spans="1:14" x14ac:dyDescent="0.2">
      <c r="A95" s="33" t="s">
        <v>12</v>
      </c>
      <c r="B95" s="28">
        <f>SUM('[2]Pop 57'!$C$9:$C$11)</f>
        <v>7301822</v>
      </c>
      <c r="C95" s="46">
        <f t="shared" si="13"/>
        <v>11057.879236799999</v>
      </c>
      <c r="D95" s="91">
        <f>IF('1.Diabetes ALL_DISMOD'!E44-'1.Diabetes case'!D66&lt;=0,0,'1.Diabetes ALL_DISMOD'!E44-'1.Diabetes case'!D66)</f>
        <v>1.5143999999999999E-3</v>
      </c>
      <c r="E95" s="42">
        <f t="shared" si="12"/>
        <v>37.063034999999999</v>
      </c>
      <c r="F95" s="42">
        <f>'1.Diabetes ALL_DISMOD'!L44</f>
        <v>23.410315000000001</v>
      </c>
      <c r="G95" s="323">
        <f>(B$19*'1.Diabetes case_DATA'!E32)+('1.Diabetes case'!B$18*(1-'1.Diabetes case_DATA'!E32))*'1.Diabetes case'!J122</f>
        <v>1.13852582553242E-2</v>
      </c>
      <c r="H95" s="60">
        <f t="shared" si="14"/>
        <v>4666.1179075577556</v>
      </c>
      <c r="I95" s="98">
        <f t="shared" si="15"/>
        <v>2816.1591666131458</v>
      </c>
      <c r="K95" s="99">
        <f t="shared" si="16"/>
        <v>1155.0799910356614</v>
      </c>
      <c r="L95" s="100">
        <f>'1.Diabetes ALL_DISMOD'!F59-'1.Diabetes case'!L66</f>
        <v>101454</v>
      </c>
      <c r="N95" s="41">
        <f t="shared" si="17"/>
        <v>1.389434034409494E-2</v>
      </c>
    </row>
    <row r="96" spans="1:14" x14ac:dyDescent="0.2">
      <c r="A96" s="33" t="s">
        <v>13</v>
      </c>
      <c r="B96" s="28">
        <f>SUM('[2]Pop 57'!$C$12:$C$14)</f>
        <v>7896765</v>
      </c>
      <c r="C96" s="46">
        <f t="shared" si="13"/>
        <v>35721.016477500001</v>
      </c>
      <c r="D96" s="91">
        <f>IF('1.Diabetes ALL_DISMOD'!E45-'1.Diabetes case'!D67&lt;=0,0,'1.Diabetes ALL_DISMOD'!E45-'1.Diabetes case'!D67)</f>
        <v>4.5235000000000006E-3</v>
      </c>
      <c r="E96" s="42">
        <f t="shared" si="12"/>
        <v>28.429959</v>
      </c>
      <c r="F96" s="42">
        <f>'1.Diabetes ALL_DISMOD'!L45</f>
        <v>37.839689999999997</v>
      </c>
      <c r="G96" s="323">
        <f>(B$19*'1.Diabetes case_DATA'!E33)+('1.Diabetes case'!B$18*(1-'1.Diabetes case_DATA'!E33))*'1.Diabetes case'!J123</f>
        <v>1.9059585872471842E-2</v>
      </c>
      <c r="H96" s="60">
        <f t="shared" si="14"/>
        <v>19355.905900030084</v>
      </c>
      <c r="I96" s="98">
        <f t="shared" si="15"/>
        <v>13022.4710085396</v>
      </c>
      <c r="K96" s="99">
        <f t="shared" si="16"/>
        <v>7771.2983648840509</v>
      </c>
      <c r="L96" s="100">
        <f>'1.Diabetes ALL_DISMOD'!F60-'1.Diabetes case'!L67</f>
        <v>407737</v>
      </c>
      <c r="N96" s="41">
        <f t="shared" si="17"/>
        <v>5.1633422040544448E-2</v>
      </c>
    </row>
    <row r="97" spans="1:14" x14ac:dyDescent="0.2">
      <c r="A97" s="33" t="s">
        <v>14</v>
      </c>
      <c r="B97" s="28">
        <f>SUM('[2]Pop 57'!$C$15:$C$17)</f>
        <v>6554289</v>
      </c>
      <c r="C97" s="46">
        <f t="shared" si="13"/>
        <v>35792.972228999999</v>
      </c>
      <c r="D97" s="91">
        <f>IF('1.Diabetes ALL_DISMOD'!E46-'1.Diabetes case'!D68&lt;=0,0,'1.Diabetes ALL_DISMOD'!E46-'1.Diabetes case'!D68)</f>
        <v>5.4609999999999997E-3</v>
      </c>
      <c r="E97" s="42">
        <f t="shared" si="12"/>
        <v>21.400614999999998</v>
      </c>
      <c r="F97" s="42">
        <f>'1.Diabetes ALL_DISMOD'!L46</f>
        <v>50.721671000000001</v>
      </c>
      <c r="G97" s="323">
        <f>(B$19*'1.Diabetes case_DATA'!E34)+('1.Diabetes case'!B$18*(1-'1.Diabetes case_DATA'!E34))*'1.Diabetes case'!J124</f>
        <v>2.1561325707599978E-2</v>
      </c>
      <c r="H97" s="60">
        <f t="shared" si="14"/>
        <v>16515.794773150908</v>
      </c>
      <c r="I97" s="98">
        <f t="shared" si="15"/>
        <v>12187.658416340302</v>
      </c>
      <c r="K97" s="99">
        <f t="shared" si="16"/>
        <v>15449.789497106472</v>
      </c>
      <c r="L97" s="100">
        <f>'1.Diabetes ALL_DISMOD'!F61-'1.Diabetes case'!L68</f>
        <v>716551</v>
      </c>
      <c r="N97" s="41">
        <f t="shared" si="17"/>
        <v>0.10932551189000057</v>
      </c>
    </row>
    <row r="98" spans="1:14" x14ac:dyDescent="0.2">
      <c r="A98" s="33" t="s">
        <v>15</v>
      </c>
      <c r="B98" s="28">
        <f>SUM('[2]Pop 57'!$C$18:$C$19)</f>
        <v>2344057</v>
      </c>
      <c r="C98" s="46">
        <f t="shared" si="13"/>
        <v>14324.532327000001</v>
      </c>
      <c r="D98" s="91">
        <f>IF('1.Diabetes ALL_DISMOD'!E47-'1.Diabetes case'!D69&lt;=0,0,'1.Diabetes ALL_DISMOD'!E47-'1.Diabetes case'!D69)</f>
        <v>6.1110000000000001E-3</v>
      </c>
      <c r="E98" s="42">
        <f t="shared" si="12"/>
        <v>14.177087</v>
      </c>
      <c r="F98" s="42">
        <f>'1.Diabetes ALL_DISMOD'!L47</f>
        <v>63.793776000000001</v>
      </c>
      <c r="G98" s="323">
        <f>(B$19*'1.Diabetes case_DATA'!E35)+('1.Diabetes case'!B$18*(1-'1.Diabetes case_DATA'!E35))*'1.Diabetes case'!J125</f>
        <v>2.5570311357129109E-2</v>
      </c>
      <c r="H98" s="60">
        <f t="shared" si="14"/>
        <v>5192.8224366939676</v>
      </c>
      <c r="I98" s="98">
        <f t="shared" si="15"/>
        <v>4229.7667711178519</v>
      </c>
      <c r="K98" s="99">
        <f t="shared" si="16"/>
        <v>8806.1595282816943</v>
      </c>
      <c r="L98" s="100">
        <f>'1.Diabetes ALL_DISMOD'!F62-'1.Diabetes case'!L69</f>
        <v>344390</v>
      </c>
      <c r="N98" s="41">
        <f t="shared" si="17"/>
        <v>0.14692048870825239</v>
      </c>
    </row>
    <row r="99" spans="1:14" x14ac:dyDescent="0.2">
      <c r="A99" s="33" t="s">
        <v>16</v>
      </c>
      <c r="B99" s="28">
        <f>SUM('[2]Pop 57'!$C$20:$C$21)</f>
        <v>1173067</v>
      </c>
      <c r="C99" s="46">
        <f t="shared" si="13"/>
        <v>4280.5214829999995</v>
      </c>
      <c r="D99" s="91">
        <f>IF('1.Diabetes ALL_DISMOD'!E48-'1.Diabetes case'!D70&lt;=0,0,'1.Diabetes ALL_DISMOD'!E48-'1.Diabetes case'!D70)</f>
        <v>3.6489999999999999E-3</v>
      </c>
      <c r="E99" s="42">
        <f t="shared" si="12"/>
        <v>9.0248369999999998</v>
      </c>
      <c r="F99" s="42">
        <f>'1.Diabetes ALL_DISMOD'!L48</f>
        <v>75.187343999999996</v>
      </c>
      <c r="G99" s="323">
        <f>(B$19*'1.Diabetes case_DATA'!E36)+('1.Diabetes case'!B$18*(1-'1.Diabetes case_DATA'!E36))*'1.Diabetes case'!J126</f>
        <v>2.7465610103350774E-2</v>
      </c>
      <c r="H99" s="60">
        <f t="shared" si="14"/>
        <v>1061.0242217292739</v>
      </c>
      <c r="I99" s="98">
        <f t="shared" si="15"/>
        <v>929.52140652324408</v>
      </c>
      <c r="K99" s="99">
        <f t="shared" si="16"/>
        <v>4916.2343460593747</v>
      </c>
      <c r="L99" s="100">
        <f>'1.Diabetes ALL_DISMOD'!F63-'1.Diabetes case'!L70</f>
        <v>178996</v>
      </c>
      <c r="N99" s="41">
        <f t="shared" si="17"/>
        <v>0.15258804484313343</v>
      </c>
    </row>
    <row r="100" spans="1:14" x14ac:dyDescent="0.2">
      <c r="A100" s="33" t="s">
        <v>17</v>
      </c>
      <c r="B100" s="28">
        <f>SUM('[2]Pop 57'!$C$22:$C$26)</f>
        <v>506965</v>
      </c>
      <c r="C100" s="46">
        <f t="shared" si="13"/>
        <v>2690.4632550000001</v>
      </c>
      <c r="D100" s="91">
        <f>IF('1.Diabetes ALL_DISMOD'!E49-'1.Diabetes case'!D71&lt;=0,0,'1.Diabetes ALL_DISMOD'!E49-'1.Diabetes case'!D71)</f>
        <v>5.3070000000000001E-3</v>
      </c>
      <c r="E100" s="42">
        <f t="shared" si="12"/>
        <v>6.344195</v>
      </c>
      <c r="F100" s="42">
        <f>'1.Diabetes ALL_DISMOD'!L49</f>
        <v>92.729742999999999</v>
      </c>
      <c r="G100" s="323">
        <f>(B$19*'1.Diabetes case_DATA'!E37)+('1.Diabetes case'!B$18*(1-'1.Diabetes case_DATA'!E37))*'1.Diabetes case'!J127</f>
        <v>2.3503165928119119E-2</v>
      </c>
      <c r="H100" s="60">
        <f t="shared" si="14"/>
        <v>401.1713916246602</v>
      </c>
      <c r="I100" s="98">
        <f t="shared" si="15"/>
        <v>365.30575817991462</v>
      </c>
      <c r="K100" s="99">
        <f t="shared" si="16"/>
        <v>1664.0711540426898</v>
      </c>
      <c r="L100" s="100">
        <f>'1.Diabetes ALL_DISMOD'!F64-'1.Diabetes case'!L71</f>
        <v>70802</v>
      </c>
      <c r="N100" s="41">
        <f t="shared" si="17"/>
        <v>0.13965855631059343</v>
      </c>
    </row>
    <row r="101" spans="1:14" x14ac:dyDescent="0.2">
      <c r="A101" s="34" t="s">
        <v>18</v>
      </c>
      <c r="B101" s="28">
        <f>SUM(B93:B100)</f>
        <v>31922490</v>
      </c>
      <c r="C101" s="46">
        <f>SUM(C93:C100)</f>
        <v>103867.38500829999</v>
      </c>
      <c r="D101" s="91">
        <f>C101/B101</f>
        <v>3.2537369424596885E-3</v>
      </c>
      <c r="E101" s="42"/>
      <c r="F101" s="28" t="s">
        <v>23</v>
      </c>
      <c r="G101" s="324"/>
      <c r="H101" s="60">
        <f>SUM(H93:H100)</f>
        <v>47192.836630786653</v>
      </c>
      <c r="I101" s="98">
        <f>SUM(I93:I100)</f>
        <v>33550.882527314061</v>
      </c>
      <c r="K101" s="99">
        <f>SUM(K93:K100)</f>
        <v>39762.632881409947</v>
      </c>
      <c r="L101" s="100">
        <f>SUM(L93:L100)</f>
        <v>1819930</v>
      </c>
      <c r="N101" s="41"/>
    </row>
    <row r="102" spans="1:14" x14ac:dyDescent="0.2">
      <c r="A102" s="27"/>
      <c r="B102" s="28"/>
      <c r="C102" s="28"/>
      <c r="D102" s="28"/>
      <c r="E102" s="42"/>
      <c r="F102" s="28"/>
      <c r="G102" s="323"/>
      <c r="H102" s="58"/>
      <c r="I102" s="29"/>
      <c r="K102" s="99"/>
      <c r="L102" s="100"/>
      <c r="N102" s="41"/>
    </row>
    <row r="103" spans="1:14" x14ac:dyDescent="0.2">
      <c r="A103" s="48" t="s">
        <v>35</v>
      </c>
      <c r="B103" s="28"/>
      <c r="C103" s="28"/>
      <c r="D103" s="28"/>
      <c r="E103" s="42"/>
      <c r="F103" s="28"/>
      <c r="G103" s="323"/>
      <c r="H103" s="58"/>
      <c r="I103" s="29"/>
      <c r="J103" s="22" t="s">
        <v>23</v>
      </c>
      <c r="K103" s="99"/>
      <c r="L103" s="100"/>
      <c r="N103" s="41"/>
    </row>
    <row r="104" spans="1:14" x14ac:dyDescent="0.2">
      <c r="A104" s="33" t="s">
        <v>7</v>
      </c>
      <c r="B104" s="28">
        <f>SUM('[2]Pop 57'!$D$5:$D$6)</f>
        <v>1849075</v>
      </c>
      <c r="C104" s="46">
        <f>D104*B104</f>
        <v>0</v>
      </c>
      <c r="D104" s="91">
        <v>0</v>
      </c>
      <c r="E104" s="42">
        <f t="shared" ref="E104:E111" si="18">D34</f>
        <v>64.091886000000002</v>
      </c>
      <c r="F104" s="42">
        <f>'1.Diabetes ALL_DISMOD'!L72</f>
        <v>3.8865620000000001</v>
      </c>
      <c r="G104" s="323">
        <f>(B$19*'1.Diabetes case_DATA'!E40)+('1.Diabetes case'!B$18*(1-'1.Diabetes case_DATA'!E40))*'1.Diabetes case'!K120</f>
        <v>3.3000000000000002E-2</v>
      </c>
      <c r="H104" s="60">
        <f>C104*E104*G104</f>
        <v>0</v>
      </c>
      <c r="I104" s="98">
        <f>C104*G104*(1-EXP(-0.03*E104))/0.03</f>
        <v>0</v>
      </c>
      <c r="K104" s="99">
        <f>L104*G104</f>
        <v>0</v>
      </c>
      <c r="L104" s="100">
        <v>0</v>
      </c>
      <c r="N104" s="41">
        <f>L104/B104</f>
        <v>0</v>
      </c>
    </row>
    <row r="105" spans="1:14" x14ac:dyDescent="0.2">
      <c r="A105" s="33" t="s">
        <v>11</v>
      </c>
      <c r="B105" s="28">
        <f>SUM('[2]Pop 57'!$D$7:$D$8)</f>
        <v>3940160</v>
      </c>
      <c r="C105" s="46">
        <f t="shared" ref="C105:C111" si="19">D105*B105</f>
        <v>0</v>
      </c>
      <c r="D105" s="91">
        <v>0</v>
      </c>
      <c r="E105" s="42">
        <f t="shared" si="18"/>
        <v>55.898117999999997</v>
      </c>
      <c r="F105" s="42">
        <f>'1.Diabetes ALL_DISMOD'!L73</f>
        <v>12.659378</v>
      </c>
      <c r="G105" s="323">
        <f>(B$19*'1.Diabetes case_DATA'!E41)+('1.Diabetes case'!B$18*(1-'1.Diabetes case_DATA'!E41))*'1.Diabetes case'!K121</f>
        <v>3.3000000000000002E-2</v>
      </c>
      <c r="H105" s="60">
        <f t="shared" ref="H105:H111" si="20">C105*E105*G105</f>
        <v>0</v>
      </c>
      <c r="I105" s="98">
        <f t="shared" ref="I105:I111" si="21">C105*G105*(1-EXP(-0.03*E105))/0.03</f>
        <v>0</v>
      </c>
      <c r="K105" s="99">
        <f>L105*G105</f>
        <v>0</v>
      </c>
      <c r="L105" s="100">
        <v>0</v>
      </c>
      <c r="N105" s="41">
        <f t="shared" ref="N105:N111" si="22">L105/B105</f>
        <v>0</v>
      </c>
    </row>
    <row r="106" spans="1:14" x14ac:dyDescent="0.2">
      <c r="A106" s="33" t="s">
        <v>12</v>
      </c>
      <c r="B106" s="46">
        <f>SUM('[2]Pop 57'!$D$9:$D$11)</f>
        <v>7026158.1752900956</v>
      </c>
      <c r="C106" s="46">
        <f t="shared" si="19"/>
        <v>21263.965101697944</v>
      </c>
      <c r="D106" s="91">
        <f>IF('1.Diabetes ALL_DISMOD'!E74-'1.Diabetes case'!D77&lt;=0,0,'1.Diabetes ALL_DISMOD'!E74-'1.Diabetes case'!D77)</f>
        <v>3.0263999999999998E-3</v>
      </c>
      <c r="E106" s="42">
        <f t="shared" si="18"/>
        <v>47.189256999999998</v>
      </c>
      <c r="F106" s="42">
        <f>'1.Diabetes ALL_DISMOD'!L74</f>
        <v>22.077010000000001</v>
      </c>
      <c r="G106" s="323">
        <f>(B$19*'1.Diabetes case_DATA'!E42)+('1.Diabetes case'!B$18*(1-'1.Diabetes case_DATA'!E42))*'1.Diabetes case'!K122</f>
        <v>1.4400764043271834E-2</v>
      </c>
      <c r="H106" s="60">
        <f t="shared" si="20"/>
        <v>14450.168946417798</v>
      </c>
      <c r="I106" s="98">
        <f t="shared" si="21"/>
        <v>7729.3234779314553</v>
      </c>
      <c r="K106" s="99">
        <f t="shared" ref="K106:K111" si="23">L106*G106</f>
        <v>2216.6088038325306</v>
      </c>
      <c r="L106" s="100">
        <f>'1.Diabetes ALL_DISMOD'!F89-'1.Diabetes case'!L77</f>
        <v>153923</v>
      </c>
      <c r="N106" s="41">
        <f t="shared" si="22"/>
        <v>2.1907135615210488E-2</v>
      </c>
    </row>
    <row r="107" spans="1:14" x14ac:dyDescent="0.2">
      <c r="A107" s="33" t="s">
        <v>13</v>
      </c>
      <c r="B107" s="28">
        <f>SUM('[2]Pop 57'!$D$12:$D$14)</f>
        <v>8017814</v>
      </c>
      <c r="C107" s="46">
        <f t="shared" si="19"/>
        <v>21899.8571596</v>
      </c>
      <c r="D107" s="91">
        <f>IF('1.Diabetes ALL_DISMOD'!E75-'1.Diabetes case'!D78&lt;=0,0,'1.Diabetes ALL_DISMOD'!E75-'1.Diabetes case'!D78)</f>
        <v>2.7314000000000001E-3</v>
      </c>
      <c r="E107" s="42">
        <f t="shared" si="18"/>
        <v>32.744303000000002</v>
      </c>
      <c r="F107" s="42">
        <f>'1.Diabetes ALL_DISMOD'!L75</f>
        <v>38.474907999999999</v>
      </c>
      <c r="G107" s="323">
        <f>(B$19*'1.Diabetes case_DATA'!E43)+('1.Diabetes case'!B$18*(1-'1.Diabetes case_DATA'!E43))*'1.Diabetes case'!K123</f>
        <v>2.5822824055188379E-2</v>
      </c>
      <c r="H107" s="60">
        <f t="shared" si="20"/>
        <v>18517.432437661406</v>
      </c>
      <c r="I107" s="98">
        <f t="shared" si="21"/>
        <v>11792.180959320263</v>
      </c>
      <c r="K107" s="99">
        <f t="shared" si="23"/>
        <v>12008.103819319645</v>
      </c>
      <c r="L107" s="100">
        <f>'1.Diabetes ALL_DISMOD'!F90-'1.Diabetes case'!L78</f>
        <v>465019</v>
      </c>
      <c r="N107" s="41">
        <f t="shared" si="22"/>
        <v>5.799822744703232E-2</v>
      </c>
    </row>
    <row r="108" spans="1:14" x14ac:dyDescent="0.2">
      <c r="A108" s="33" t="s">
        <v>14</v>
      </c>
      <c r="B108" s="28">
        <f>SUM('[2]Pop 57'!$D$15:$D$17)</f>
        <v>7162204</v>
      </c>
      <c r="C108" s="46">
        <f t="shared" si="19"/>
        <v>45866.754416000003</v>
      </c>
      <c r="D108" s="91">
        <f>IF('1.Diabetes ALL_DISMOD'!E76-'1.Diabetes case'!D79&lt;=0,0,'1.Diabetes ALL_DISMOD'!E76-'1.Diabetes case'!D79)</f>
        <v>6.404E-3</v>
      </c>
      <c r="E108" s="42">
        <f t="shared" si="18"/>
        <v>22.17709</v>
      </c>
      <c r="F108" s="42">
        <f>'1.Diabetes ALL_DISMOD'!L76</f>
        <v>51.835413000000003</v>
      </c>
      <c r="G108" s="323">
        <f>(B$19*'1.Diabetes case_DATA'!E44)+('1.Diabetes case'!B$18*(1-'1.Diabetes case_DATA'!E44))*'1.Diabetes case'!K124</f>
        <v>2.8138113002073983E-2</v>
      </c>
      <c r="H108" s="60">
        <f t="shared" si="20"/>
        <v>28621.839261486792</v>
      </c>
      <c r="I108" s="98">
        <f t="shared" si="21"/>
        <v>20902.933415826959</v>
      </c>
      <c r="K108" s="99">
        <f t="shared" si="23"/>
        <v>22532.94461583484</v>
      </c>
      <c r="L108" s="100">
        <f>'1.Diabetes ALL_DISMOD'!F91-'1.Diabetes case'!L79</f>
        <v>800798</v>
      </c>
      <c r="N108" s="41">
        <f t="shared" si="22"/>
        <v>0.11180887894285055</v>
      </c>
    </row>
    <row r="109" spans="1:14" x14ac:dyDescent="0.2">
      <c r="A109" s="33" t="s">
        <v>15</v>
      </c>
      <c r="B109" s="46">
        <f>SUM('[2]Pop 57'!$D$18:$D$19)</f>
        <v>2739970.5356088658</v>
      </c>
      <c r="C109" s="46">
        <f t="shared" si="19"/>
        <v>46365.781403573223</v>
      </c>
      <c r="D109" s="91">
        <f>IF('1.Diabetes ALL_DISMOD'!E77-'1.Diabetes case'!D80&lt;=0,0,'1.Diabetes ALL_DISMOD'!E77-'1.Diabetes case'!D80)</f>
        <v>1.6922E-2</v>
      </c>
      <c r="E109" s="42">
        <f t="shared" si="18"/>
        <v>13.955360000000001</v>
      </c>
      <c r="F109" s="42">
        <f>'1.Diabetes ALL_DISMOD'!L77</f>
        <v>63.837212000000001</v>
      </c>
      <c r="G109" s="323">
        <f>(B$19*'1.Diabetes case_DATA'!E45)+('1.Diabetes case'!B$18*(1-'1.Diabetes case_DATA'!E45))*'1.Diabetes case'!K125</f>
        <v>2.8662233954935466E-2</v>
      </c>
      <c r="H109" s="60">
        <f t="shared" si="20"/>
        <v>18545.932048837072</v>
      </c>
      <c r="I109" s="98">
        <f t="shared" si="21"/>
        <v>15153.213677692276</v>
      </c>
      <c r="K109" s="99">
        <f t="shared" si="23"/>
        <v>15955.749722501385</v>
      </c>
      <c r="L109" s="100">
        <f>'1.Diabetes ALL_DISMOD'!F92-'1.Diabetes case'!L80</f>
        <v>556682</v>
      </c>
      <c r="N109" s="41">
        <f t="shared" si="22"/>
        <v>0.2031707979211157</v>
      </c>
    </row>
    <row r="110" spans="1:14" x14ac:dyDescent="0.2">
      <c r="A110" s="33" t="s">
        <v>16</v>
      </c>
      <c r="B110" s="46">
        <f>SUM('[2]Pop 57'!$D$20:$D$21)</f>
        <v>1513246</v>
      </c>
      <c r="C110" s="46">
        <f t="shared" si="19"/>
        <v>4282.4861799999999</v>
      </c>
      <c r="D110" s="91">
        <f>IF('1.Diabetes ALL_DISMOD'!E78-'1.Diabetes case'!D81&lt;=0,0,'1.Diabetes ALL_DISMOD'!E78-'1.Diabetes case'!D81)</f>
        <v>2.8300000000000001E-3</v>
      </c>
      <c r="E110" s="42">
        <f t="shared" si="18"/>
        <v>7.9026259999999997</v>
      </c>
      <c r="F110" s="42">
        <f>'1.Diabetes ALL_DISMOD'!L78</f>
        <v>74.704417000000007</v>
      </c>
      <c r="G110" s="323">
        <f>(B$19*'1.Diabetes case_DATA'!E46)+('1.Diabetes case'!B$18*(1-'1.Diabetes case_DATA'!E46))*'1.Diabetes case'!K126</f>
        <v>2.8291578527193974E-2</v>
      </c>
      <c r="H110" s="60">
        <f t="shared" si="20"/>
        <v>957.46868469961771</v>
      </c>
      <c r="I110" s="98">
        <f t="shared" si="21"/>
        <v>852.43286937705443</v>
      </c>
      <c r="K110" s="99">
        <f t="shared" si="23"/>
        <v>9250.8652215574675</v>
      </c>
      <c r="L110" s="100">
        <f>'1.Diabetes ALL_DISMOD'!F93-'1.Diabetes case'!L81</f>
        <v>326983</v>
      </c>
      <c r="N110" s="41">
        <f t="shared" si="22"/>
        <v>0.21608053151966039</v>
      </c>
    </row>
    <row r="111" spans="1:14" x14ac:dyDescent="0.2">
      <c r="A111" s="33" t="s">
        <v>17</v>
      </c>
      <c r="B111" s="46">
        <f>SUM('[2]Pop 57'!$D$22:$D$26)</f>
        <v>784195.44620730029</v>
      </c>
      <c r="C111" s="46">
        <f t="shared" si="19"/>
        <v>5337.2342068868866</v>
      </c>
      <c r="D111" s="91">
        <f>IF('1.Diabetes ALL_DISMOD'!E79-'1.Diabetes case'!D82&lt;=0,0,'1.Diabetes ALL_DISMOD'!E79-'1.Diabetes case'!D82)</f>
        <v>6.8060000000000004E-3</v>
      </c>
      <c r="E111" s="42">
        <f t="shared" si="18"/>
        <v>4.723509</v>
      </c>
      <c r="F111" s="42">
        <f>'1.Diabetes ALL_DISMOD'!L79</f>
        <v>94.558993000000001</v>
      </c>
      <c r="G111" s="323">
        <f>(B$19*'1.Diabetes case_DATA'!E47)+('1.Diabetes case'!B$18*(1-'1.Diabetes case_DATA'!E47))*'1.Diabetes case'!K127</f>
        <v>2.7183845315623522E-2</v>
      </c>
      <c r="H111" s="60">
        <f t="shared" si="20"/>
        <v>685.31762042099183</v>
      </c>
      <c r="I111" s="98">
        <f t="shared" si="21"/>
        <v>638.97563127317039</v>
      </c>
      <c r="K111" s="99">
        <f t="shared" si="23"/>
        <v>2718.7922892420866</v>
      </c>
      <c r="L111" s="100">
        <f>'1.Diabetes ALL_DISMOD'!F94-'1.Diabetes case'!L82</f>
        <v>100015</v>
      </c>
      <c r="N111" s="41">
        <f t="shared" si="22"/>
        <v>0.12753835856063012</v>
      </c>
    </row>
    <row r="112" spans="1:14" x14ac:dyDescent="0.2">
      <c r="A112" s="34" t="s">
        <v>18</v>
      </c>
      <c r="B112" s="46">
        <f>SUM(B104:B111)</f>
        <v>33032823.157106262</v>
      </c>
      <c r="C112" s="46">
        <f>SUM(C106:C111)</f>
        <v>145016.07846775805</v>
      </c>
      <c r="D112" s="91">
        <f>C112/B112</f>
        <v>4.3900600859348932E-3</v>
      </c>
      <c r="E112" s="42"/>
      <c r="F112" s="28"/>
      <c r="G112" s="28"/>
      <c r="H112" s="60">
        <f>SUM(H104:H111)</f>
        <v>81778.158999523672</v>
      </c>
      <c r="I112" s="98">
        <f>SUM(I104:I111)</f>
        <v>57069.060031421177</v>
      </c>
      <c r="K112" s="99">
        <f>SUM(K104:K111)</f>
        <v>64683.064472287952</v>
      </c>
      <c r="L112" s="100">
        <f>SUM(L104:L111)</f>
        <v>2403420</v>
      </c>
      <c r="N112" s="41"/>
    </row>
    <row r="113" spans="1:14" x14ac:dyDescent="0.2">
      <c r="A113" s="30"/>
      <c r="B113" s="31"/>
      <c r="C113" s="31"/>
      <c r="D113" s="31"/>
      <c r="E113" s="31"/>
      <c r="F113" s="31"/>
      <c r="G113" s="31"/>
      <c r="H113" s="59"/>
      <c r="I113" s="32"/>
      <c r="K113" s="30"/>
      <c r="L113" s="5"/>
      <c r="N113" s="5"/>
    </row>
    <row r="116" spans="1:14" x14ac:dyDescent="0.2">
      <c r="A116" s="23" t="s">
        <v>49</v>
      </c>
      <c r="B116" s="22"/>
      <c r="C116" s="22"/>
      <c r="D116" s="22"/>
      <c r="E116" s="22"/>
      <c r="F116" s="22"/>
      <c r="G116" s="22"/>
      <c r="H116" s="22"/>
      <c r="I116" s="22"/>
    </row>
    <row r="117" spans="1:14" x14ac:dyDescent="0.2">
      <c r="A117" s="23"/>
      <c r="B117" s="22"/>
      <c r="C117" s="22"/>
      <c r="D117" s="22"/>
      <c r="E117" s="22"/>
      <c r="F117" s="22"/>
    </row>
    <row r="118" spans="1:14" x14ac:dyDescent="0.2">
      <c r="A118" s="24" t="s">
        <v>25</v>
      </c>
      <c r="B118" s="35" t="s">
        <v>31</v>
      </c>
      <c r="C118" s="26" t="s">
        <v>31</v>
      </c>
      <c r="E118" s="38" t="s">
        <v>38</v>
      </c>
      <c r="F118" s="297" t="s">
        <v>27</v>
      </c>
      <c r="G118" s="400" t="s">
        <v>255</v>
      </c>
      <c r="I118" s="299" t="s">
        <v>256</v>
      </c>
      <c r="J118" s="300"/>
      <c r="K118" s="300"/>
      <c r="L118" s="22" t="s">
        <v>23</v>
      </c>
    </row>
    <row r="119" spans="1:14" x14ac:dyDescent="0.2">
      <c r="A119" s="30"/>
      <c r="B119" s="36" t="s">
        <v>32</v>
      </c>
      <c r="C119" s="32" t="s">
        <v>33</v>
      </c>
      <c r="E119" s="40" t="s">
        <v>39</v>
      </c>
      <c r="F119" s="297"/>
      <c r="G119" s="401"/>
      <c r="I119" s="300"/>
      <c r="J119" s="300" t="s">
        <v>257</v>
      </c>
      <c r="K119" s="300" t="s">
        <v>258</v>
      </c>
    </row>
    <row r="120" spans="1:14" x14ac:dyDescent="0.2">
      <c r="A120" s="27"/>
      <c r="B120" s="58"/>
      <c r="C120" s="29"/>
      <c r="I120" s="301" t="s">
        <v>259</v>
      </c>
      <c r="J120" s="302">
        <f>[3]DM!F59</f>
        <v>0.99462615582187386</v>
      </c>
      <c r="K120" s="302">
        <f>[3]DM!G59</f>
        <v>0.99500341472660381</v>
      </c>
    </row>
    <row r="121" spans="1:14" x14ac:dyDescent="0.2">
      <c r="A121" s="48" t="s">
        <v>34</v>
      </c>
      <c r="B121" s="58"/>
      <c r="C121" s="29"/>
      <c r="I121" s="304" t="s">
        <v>260</v>
      </c>
      <c r="J121" s="302">
        <f>[3]DM!F60</f>
        <v>0.98450866145548677</v>
      </c>
      <c r="K121" s="302">
        <f>[3]DM!G60</f>
        <v>0.96869414025246381</v>
      </c>
    </row>
    <row r="122" spans="1:14" x14ac:dyDescent="0.2">
      <c r="A122" s="33" t="s">
        <v>7</v>
      </c>
      <c r="B122" s="60">
        <f>H64+H93</f>
        <v>60.948336448041552</v>
      </c>
      <c r="C122" s="62">
        <f>I64+I93</f>
        <v>29.121540175092584</v>
      </c>
      <c r="E122" s="162">
        <f t="shared" ref="E122:E130" si="24">L64+L93</f>
        <v>499</v>
      </c>
      <c r="F122" s="46">
        <f>C64+C93</f>
        <v>32.444263500000005</v>
      </c>
      <c r="G122" s="298">
        <f>E122/B93</f>
        <v>2.5377367558366675E-4</v>
      </c>
      <c r="I122" s="301" t="s">
        <v>261</v>
      </c>
      <c r="J122" s="302">
        <f>[3]DM!F61</f>
        <v>0.94877152127701669</v>
      </c>
      <c r="K122" s="302">
        <f>[3]DM!G61</f>
        <v>0.9684639888191412</v>
      </c>
    </row>
    <row r="123" spans="1:14" x14ac:dyDescent="0.2">
      <c r="A123" s="33" t="s">
        <v>11</v>
      </c>
      <c r="B123" s="60">
        <f t="shared" ref="B123:C123" si="25">H65+H94</f>
        <v>112.60816583810625</v>
      </c>
      <c r="C123" s="62">
        <f t="shared" si="25"/>
        <v>58.146263377092403</v>
      </c>
      <c r="E123" s="162">
        <f t="shared" si="24"/>
        <v>4170</v>
      </c>
      <c r="F123" s="46">
        <f t="shared" ref="F123:F130" si="26">C65+C94</f>
        <v>68.956899000000007</v>
      </c>
      <c r="G123" s="298">
        <f t="shared" ref="G123:G130" si="27">E123/B94</f>
        <v>9.9779718922685307E-4</v>
      </c>
      <c r="I123" s="301" t="s">
        <v>262</v>
      </c>
      <c r="J123" s="302">
        <f>[3]DM!F62</f>
        <v>0.8486887441996509</v>
      </c>
      <c r="K123" s="302">
        <f>[3]DM!G62</f>
        <v>0.97522850029386221</v>
      </c>
    </row>
    <row r="124" spans="1:14" x14ac:dyDescent="0.2">
      <c r="A124" s="33" t="s">
        <v>12</v>
      </c>
      <c r="B124" s="60">
        <f t="shared" ref="B124:C124" si="28">H66+H95</f>
        <v>4808.118107645977</v>
      </c>
      <c r="C124" s="62">
        <f t="shared" si="28"/>
        <v>2899.0352554301271</v>
      </c>
      <c r="E124" s="162">
        <f t="shared" si="24"/>
        <v>117561</v>
      </c>
      <c r="F124" s="46">
        <f t="shared" si="26"/>
        <v>11171.78766</v>
      </c>
      <c r="G124" s="298">
        <f t="shared" si="27"/>
        <v>1.6100228134840865E-2</v>
      </c>
      <c r="I124" s="301" t="s">
        <v>263</v>
      </c>
      <c r="J124" s="302">
        <f>[3]DM!F63</f>
        <v>0.89908182970873385</v>
      </c>
      <c r="K124" s="302">
        <f>[3]DM!G63</f>
        <v>0.95726880607447629</v>
      </c>
    </row>
    <row r="125" spans="1:14" x14ac:dyDescent="0.2">
      <c r="A125" s="33" t="s">
        <v>13</v>
      </c>
      <c r="B125" s="60">
        <f t="shared" ref="B125:C125" si="29">H67+H96</f>
        <v>19366.737826090328</v>
      </c>
      <c r="C125" s="62">
        <f t="shared" si="29"/>
        <v>13029.377006523513</v>
      </c>
      <c r="E125" s="162">
        <f t="shared" si="24"/>
        <v>430537</v>
      </c>
      <c r="F125" s="46">
        <f t="shared" si="26"/>
        <v>35732.861624999998</v>
      </c>
      <c r="G125" s="298">
        <f t="shared" si="27"/>
        <v>5.4520680303896597E-2</v>
      </c>
      <c r="I125" s="301" t="s">
        <v>264</v>
      </c>
      <c r="J125" s="302">
        <f>[3]DM!F64</f>
        <v>0.90181874555450448</v>
      </c>
      <c r="K125" s="302">
        <f>[3]DM!G64</f>
        <v>0.95158953355533382</v>
      </c>
    </row>
    <row r="126" spans="1:14" x14ac:dyDescent="0.2">
      <c r="A126" s="33" t="s">
        <v>14</v>
      </c>
      <c r="B126" s="60">
        <f t="shared" ref="B126:C126" si="30">H68+H97</f>
        <v>16515.794773150908</v>
      </c>
      <c r="C126" s="62">
        <f t="shared" si="30"/>
        <v>12187.658416340302</v>
      </c>
      <c r="E126" s="162">
        <f t="shared" si="24"/>
        <v>734395</v>
      </c>
      <c r="F126" s="46">
        <f t="shared" si="26"/>
        <v>35792.972228999999</v>
      </c>
      <c r="G126" s="298">
        <f t="shared" si="27"/>
        <v>0.1120480039863973</v>
      </c>
      <c r="I126" s="301" t="s">
        <v>265</v>
      </c>
      <c r="J126" s="302">
        <f>[3]DM!F65</f>
        <v>0.87520667457682033</v>
      </c>
      <c r="K126" s="302">
        <f>[3]DM!G65</f>
        <v>0.94185043287018988</v>
      </c>
    </row>
    <row r="127" spans="1:14" x14ac:dyDescent="0.2">
      <c r="A127" s="33" t="s">
        <v>15</v>
      </c>
      <c r="B127" s="60">
        <f t="shared" ref="B127:C127" si="31">H69+H98</f>
        <v>5192.8224366939676</v>
      </c>
      <c r="C127" s="62">
        <f t="shared" si="31"/>
        <v>4229.7667711178519</v>
      </c>
      <c r="E127" s="162">
        <f t="shared" si="24"/>
        <v>350266</v>
      </c>
      <c r="F127" s="46">
        <f t="shared" si="26"/>
        <v>14324.532327000001</v>
      </c>
      <c r="G127" s="298">
        <f t="shared" si="27"/>
        <v>0.14942725368879681</v>
      </c>
      <c r="I127" s="301" t="s">
        <v>17</v>
      </c>
      <c r="J127" s="303">
        <f>[3]DM!F66</f>
        <v>0.89659756598733797</v>
      </c>
      <c r="K127" s="302">
        <f>[3]DM!G66</f>
        <v>0.93472076018212202</v>
      </c>
    </row>
    <row r="128" spans="1:14" x14ac:dyDescent="0.2">
      <c r="A128" s="33" t="s">
        <v>16</v>
      </c>
      <c r="B128" s="60">
        <f t="shared" ref="B128:C128" si="32">H70+H99</f>
        <v>1061.0242217292739</v>
      </c>
      <c r="C128" s="62">
        <f t="shared" si="32"/>
        <v>929.52140652324408</v>
      </c>
      <c r="E128" s="162">
        <f t="shared" si="24"/>
        <v>181507</v>
      </c>
      <c r="F128" s="46">
        <f t="shared" si="26"/>
        <v>4280.5214829999995</v>
      </c>
      <c r="G128" s="298">
        <f t="shared" si="27"/>
        <v>0.15472858754018312</v>
      </c>
    </row>
    <row r="129" spans="1:7" x14ac:dyDescent="0.2">
      <c r="A129" s="33" t="s">
        <v>17</v>
      </c>
      <c r="B129" s="60">
        <f t="shared" ref="B129:C129" si="33">H71+H100</f>
        <v>401.1713916246602</v>
      </c>
      <c r="C129" s="62">
        <f t="shared" si="33"/>
        <v>365.30575817991462</v>
      </c>
      <c r="E129" s="162">
        <f t="shared" si="24"/>
        <v>71554</v>
      </c>
      <c r="F129" s="46">
        <f t="shared" si="26"/>
        <v>2690.4632550000001</v>
      </c>
      <c r="G129" s="298">
        <f t="shared" si="27"/>
        <v>0.14114189342459538</v>
      </c>
    </row>
    <row r="130" spans="1:7" x14ac:dyDescent="0.2">
      <c r="A130" s="34" t="s">
        <v>18</v>
      </c>
      <c r="B130" s="60">
        <f t="shared" ref="B130:C130" si="34">H72+H101</f>
        <v>47519.225259221268</v>
      </c>
      <c r="C130" s="62">
        <f t="shared" si="34"/>
        <v>33727.932417667136</v>
      </c>
      <c r="E130" s="162">
        <f t="shared" si="24"/>
        <v>1890489</v>
      </c>
      <c r="F130" s="46">
        <f t="shared" si="26"/>
        <v>104094.53974149999</v>
      </c>
      <c r="G130" s="298">
        <f t="shared" si="27"/>
        <v>5.9221226163748503E-2</v>
      </c>
    </row>
    <row r="131" spans="1:7" x14ac:dyDescent="0.2">
      <c r="A131" s="27"/>
      <c r="B131" s="58"/>
      <c r="C131" s="29"/>
      <c r="E131" s="28"/>
      <c r="F131" s="28"/>
    </row>
    <row r="132" spans="1:7" x14ac:dyDescent="0.2">
      <c r="A132" s="48" t="s">
        <v>35</v>
      </c>
      <c r="B132" s="58"/>
      <c r="C132" s="29"/>
      <c r="E132" s="28"/>
      <c r="F132" s="28"/>
    </row>
    <row r="133" spans="1:7" x14ac:dyDescent="0.2">
      <c r="A133" s="33" t="s">
        <v>7</v>
      </c>
      <c r="B133" s="60">
        <f>H75+H104</f>
        <v>69.488856712507371</v>
      </c>
      <c r="C133" s="62">
        <f>I75+I104</f>
        <v>29.225142196181803</v>
      </c>
      <c r="E133" s="162">
        <f t="shared" ref="E133:E141" si="35">L75+L104</f>
        <v>469</v>
      </c>
      <c r="F133" s="46">
        <f>C75+C104</f>
        <v>30.509737500000004</v>
      </c>
      <c r="G133" s="298">
        <f>E133/B104</f>
        <v>2.5364033368035371E-4</v>
      </c>
    </row>
    <row r="134" spans="1:7" x14ac:dyDescent="0.2">
      <c r="A134" s="33" t="s">
        <v>11</v>
      </c>
      <c r="B134" s="60">
        <f t="shared" ref="B134:C134" si="36">H76+H105</f>
        <v>129.59029893718915</v>
      </c>
      <c r="C134" s="62">
        <f t="shared" si="36"/>
        <v>58.605233847172173</v>
      </c>
      <c r="E134" s="162">
        <f t="shared" si="35"/>
        <v>3929</v>
      </c>
      <c r="F134" s="46">
        <f t="shared" ref="F134:F141" si="37">C76+C105</f>
        <v>65.012640000000005</v>
      </c>
      <c r="G134" s="298">
        <f t="shared" ref="G134:G141" si="38">E134/B105</f>
        <v>9.9716762771054975E-4</v>
      </c>
    </row>
    <row r="135" spans="1:7" x14ac:dyDescent="0.2">
      <c r="A135" s="33" t="s">
        <v>12</v>
      </c>
      <c r="B135" s="60">
        <f t="shared" ref="B135:C135" si="39">H77+H106</f>
        <v>14629.110149393367</v>
      </c>
      <c r="C135" s="62">
        <f t="shared" si="39"/>
        <v>7820.8683014366488</v>
      </c>
      <c r="E135" s="162">
        <f t="shared" si="35"/>
        <v>169438</v>
      </c>
      <c r="F135" s="46">
        <f t="shared" si="37"/>
        <v>21373.57316923247</v>
      </c>
      <c r="G135" s="298">
        <f t="shared" si="38"/>
        <v>2.4115312489816562E-2</v>
      </c>
    </row>
    <row r="136" spans="1:7" x14ac:dyDescent="0.2">
      <c r="A136" s="33" t="s">
        <v>13</v>
      </c>
      <c r="B136" s="60">
        <f t="shared" ref="B136:C136" si="40">H78+H107</f>
        <v>18534.730438763519</v>
      </c>
      <c r="C136" s="62">
        <f t="shared" si="40"/>
        <v>11802.027273133848</v>
      </c>
      <c r="E136" s="162">
        <f t="shared" si="35"/>
        <v>488354</v>
      </c>
      <c r="F136" s="46">
        <f t="shared" si="37"/>
        <v>21912.685662</v>
      </c>
      <c r="G136" s="298">
        <f t="shared" si="38"/>
        <v>6.0908621726570362E-2</v>
      </c>
    </row>
    <row r="137" spans="1:7" x14ac:dyDescent="0.2">
      <c r="A137" s="33" t="s">
        <v>14</v>
      </c>
      <c r="B137" s="60">
        <f t="shared" ref="B137:C137" si="41">H79+H108</f>
        <v>28621.839261486792</v>
      </c>
      <c r="C137" s="62">
        <f t="shared" si="41"/>
        <v>20902.933415826959</v>
      </c>
      <c r="E137" s="162">
        <f t="shared" si="35"/>
        <v>820666</v>
      </c>
      <c r="F137" s="46">
        <f t="shared" si="37"/>
        <v>45866.754416000003</v>
      </c>
      <c r="G137" s="298">
        <f t="shared" si="38"/>
        <v>0.11458288537997521</v>
      </c>
    </row>
    <row r="138" spans="1:7" x14ac:dyDescent="0.2">
      <c r="A138" s="33" t="s">
        <v>15</v>
      </c>
      <c r="B138" s="60">
        <f t="shared" ref="B138:C138" si="42">H80+H109</f>
        <v>18545.932048837072</v>
      </c>
      <c r="C138" s="62">
        <f t="shared" si="42"/>
        <v>15153.213677692276</v>
      </c>
      <c r="E138" s="162">
        <f t="shared" si="35"/>
        <v>563513</v>
      </c>
      <c r="F138" s="46">
        <f t="shared" si="37"/>
        <v>46365.781403573223</v>
      </c>
      <c r="G138" s="298">
        <f t="shared" si="38"/>
        <v>0.20566389042383562</v>
      </c>
    </row>
    <row r="139" spans="1:7" x14ac:dyDescent="0.2">
      <c r="A139" s="33" t="s">
        <v>16</v>
      </c>
      <c r="B139" s="60">
        <f t="shared" ref="B139:C139" si="43">H81+H110</f>
        <v>957.46868469961771</v>
      </c>
      <c r="C139" s="62">
        <f t="shared" si="43"/>
        <v>852.43286937705443</v>
      </c>
      <c r="E139" s="162">
        <f t="shared" si="35"/>
        <v>329971</v>
      </c>
      <c r="F139" s="46">
        <f t="shared" si="37"/>
        <v>4282.4861799999999</v>
      </c>
      <c r="G139" s="298">
        <f t="shared" si="38"/>
        <v>0.21805509480943613</v>
      </c>
    </row>
    <row r="140" spans="1:7" x14ac:dyDescent="0.2">
      <c r="A140" s="33" t="s">
        <v>17</v>
      </c>
      <c r="B140" s="60">
        <f t="shared" ref="B140:C140" si="44">H82+H111</f>
        <v>685.31762042099183</v>
      </c>
      <c r="C140" s="62">
        <f t="shared" si="44"/>
        <v>638.97563127317039</v>
      </c>
      <c r="E140" s="162">
        <f t="shared" si="35"/>
        <v>101035</v>
      </c>
      <c r="F140" s="46">
        <f t="shared" si="37"/>
        <v>5337.2342068868866</v>
      </c>
      <c r="G140" s="298">
        <f t="shared" si="38"/>
        <v>0.12883905471352561</v>
      </c>
    </row>
    <row r="141" spans="1:7" x14ac:dyDescent="0.2">
      <c r="A141" s="34" t="s">
        <v>18</v>
      </c>
      <c r="B141" s="60">
        <f t="shared" ref="B141:C141" si="45">H83+H112</f>
        <v>82173.477359251046</v>
      </c>
      <c r="C141" s="62">
        <f t="shared" si="45"/>
        <v>57258.281544783305</v>
      </c>
      <c r="E141" s="162">
        <f t="shared" si="35"/>
        <v>2477375</v>
      </c>
      <c r="F141" s="46">
        <f t="shared" si="37"/>
        <v>145234.03741519258</v>
      </c>
      <c r="G141" s="298">
        <f t="shared" si="38"/>
        <v>7.4997374224341731E-2</v>
      </c>
    </row>
    <row r="142" spans="1:7" x14ac:dyDescent="0.2">
      <c r="A142" s="30"/>
      <c r="B142" s="59"/>
      <c r="C142" s="61"/>
    </row>
    <row r="143" spans="1:7" x14ac:dyDescent="0.2">
      <c r="E143" s="369"/>
    </row>
    <row r="144" spans="1:7" x14ac:dyDescent="0.2">
      <c r="E144" s="332"/>
    </row>
    <row r="145" spans="5:5" x14ac:dyDescent="0.2">
      <c r="E145" s="333"/>
    </row>
  </sheetData>
  <mergeCells count="17">
    <mergeCell ref="A1:E1"/>
    <mergeCell ref="A2:E2"/>
    <mergeCell ref="A3:E3"/>
    <mergeCell ref="A4:E4"/>
    <mergeCell ref="A5:E5"/>
    <mergeCell ref="B24:B25"/>
    <mergeCell ref="N89:N90"/>
    <mergeCell ref="C10:E10"/>
    <mergeCell ref="C18:C19"/>
    <mergeCell ref="A6:E6"/>
    <mergeCell ref="E24:E25"/>
    <mergeCell ref="E26:E33"/>
    <mergeCell ref="E34:E42"/>
    <mergeCell ref="C24:D24"/>
    <mergeCell ref="A26:A33"/>
    <mergeCell ref="A34:A41"/>
    <mergeCell ref="A24:A25"/>
  </mergeCells>
  <pageMargins left="0.7" right="0.7" top="0.75" bottom="0.75" header="0.3" footer="0.3"/>
  <pageSetup paperSize="9" orientation="portrait" r:id="rId1"/>
  <drawing r:id="rId2"/>
  <legacy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N164:S183"/>
  <sheetViews>
    <sheetView topLeftCell="A162" workbookViewId="0">
      <selection activeCell="R164" sqref="R164:S183"/>
    </sheetView>
  </sheetViews>
  <sheetFormatPr baseColWidth="10" defaultColWidth="8.83203125" defaultRowHeight="15" x14ac:dyDescent="0.2"/>
  <sheetData>
    <row r="164" spans="14:19" x14ac:dyDescent="0.2">
      <c r="N164" s="60">
        <f>L73+L74</f>
        <v>0</v>
      </c>
      <c r="O164" s="60">
        <f>L118+L119</f>
        <v>0</v>
      </c>
      <c r="R164" s="60">
        <f>M73+M74</f>
        <v>0</v>
      </c>
      <c r="S164" s="60">
        <f>M118+M119</f>
        <v>0</v>
      </c>
    </row>
    <row r="165" spans="14:19" x14ac:dyDescent="0.2">
      <c r="N165" s="60">
        <f>L75+L76</f>
        <v>0</v>
      </c>
      <c r="O165" s="60">
        <f>L120+L121</f>
        <v>0</v>
      </c>
      <c r="R165" s="60">
        <f>M75+M76</f>
        <v>0</v>
      </c>
      <c r="S165" s="60">
        <f>M120+M121</f>
        <v>0</v>
      </c>
    </row>
    <row r="166" spans="14:19" x14ac:dyDescent="0.2">
      <c r="N166" s="60">
        <f>L77+L78</f>
        <v>0</v>
      </c>
      <c r="O166" s="60">
        <f>L122+L123</f>
        <v>0</v>
      </c>
      <c r="R166" s="60">
        <f>M77+M78</f>
        <v>0</v>
      </c>
      <c r="S166" s="60">
        <f>M122+M123</f>
        <v>0</v>
      </c>
    </row>
    <row r="167" spans="14:19" x14ac:dyDescent="0.2">
      <c r="N167" s="60">
        <f>L79+L80</f>
        <v>0</v>
      </c>
      <c r="O167" s="60">
        <f>L124+L125</f>
        <v>0</v>
      </c>
      <c r="R167" s="60">
        <f>M79+M80</f>
        <v>0</v>
      </c>
      <c r="S167" s="60">
        <f>M124+M125</f>
        <v>0</v>
      </c>
    </row>
    <row r="168" spans="14:19" x14ac:dyDescent="0.2">
      <c r="N168" s="60">
        <f>L81+L82</f>
        <v>0</v>
      </c>
      <c r="O168" s="60">
        <f>L126+L127</f>
        <v>0</v>
      </c>
      <c r="R168" s="60">
        <f>M81+M82</f>
        <v>0</v>
      </c>
      <c r="S168" s="60">
        <f>M126+M127</f>
        <v>0</v>
      </c>
    </row>
    <row r="169" spans="14:19" x14ac:dyDescent="0.2">
      <c r="N169" s="60">
        <f>L84+L85</f>
        <v>0</v>
      </c>
      <c r="O169" s="60">
        <f>L128+L129</f>
        <v>0</v>
      </c>
      <c r="R169" s="60">
        <f>M84+M85</f>
        <v>0</v>
      </c>
      <c r="S169" s="60">
        <f>M128+M129</f>
        <v>0</v>
      </c>
    </row>
    <row r="170" spans="14:19" x14ac:dyDescent="0.2">
      <c r="N170" s="60">
        <f>L85+L86</f>
        <v>0</v>
      </c>
      <c r="O170" s="60">
        <f>L130+L131</f>
        <v>0</v>
      </c>
      <c r="R170" s="60">
        <f>M85+M86</f>
        <v>0</v>
      </c>
      <c r="S170" s="60">
        <f>M130+M131</f>
        <v>0</v>
      </c>
    </row>
    <row r="171" spans="14:19" x14ac:dyDescent="0.2">
      <c r="N171" s="60">
        <f>L87+L88</f>
        <v>0</v>
      </c>
      <c r="O171" s="60">
        <f>L132+L133</f>
        <v>0</v>
      </c>
      <c r="R171" s="60">
        <f>M87+M88</f>
        <v>0</v>
      </c>
      <c r="S171" s="60">
        <f>M132+M133</f>
        <v>0</v>
      </c>
    </row>
    <row r="172" spans="14:19" x14ac:dyDescent="0.2">
      <c r="N172" s="60"/>
      <c r="O172" s="60">
        <f>SUM(O164:O171)</f>
        <v>0</v>
      </c>
      <c r="R172" s="60">
        <f>SUM(R164:R171)</f>
        <v>0</v>
      </c>
      <c r="S172" s="60">
        <f>SUM(S164:S171)</f>
        <v>0</v>
      </c>
    </row>
    <row r="173" spans="14:19" x14ac:dyDescent="0.2">
      <c r="N173" s="58"/>
      <c r="O173" s="58"/>
      <c r="R173" s="58"/>
      <c r="S173" s="58"/>
    </row>
    <row r="174" spans="14:19" x14ac:dyDescent="0.2">
      <c r="N174" s="58"/>
      <c r="O174" s="58"/>
      <c r="R174" s="58"/>
      <c r="S174" s="58"/>
    </row>
    <row r="175" spans="14:19" x14ac:dyDescent="0.2">
      <c r="N175" s="60">
        <f>L92+L93</f>
        <v>0</v>
      </c>
      <c r="O175" s="60">
        <f>L137+L138</f>
        <v>0</v>
      </c>
      <c r="R175" s="60">
        <f>M92+M93</f>
        <v>0</v>
      </c>
      <c r="S175" s="60">
        <f>M137+M138</f>
        <v>0</v>
      </c>
    </row>
    <row r="176" spans="14:19" x14ac:dyDescent="0.2">
      <c r="N176" s="60">
        <f>L94+L95</f>
        <v>0</v>
      </c>
      <c r="O176" s="60">
        <f>L139+L140</f>
        <v>0</v>
      </c>
      <c r="R176" s="60">
        <f>M94+M95</f>
        <v>0</v>
      </c>
      <c r="S176" s="60">
        <f>M139+M140</f>
        <v>0</v>
      </c>
    </row>
    <row r="177" spans="14:19" x14ac:dyDescent="0.2">
      <c r="N177" s="60">
        <f>L96+L97</f>
        <v>0</v>
      </c>
      <c r="O177" s="60">
        <f>L141+L142</f>
        <v>0</v>
      </c>
      <c r="R177" s="60">
        <f>M96+M97</f>
        <v>0</v>
      </c>
      <c r="S177" s="60">
        <f>M141+M142</f>
        <v>0</v>
      </c>
    </row>
    <row r="178" spans="14:19" x14ac:dyDescent="0.2">
      <c r="N178" s="60">
        <f>L98+L99</f>
        <v>0</v>
      </c>
      <c r="O178" s="60">
        <f>L143+L144</f>
        <v>0</v>
      </c>
      <c r="R178" s="60">
        <f>M98+M99</f>
        <v>0</v>
      </c>
      <c r="S178" s="60">
        <f>M143+M144</f>
        <v>0</v>
      </c>
    </row>
    <row r="179" spans="14:19" x14ac:dyDescent="0.2">
      <c r="N179" s="60">
        <f>L100+L101</f>
        <v>0</v>
      </c>
      <c r="O179" s="60">
        <f>L145+L146</f>
        <v>0</v>
      </c>
      <c r="R179" s="60">
        <f>M100+M101</f>
        <v>0</v>
      </c>
      <c r="S179" s="60">
        <f>M145+M146</f>
        <v>0</v>
      </c>
    </row>
    <row r="180" spans="14:19" x14ac:dyDescent="0.2">
      <c r="N180" s="60">
        <f>L102+L103</f>
        <v>0</v>
      </c>
      <c r="O180" s="60">
        <f>L147+L148</f>
        <v>0</v>
      </c>
      <c r="R180" s="60">
        <f>M102+M103</f>
        <v>0</v>
      </c>
      <c r="S180" s="60">
        <f>M147+M148</f>
        <v>0</v>
      </c>
    </row>
    <row r="181" spans="14:19" x14ac:dyDescent="0.2">
      <c r="N181" s="60">
        <f>L104+L105</f>
        <v>0</v>
      </c>
      <c r="O181" s="60">
        <f>L149+L150</f>
        <v>0</v>
      </c>
      <c r="R181" s="60">
        <f>M104+M105</f>
        <v>0</v>
      </c>
      <c r="S181" s="60">
        <f>M149+M150</f>
        <v>0</v>
      </c>
    </row>
    <row r="182" spans="14:19" x14ac:dyDescent="0.2">
      <c r="N182" s="60">
        <f>L106+L107</f>
        <v>0</v>
      </c>
      <c r="O182" s="60">
        <f>L151+L152</f>
        <v>0</v>
      </c>
      <c r="R182" s="60">
        <f>M106+M107</f>
        <v>0</v>
      </c>
      <c r="S182" s="60">
        <f>M151+M152</f>
        <v>0</v>
      </c>
    </row>
    <row r="183" spans="14:19" x14ac:dyDescent="0.2">
      <c r="N183" s="60"/>
      <c r="O183" s="60">
        <f>SUM(O175:O182)</f>
        <v>0</v>
      </c>
      <c r="R183" s="60">
        <f>SUM(R175:R182)</f>
        <v>0</v>
      </c>
      <c r="S183" s="60">
        <f>SUM(S175:S182)</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48"/>
  <sheetViews>
    <sheetView topLeftCell="A17" zoomScaleNormal="100" workbookViewId="0">
      <selection activeCell="L32" sqref="L32"/>
    </sheetView>
  </sheetViews>
  <sheetFormatPr baseColWidth="10" defaultColWidth="8.83203125" defaultRowHeight="15" x14ac:dyDescent="0.2"/>
  <cols>
    <col min="2" max="2" width="10.83203125" customWidth="1"/>
  </cols>
  <sheetData>
    <row r="1" spans="1:7" x14ac:dyDescent="0.2">
      <c r="A1" s="22" t="s">
        <v>58</v>
      </c>
    </row>
    <row r="3" spans="1:7" x14ac:dyDescent="0.2">
      <c r="A3" s="441" t="s">
        <v>40</v>
      </c>
      <c r="B3" s="438" t="s">
        <v>54</v>
      </c>
      <c r="C3" s="439"/>
      <c r="D3" s="438" t="s">
        <v>45</v>
      </c>
      <c r="E3" s="440"/>
    </row>
    <row r="4" spans="1:7" x14ac:dyDescent="0.2">
      <c r="A4" s="442"/>
      <c r="B4" s="69" t="s">
        <v>43</v>
      </c>
      <c r="C4" s="31" t="s">
        <v>44</v>
      </c>
      <c r="D4" s="69" t="s">
        <v>43</v>
      </c>
      <c r="E4" s="32" t="s">
        <v>44</v>
      </c>
    </row>
    <row r="5" spans="1:7" x14ac:dyDescent="0.2">
      <c r="A5" s="33" t="s">
        <v>12</v>
      </c>
      <c r="B5" s="28">
        <v>1199</v>
      </c>
      <c r="C5" s="28">
        <v>1441</v>
      </c>
      <c r="D5" s="42">
        <v>1.54</v>
      </c>
      <c r="E5" s="29">
        <v>2.78</v>
      </c>
      <c r="F5" s="328">
        <f>D5*B5/100</f>
        <v>18.464600000000001</v>
      </c>
      <c r="G5" s="328">
        <f>E5*C5/100</f>
        <v>40.059799999999996</v>
      </c>
    </row>
    <row r="6" spans="1:7" x14ac:dyDescent="0.2">
      <c r="A6" s="33" t="s">
        <v>13</v>
      </c>
      <c r="B6" s="28">
        <v>1422</v>
      </c>
      <c r="C6" s="28">
        <v>2199</v>
      </c>
      <c r="D6" s="42">
        <v>5.04</v>
      </c>
      <c r="E6" s="29">
        <v>5.62</v>
      </c>
      <c r="F6" s="328">
        <f t="shared" ref="F6:F10" si="0">D6*B6/100</f>
        <v>71.668800000000005</v>
      </c>
      <c r="G6" s="328">
        <f t="shared" ref="G6:G10" si="1">E6*C6/100</f>
        <v>123.58380000000001</v>
      </c>
    </row>
    <row r="7" spans="1:7" x14ac:dyDescent="0.2">
      <c r="A7" s="33" t="s">
        <v>14</v>
      </c>
      <c r="B7" s="28">
        <v>2328</v>
      </c>
      <c r="C7" s="28">
        <v>3491</v>
      </c>
      <c r="D7" s="42">
        <v>11.83</v>
      </c>
      <c r="E7" s="29">
        <v>12.33</v>
      </c>
      <c r="F7" s="328">
        <f t="shared" si="0"/>
        <v>275.4024</v>
      </c>
      <c r="G7" s="328">
        <f t="shared" si="1"/>
        <v>430.44029999999998</v>
      </c>
    </row>
    <row r="8" spans="1:7" x14ac:dyDescent="0.2">
      <c r="A8" s="33" t="s">
        <v>15</v>
      </c>
      <c r="B8" s="28">
        <v>1900</v>
      </c>
      <c r="C8" s="28">
        <v>2453</v>
      </c>
      <c r="D8" s="42">
        <v>16.11</v>
      </c>
      <c r="E8" s="29">
        <v>21.86</v>
      </c>
      <c r="F8" s="328">
        <f t="shared" si="0"/>
        <v>306.08999999999997</v>
      </c>
      <c r="G8" s="328">
        <f t="shared" si="1"/>
        <v>536.22580000000005</v>
      </c>
    </row>
    <row r="9" spans="1:7" x14ac:dyDescent="0.2">
      <c r="A9" s="33" t="s">
        <v>16</v>
      </c>
      <c r="B9" s="28">
        <v>987</v>
      </c>
      <c r="C9" s="28">
        <v>1264</v>
      </c>
      <c r="D9" s="42">
        <v>15</v>
      </c>
      <c r="E9" s="29">
        <v>21.81</v>
      </c>
      <c r="F9" s="328">
        <f t="shared" si="0"/>
        <v>148.05000000000001</v>
      </c>
      <c r="G9" s="328">
        <f t="shared" si="1"/>
        <v>275.67840000000001</v>
      </c>
    </row>
    <row r="10" spans="1:7" x14ac:dyDescent="0.2">
      <c r="A10" s="33" t="s">
        <v>17</v>
      </c>
      <c r="B10" s="28">
        <v>350</v>
      </c>
      <c r="C10" s="28">
        <v>381</v>
      </c>
      <c r="D10" s="42">
        <v>12.39</v>
      </c>
      <c r="E10" s="29">
        <v>11.34</v>
      </c>
      <c r="F10" s="328">
        <f t="shared" si="0"/>
        <v>43.365000000000002</v>
      </c>
      <c r="G10" s="328">
        <f t="shared" si="1"/>
        <v>43.205399999999997</v>
      </c>
    </row>
    <row r="11" spans="1:7" x14ac:dyDescent="0.2">
      <c r="A11" s="34" t="s">
        <v>18</v>
      </c>
      <c r="B11" s="28">
        <f>SUM(B5:B10)</f>
        <v>8186</v>
      </c>
      <c r="C11" s="28">
        <f>SUM(C5:C10)</f>
        <v>11229</v>
      </c>
      <c r="D11" s="326">
        <f>F11/B11*100</f>
        <v>10.542887857317371</v>
      </c>
      <c r="E11" s="327">
        <f>G11/C11*100</f>
        <v>12.905810846914239</v>
      </c>
      <c r="F11" s="328">
        <f>SUM(F5:F10)</f>
        <v>863.04079999999999</v>
      </c>
      <c r="G11" s="328">
        <f>SUM(G5:G10)</f>
        <v>1449.1935000000001</v>
      </c>
    </row>
    <row r="12" spans="1:7" x14ac:dyDescent="0.2">
      <c r="A12" s="30"/>
      <c r="B12" s="31"/>
      <c r="C12" s="31"/>
      <c r="D12" s="31"/>
      <c r="E12" s="32"/>
    </row>
    <row r="14" spans="1:7" x14ac:dyDescent="0.2">
      <c r="A14" s="70" t="s">
        <v>55</v>
      </c>
    </row>
    <row r="16" spans="1:7" x14ac:dyDescent="0.2">
      <c r="A16" s="22" t="s">
        <v>59</v>
      </c>
    </row>
    <row r="17" spans="1:17" x14ac:dyDescent="0.2">
      <c r="F17" t="s">
        <v>283</v>
      </c>
    </row>
    <row r="18" spans="1:17" x14ac:dyDescent="0.2">
      <c r="A18" s="72" t="s">
        <v>40</v>
      </c>
      <c r="B18" s="73" t="s">
        <v>60</v>
      </c>
      <c r="F18" t="s">
        <v>285</v>
      </c>
      <c r="G18" t="s">
        <v>286</v>
      </c>
      <c r="H18" t="s">
        <v>152</v>
      </c>
      <c r="I18" t="s">
        <v>85</v>
      </c>
    </row>
    <row r="19" spans="1:17" x14ac:dyDescent="0.2">
      <c r="A19" s="71" t="s">
        <v>7</v>
      </c>
      <c r="B19" s="29">
        <f>'[4]dismod dm 2010_iddm'!$B$8</f>
        <v>1E-4</v>
      </c>
      <c r="F19" t="s">
        <v>284</v>
      </c>
      <c r="G19">
        <v>2002</v>
      </c>
      <c r="H19" t="s">
        <v>287</v>
      </c>
    </row>
    <row r="20" spans="1:17" x14ac:dyDescent="0.2">
      <c r="A20" s="71" t="s">
        <v>11</v>
      </c>
      <c r="B20" s="29">
        <f>'[4]dismod dm 2010_iddm'!$B$9</f>
        <v>1E-4</v>
      </c>
      <c r="F20" t="s">
        <v>291</v>
      </c>
      <c r="G20">
        <v>2006</v>
      </c>
      <c r="I20" s="313">
        <f>2.66*0.78</f>
        <v>2.0748000000000002</v>
      </c>
      <c r="K20" t="s">
        <v>293</v>
      </c>
      <c r="Q20">
        <v>42039</v>
      </c>
    </row>
    <row r="21" spans="1:17" x14ac:dyDescent="0.2">
      <c r="A21" s="71" t="s">
        <v>12</v>
      </c>
      <c r="B21" s="29">
        <f>'[4]dismod dm 2010_iddm'!$B$10</f>
        <v>1E-4</v>
      </c>
      <c r="Q21">
        <v>41095</v>
      </c>
    </row>
    <row r="22" spans="1:17" x14ac:dyDescent="0.2">
      <c r="A22" s="30"/>
      <c r="B22" s="32"/>
      <c r="Q22">
        <v>526</v>
      </c>
    </row>
    <row r="23" spans="1:17" x14ac:dyDescent="0.2">
      <c r="A23" s="329" t="s">
        <v>288</v>
      </c>
      <c r="Q23">
        <v>418</v>
      </c>
    </row>
    <row r="24" spans="1:17" x14ac:dyDescent="0.2">
      <c r="A24" s="74" t="s">
        <v>61</v>
      </c>
      <c r="Q24">
        <v>2778</v>
      </c>
    </row>
    <row r="26" spans="1:17" x14ac:dyDescent="0.2">
      <c r="A26" t="s">
        <v>275</v>
      </c>
    </row>
    <row r="27" spans="1:17" x14ac:dyDescent="0.2">
      <c r="B27" t="s">
        <v>267</v>
      </c>
      <c r="D27" t="s">
        <v>268</v>
      </c>
      <c r="H27" s="314" t="s">
        <v>276</v>
      </c>
      <c r="I27" s="315"/>
      <c r="J27" s="315"/>
      <c r="K27" s="315"/>
      <c r="L27" s="315"/>
      <c r="M27" s="315"/>
      <c r="N27" s="316"/>
    </row>
    <row r="28" spans="1:17" x14ac:dyDescent="0.2">
      <c r="B28" t="s">
        <v>269</v>
      </c>
      <c r="C28" t="s">
        <v>270</v>
      </c>
      <c r="D28" t="s">
        <v>271</v>
      </c>
      <c r="E28" t="s">
        <v>272</v>
      </c>
      <c r="H28" s="315"/>
      <c r="I28" s="317" t="s">
        <v>277</v>
      </c>
      <c r="J28" s="317" t="s">
        <v>278</v>
      </c>
      <c r="K28" s="317" t="s">
        <v>279</v>
      </c>
      <c r="L28" s="318" t="s">
        <v>280</v>
      </c>
      <c r="M28" s="319" t="s">
        <v>272</v>
      </c>
      <c r="N28" s="316"/>
    </row>
    <row r="29" spans="1:17" x14ac:dyDescent="0.2">
      <c r="A29" t="s">
        <v>34</v>
      </c>
      <c r="B29" t="s">
        <v>273</v>
      </c>
      <c r="C29" t="s">
        <v>269</v>
      </c>
      <c r="D29" t="s">
        <v>269</v>
      </c>
      <c r="H29" s="320" t="s">
        <v>131</v>
      </c>
      <c r="I29" s="320"/>
      <c r="J29" s="315"/>
      <c r="K29" s="320"/>
      <c r="L29" s="315"/>
      <c r="M29" s="315"/>
      <c r="N29" s="316"/>
    </row>
    <row r="30" spans="1:17" x14ac:dyDescent="0.2">
      <c r="A30" t="s">
        <v>7</v>
      </c>
      <c r="B30" s="313">
        <f>'1.Diabetes case'!G122*1000</f>
        <v>0.25377367558366676</v>
      </c>
      <c r="C30" s="313">
        <f>B30</f>
        <v>0.25377367558366676</v>
      </c>
      <c r="D30" s="196">
        <f>B30-C30</f>
        <v>0</v>
      </c>
      <c r="E30">
        <f>IF(B30=0,1,C30/B30)</f>
        <v>1</v>
      </c>
      <c r="N30" s="316"/>
    </row>
    <row r="31" spans="1:17" x14ac:dyDescent="0.2">
      <c r="A31" t="s">
        <v>11</v>
      </c>
      <c r="B31" s="313">
        <f>'1.Diabetes case'!G123*1000</f>
        <v>0.99779718922685312</v>
      </c>
      <c r="C31" s="313">
        <f>B31</f>
        <v>0.99779718922685312</v>
      </c>
      <c r="D31" s="196">
        <f t="shared" ref="D31:D38" si="2">B31-C31</f>
        <v>0</v>
      </c>
      <c r="E31" s="22">
        <f>C31/B31</f>
        <v>1</v>
      </c>
      <c r="N31" s="316"/>
    </row>
    <row r="32" spans="1:17" x14ac:dyDescent="0.2">
      <c r="A32" t="s">
        <v>12</v>
      </c>
      <c r="B32" s="313">
        <f>'1.Diabetes case'!G124*1000</f>
        <v>16.100228134840865</v>
      </c>
      <c r="C32" s="193">
        <f t="shared" ref="C32:C38" si="3">(I32+J32)/100*B32</f>
        <v>0</v>
      </c>
      <c r="D32" s="196">
        <f t="shared" si="2"/>
        <v>16.100228134840865</v>
      </c>
      <c r="E32" s="22">
        <f>C32/B32</f>
        <v>0</v>
      </c>
      <c r="H32" s="315" t="s">
        <v>12</v>
      </c>
      <c r="I32" s="321">
        <v>0</v>
      </c>
      <c r="J32" s="322">
        <v>0</v>
      </c>
      <c r="K32" s="321">
        <v>10.5</v>
      </c>
      <c r="L32" s="322">
        <f t="shared" ref="L32:L38" si="4">SUM(I32:K32)</f>
        <v>10.5</v>
      </c>
      <c r="M32" s="322">
        <f>0</f>
        <v>0</v>
      </c>
      <c r="N32" s="316"/>
    </row>
    <row r="33" spans="1:14" x14ac:dyDescent="0.2">
      <c r="A33" t="s">
        <v>13</v>
      </c>
      <c r="B33" s="313">
        <f>'1.Diabetes case'!G125*1000</f>
        <v>54.520680303896597</v>
      </c>
      <c r="C33" s="193">
        <f t="shared" si="3"/>
        <v>21.208544638215777</v>
      </c>
      <c r="D33" s="196">
        <f t="shared" si="2"/>
        <v>33.31213566568082</v>
      </c>
      <c r="E33" s="313">
        <f t="shared" ref="E33:E38" si="5">C33/B33</f>
        <v>0.38900000000000001</v>
      </c>
      <c r="H33" s="315" t="s">
        <v>13</v>
      </c>
      <c r="I33" s="321">
        <v>12.9</v>
      </c>
      <c r="J33" s="322">
        <v>26</v>
      </c>
      <c r="K33" s="321">
        <v>7.4</v>
      </c>
      <c r="L33" s="322">
        <f t="shared" si="4"/>
        <v>46.3</v>
      </c>
      <c r="M33" s="322">
        <f t="shared" ref="M33:M38" si="6">I33/L33</f>
        <v>0.27861771058315338</v>
      </c>
      <c r="N33" s="316"/>
    </row>
    <row r="34" spans="1:14" x14ac:dyDescent="0.2">
      <c r="A34" t="s">
        <v>14</v>
      </c>
      <c r="B34" s="313">
        <f>'1.Diabetes case'!G126*1000</f>
        <v>112.0480039863973</v>
      </c>
      <c r="C34" s="193">
        <f t="shared" si="3"/>
        <v>54.343281933402693</v>
      </c>
      <c r="D34" s="196">
        <f t="shared" si="2"/>
        <v>57.704722052994612</v>
      </c>
      <c r="E34" s="313">
        <f t="shared" si="5"/>
        <v>0.48499999999999999</v>
      </c>
      <c r="H34" s="315" t="s">
        <v>14</v>
      </c>
      <c r="I34" s="321">
        <v>14.3</v>
      </c>
      <c r="J34" s="322">
        <v>34.200000000000003</v>
      </c>
      <c r="K34" s="321">
        <v>4.8</v>
      </c>
      <c r="L34" s="322">
        <f t="shared" si="4"/>
        <v>53.3</v>
      </c>
      <c r="M34" s="322">
        <f t="shared" si="6"/>
        <v>0.26829268292682928</v>
      </c>
      <c r="N34" s="316"/>
    </row>
    <row r="35" spans="1:14" x14ac:dyDescent="0.2">
      <c r="A35" t="s">
        <v>15</v>
      </c>
      <c r="B35" s="313">
        <f>'1.Diabetes case'!G127*1000</f>
        <v>149.42725368879681</v>
      </c>
      <c r="C35" s="193">
        <f t="shared" si="3"/>
        <v>99.36912370304988</v>
      </c>
      <c r="D35" s="196">
        <f t="shared" si="2"/>
        <v>50.05812998574693</v>
      </c>
      <c r="E35" s="313">
        <f t="shared" si="5"/>
        <v>0.66500000000000004</v>
      </c>
      <c r="H35" s="315" t="s">
        <v>15</v>
      </c>
      <c r="I35" s="321">
        <v>32.200000000000003</v>
      </c>
      <c r="J35" s="322">
        <v>34.299999999999997</v>
      </c>
      <c r="K35" s="321">
        <v>5.6</v>
      </c>
      <c r="L35" s="322">
        <f t="shared" si="4"/>
        <v>72.099999999999994</v>
      </c>
      <c r="M35" s="322">
        <f t="shared" si="6"/>
        <v>0.44660194174757289</v>
      </c>
      <c r="N35" s="316"/>
    </row>
    <row r="36" spans="1:14" x14ac:dyDescent="0.2">
      <c r="A36" t="s">
        <v>16</v>
      </c>
      <c r="B36" s="313">
        <f>'1.Diabetes case'!G128*1000</f>
        <v>154.72858754018313</v>
      </c>
      <c r="C36" s="193">
        <f t="shared" si="3"/>
        <v>116.66535500529808</v>
      </c>
      <c r="D36" s="196">
        <f t="shared" si="2"/>
        <v>38.063232534885046</v>
      </c>
      <c r="E36" s="313">
        <f t="shared" si="5"/>
        <v>0.754</v>
      </c>
      <c r="H36" s="315" t="s">
        <v>16</v>
      </c>
      <c r="I36" s="321">
        <v>41.3</v>
      </c>
      <c r="J36" s="322">
        <v>34.1</v>
      </c>
      <c r="K36" s="321">
        <v>1.5</v>
      </c>
      <c r="L36" s="322">
        <f t="shared" si="4"/>
        <v>76.900000000000006</v>
      </c>
      <c r="M36" s="322">
        <f t="shared" si="6"/>
        <v>0.53706111833550052</v>
      </c>
      <c r="N36" s="316"/>
    </row>
    <row r="37" spans="1:14" x14ac:dyDescent="0.2">
      <c r="A37" t="s">
        <v>17</v>
      </c>
      <c r="B37" s="313">
        <f>'1.Diabetes case'!G129*1000</f>
        <v>141.14189342459537</v>
      </c>
      <c r="C37" s="193">
        <f t="shared" si="3"/>
        <v>80.874304932293143</v>
      </c>
      <c r="D37" s="196">
        <f t="shared" si="2"/>
        <v>60.267588492302224</v>
      </c>
      <c r="E37" s="313">
        <f t="shared" si="5"/>
        <v>0.57299999999999995</v>
      </c>
      <c r="H37" s="315" t="s">
        <v>17</v>
      </c>
      <c r="I37" s="321">
        <v>27.7</v>
      </c>
      <c r="J37" s="322">
        <v>29.6</v>
      </c>
      <c r="K37" s="321">
        <v>2.2999999999999998</v>
      </c>
      <c r="L37" s="322">
        <f t="shared" si="4"/>
        <v>59.599999999999994</v>
      </c>
      <c r="M37" s="322">
        <f>I37/L37</f>
        <v>0.46476510067114096</v>
      </c>
      <c r="N37" s="316"/>
    </row>
    <row r="38" spans="1:14" x14ac:dyDescent="0.2">
      <c r="A38" t="s">
        <v>274</v>
      </c>
      <c r="B38" s="313">
        <f>'1.Diabetes case'!G130*1000</f>
        <v>59.221226163748504</v>
      </c>
      <c r="C38" s="193">
        <f t="shared" si="3"/>
        <v>30.558152700494229</v>
      </c>
      <c r="D38" s="196">
        <f t="shared" si="2"/>
        <v>28.663073463254275</v>
      </c>
      <c r="E38" s="313">
        <f t="shared" si="5"/>
        <v>0.51600000000000001</v>
      </c>
      <c r="H38" s="315" t="s">
        <v>274</v>
      </c>
      <c r="I38" s="321">
        <v>20.100000000000001</v>
      </c>
      <c r="J38" s="322">
        <v>31.5</v>
      </c>
      <c r="K38" s="321">
        <v>5.2</v>
      </c>
      <c r="L38" s="322">
        <f t="shared" si="4"/>
        <v>56.800000000000004</v>
      </c>
      <c r="M38" s="322">
        <f t="shared" si="6"/>
        <v>0.35387323943661969</v>
      </c>
      <c r="N38" s="316"/>
    </row>
    <row r="39" spans="1:14" x14ac:dyDescent="0.2">
      <c r="A39" t="s">
        <v>35</v>
      </c>
      <c r="H39" s="320" t="s">
        <v>132</v>
      </c>
      <c r="I39" s="321"/>
      <c r="J39" s="322"/>
      <c r="K39" s="321"/>
      <c r="L39" s="322"/>
      <c r="M39" s="322"/>
      <c r="N39" s="316"/>
    </row>
    <row r="40" spans="1:14" x14ac:dyDescent="0.2">
      <c r="A40" t="s">
        <v>7</v>
      </c>
      <c r="B40" s="313">
        <f>'1.Diabetes case'!G133*1000</f>
        <v>0.25364033368035371</v>
      </c>
      <c r="C40" s="313">
        <f>B40</f>
        <v>0.25364033368035371</v>
      </c>
      <c r="D40" s="196">
        <f>B40-C40</f>
        <v>0</v>
      </c>
      <c r="E40" s="22">
        <f>IF(B40=0,1,C40/B40)</f>
        <v>1</v>
      </c>
      <c r="N40" s="316"/>
    </row>
    <row r="41" spans="1:14" x14ac:dyDescent="0.2">
      <c r="A41" t="s">
        <v>11</v>
      </c>
      <c r="B41" s="313">
        <f>'1.Diabetes case'!G134*1000</f>
        <v>0.99716762771054979</v>
      </c>
      <c r="C41" s="313">
        <f>B41</f>
        <v>0.99716762771054979</v>
      </c>
      <c r="D41" s="196">
        <f t="shared" ref="D41:D48" si="7">B41-C41</f>
        <v>0</v>
      </c>
      <c r="E41" s="22">
        <f>C41/B41</f>
        <v>1</v>
      </c>
      <c r="N41" s="316"/>
    </row>
    <row r="42" spans="1:14" x14ac:dyDescent="0.2">
      <c r="A42" t="s">
        <v>12</v>
      </c>
      <c r="B42" s="313">
        <f>'1.Diabetes case'!G135*1000</f>
        <v>24.115312489816564</v>
      </c>
      <c r="C42" s="193">
        <f t="shared" ref="C42:C48" si="8">(I42+J42)/100*B42</f>
        <v>3.1349906236761536</v>
      </c>
      <c r="D42" s="196">
        <f t="shared" si="7"/>
        <v>20.980321866140411</v>
      </c>
      <c r="E42" s="22">
        <f>C42/B42</f>
        <v>0.13</v>
      </c>
      <c r="H42" s="315" t="s">
        <v>12</v>
      </c>
      <c r="I42" s="321">
        <v>13</v>
      </c>
      <c r="J42" s="322">
        <v>0</v>
      </c>
      <c r="K42" s="321">
        <v>10.5</v>
      </c>
      <c r="L42" s="322">
        <f>SUM(I42:K42)</f>
        <v>23.5</v>
      </c>
      <c r="M42" s="322">
        <f t="shared" ref="M42:M48" si="9">I42/L42</f>
        <v>0.55319148936170215</v>
      </c>
      <c r="N42" s="316"/>
    </row>
    <row r="43" spans="1:14" x14ac:dyDescent="0.2">
      <c r="A43" t="s">
        <v>13</v>
      </c>
      <c r="B43" s="313">
        <f>'1.Diabetes case'!G136*1000</f>
        <v>60.90862172657036</v>
      </c>
      <c r="C43" s="193">
        <f t="shared" si="8"/>
        <v>40.382416204716144</v>
      </c>
      <c r="D43" s="196">
        <f t="shared" si="7"/>
        <v>20.526205521854216</v>
      </c>
      <c r="E43" s="313">
        <f t="shared" ref="E43:E48" si="10">C43/B43</f>
        <v>0.66299999999999992</v>
      </c>
      <c r="H43" s="315" t="s">
        <v>13</v>
      </c>
      <c r="I43" s="321">
        <v>13.5</v>
      </c>
      <c r="J43" s="322">
        <v>52.8</v>
      </c>
      <c r="K43" s="321">
        <v>2.4</v>
      </c>
      <c r="L43" s="322">
        <f t="shared" ref="L43:L48" si="11">SUM(I43:K43)</f>
        <v>68.7</v>
      </c>
      <c r="M43" s="322">
        <f t="shared" si="9"/>
        <v>0.1965065502183406</v>
      </c>
      <c r="N43" s="316"/>
    </row>
    <row r="44" spans="1:14" x14ac:dyDescent="0.2">
      <c r="A44" t="s">
        <v>14</v>
      </c>
      <c r="B44" s="313">
        <f>'1.Diabetes case'!G137*1000</f>
        <v>114.58288537997521</v>
      </c>
      <c r="C44" s="193">
        <f t="shared" si="8"/>
        <v>88.687153284100816</v>
      </c>
      <c r="D44" s="196">
        <f t="shared" si="7"/>
        <v>25.895732095874394</v>
      </c>
      <c r="E44" s="313">
        <f t="shared" si="10"/>
        <v>0.77400000000000002</v>
      </c>
      <c r="H44" s="315" t="s">
        <v>14</v>
      </c>
      <c r="I44" s="321">
        <v>34.700000000000003</v>
      </c>
      <c r="J44" s="322">
        <v>42.7</v>
      </c>
      <c r="K44" s="321">
        <v>1.6</v>
      </c>
      <c r="L44" s="322">
        <f t="shared" si="11"/>
        <v>79</v>
      </c>
      <c r="M44" s="322">
        <f t="shared" si="9"/>
        <v>0.43924050632911393</v>
      </c>
      <c r="N44" s="316"/>
    </row>
    <row r="45" spans="1:14" x14ac:dyDescent="0.2">
      <c r="A45" t="s">
        <v>15</v>
      </c>
      <c r="B45" s="313">
        <f>'1.Diabetes case'!G138*1000</f>
        <v>205.66389042383562</v>
      </c>
      <c r="C45" s="193">
        <f t="shared" si="8"/>
        <v>164.32544844864466</v>
      </c>
      <c r="D45" s="196">
        <f t="shared" si="7"/>
        <v>41.33844197519096</v>
      </c>
      <c r="E45" s="313">
        <f t="shared" si="10"/>
        <v>0.79900000000000004</v>
      </c>
      <c r="H45" s="315" t="s">
        <v>15</v>
      </c>
      <c r="I45" s="321">
        <v>42.8</v>
      </c>
      <c r="J45" s="322">
        <v>37.1</v>
      </c>
      <c r="K45" s="321">
        <v>2.4</v>
      </c>
      <c r="L45" s="322">
        <f t="shared" si="11"/>
        <v>82.300000000000011</v>
      </c>
      <c r="M45" s="322">
        <f t="shared" si="9"/>
        <v>0.5200486026731469</v>
      </c>
    </row>
    <row r="46" spans="1:14" x14ac:dyDescent="0.2">
      <c r="A46" t="s">
        <v>16</v>
      </c>
      <c r="B46" s="313">
        <f>'1.Diabetes case'!G139*1000</f>
        <v>218.05509480943613</v>
      </c>
      <c r="C46" s="193">
        <f t="shared" si="8"/>
        <v>170.73713923578848</v>
      </c>
      <c r="D46" s="196">
        <f t="shared" si="7"/>
        <v>47.317955573647652</v>
      </c>
      <c r="E46" s="313">
        <f t="shared" si="10"/>
        <v>0.78299999999999992</v>
      </c>
      <c r="H46" s="315" t="s">
        <v>16</v>
      </c>
      <c r="I46" s="321">
        <v>43</v>
      </c>
      <c r="J46" s="322">
        <v>35.299999999999997</v>
      </c>
      <c r="K46" s="321">
        <v>0.9</v>
      </c>
      <c r="L46" s="322">
        <f t="shared" si="11"/>
        <v>79.2</v>
      </c>
      <c r="M46" s="322">
        <f t="shared" si="9"/>
        <v>0.54292929292929293</v>
      </c>
    </row>
    <row r="47" spans="1:14" x14ac:dyDescent="0.2">
      <c r="A47" t="s">
        <v>17</v>
      </c>
      <c r="B47" s="313">
        <f>'1.Diabetes case'!G140*1000</f>
        <v>128.8390547135256</v>
      </c>
      <c r="C47" s="193">
        <f t="shared" si="8"/>
        <v>94.439027105014262</v>
      </c>
      <c r="D47" s="196">
        <f t="shared" si="7"/>
        <v>34.400027608511337</v>
      </c>
      <c r="E47" s="313">
        <f t="shared" si="10"/>
        <v>0.73299999999999998</v>
      </c>
      <c r="H47" s="315" t="s">
        <v>17</v>
      </c>
      <c r="I47" s="321">
        <v>45.5</v>
      </c>
      <c r="J47" s="322">
        <v>27.8</v>
      </c>
      <c r="K47" s="321">
        <v>4.7</v>
      </c>
      <c r="L47" s="322">
        <f t="shared" si="11"/>
        <v>78</v>
      </c>
      <c r="M47" s="322">
        <f t="shared" si="9"/>
        <v>0.58333333333333337</v>
      </c>
    </row>
    <row r="48" spans="1:14" x14ac:dyDescent="0.2">
      <c r="A48" t="s">
        <v>274</v>
      </c>
      <c r="B48" s="313">
        <f>'1.Diabetes case'!G141*1000</f>
        <v>74.997374224341726</v>
      </c>
      <c r="C48" s="193">
        <f t="shared" si="8"/>
        <v>56.773012287826688</v>
      </c>
      <c r="D48" s="196">
        <f t="shared" si="7"/>
        <v>18.224361936515038</v>
      </c>
      <c r="E48" s="313">
        <f t="shared" si="10"/>
        <v>0.75700000000000001</v>
      </c>
      <c r="H48" s="315" t="s">
        <v>274</v>
      </c>
      <c r="I48" s="321">
        <v>34.6</v>
      </c>
      <c r="J48" s="322">
        <v>41.1</v>
      </c>
      <c r="K48" s="321">
        <v>1.9</v>
      </c>
      <c r="L48" s="322">
        <f t="shared" si="11"/>
        <v>77.600000000000009</v>
      </c>
      <c r="M48" s="322">
        <f t="shared" si="9"/>
        <v>0.44587628865979378</v>
      </c>
    </row>
  </sheetData>
  <mergeCells count="3">
    <mergeCell ref="B3:C3"/>
    <mergeCell ref="D3:E3"/>
    <mergeCell ref="A3:A4"/>
  </mergeCell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Z109"/>
  <sheetViews>
    <sheetView topLeftCell="A90" zoomScale="120" zoomScaleNormal="120" workbookViewId="0">
      <selection activeCell="H103" sqref="H103"/>
    </sheetView>
  </sheetViews>
  <sheetFormatPr baseColWidth="10" defaultColWidth="8.83203125" defaultRowHeight="15" x14ac:dyDescent="0.2"/>
  <cols>
    <col min="2" max="2" width="12.6640625" customWidth="1"/>
    <col min="5" max="5" width="12.5" customWidth="1"/>
    <col min="6" max="6" width="12.1640625" customWidth="1"/>
    <col min="11" max="11" width="10.33203125" customWidth="1"/>
  </cols>
  <sheetData>
    <row r="2" spans="1:5" x14ac:dyDescent="0.2">
      <c r="A2" s="22" t="s">
        <v>62</v>
      </c>
    </row>
    <row r="4" spans="1:5" x14ac:dyDescent="0.2">
      <c r="A4" s="22" t="s">
        <v>63</v>
      </c>
    </row>
    <row r="5" spans="1:5" x14ac:dyDescent="0.2">
      <c r="E5" t="s">
        <v>292</v>
      </c>
    </row>
    <row r="6" spans="1:5" x14ac:dyDescent="0.2">
      <c r="A6" s="72" t="str">
        <f>'1.Diabetes case_DATA'!A18</f>
        <v>อายุ</v>
      </c>
      <c r="B6" s="69" t="str">
        <f>'1.Diabetes case_DATA'!B18</f>
        <v>อุบัติการณ์/1</v>
      </c>
    </row>
    <row r="7" spans="1:5" x14ac:dyDescent="0.2">
      <c r="A7" s="27" t="str">
        <f>'1.Diabetes case_DATA'!A19</f>
        <v>0-4</v>
      </c>
      <c r="B7" s="41">
        <f>'1.Diabetes case_DATA'!B19</f>
        <v>1E-4</v>
      </c>
    </row>
    <row r="8" spans="1:5" x14ac:dyDescent="0.2">
      <c r="A8" s="27" t="str">
        <f>'1.Diabetes case_DATA'!A20</f>
        <v>5-14</v>
      </c>
      <c r="B8" s="41">
        <f>'1.Diabetes case_DATA'!B20</f>
        <v>1E-4</v>
      </c>
    </row>
    <row r="9" spans="1:5" x14ac:dyDescent="0.2">
      <c r="A9" s="27" t="str">
        <f>'1.Diabetes case_DATA'!A21</f>
        <v>15-29</v>
      </c>
      <c r="B9" s="41">
        <f>'1.Diabetes case_DATA'!B21</f>
        <v>1E-4</v>
      </c>
    </row>
    <row r="10" spans="1:5" x14ac:dyDescent="0.2">
      <c r="A10" s="30"/>
      <c r="B10" s="5"/>
    </row>
    <row r="12" spans="1:5" x14ac:dyDescent="0.2">
      <c r="A12" s="74" t="s">
        <v>61</v>
      </c>
    </row>
    <row r="14" spans="1:5" x14ac:dyDescent="0.2">
      <c r="A14" s="22" t="s">
        <v>64</v>
      </c>
    </row>
    <row r="16" spans="1:5" x14ac:dyDescent="0.2">
      <c r="A16" s="22" t="s">
        <v>65</v>
      </c>
    </row>
    <row r="18" spans="1:7" x14ac:dyDescent="0.2">
      <c r="A18" s="443" t="s">
        <v>40</v>
      </c>
      <c r="B18" s="438" t="s">
        <v>66</v>
      </c>
      <c r="C18" s="440"/>
    </row>
    <row r="19" spans="1:7" x14ac:dyDescent="0.2">
      <c r="A19" s="444"/>
      <c r="B19" s="76" t="s">
        <v>43</v>
      </c>
      <c r="C19" s="78" t="s">
        <v>44</v>
      </c>
    </row>
    <row r="20" spans="1:7" x14ac:dyDescent="0.2">
      <c r="A20" s="33" t="s">
        <v>7</v>
      </c>
      <c r="B20" s="27">
        <f>'[4]dismod dm 2010_iddm'!D8</f>
        <v>1.1000000000000001E-3</v>
      </c>
      <c r="C20" s="29">
        <f>'[4]dismod dm 2010_iddm'!D38</f>
        <v>1.1000000000000001E-3</v>
      </c>
    </row>
    <row r="21" spans="1:7" x14ac:dyDescent="0.2">
      <c r="A21" s="33" t="s">
        <v>11</v>
      </c>
      <c r="B21" s="27">
        <f>'[4]dismod dm 2010_iddm'!D9</f>
        <v>1.1000000000000001E-3</v>
      </c>
      <c r="C21" s="29">
        <f>'[4]dismod dm 2010_iddm'!D39</f>
        <v>1.1000000000000001E-3</v>
      </c>
    </row>
    <row r="22" spans="1:7" x14ac:dyDescent="0.2">
      <c r="A22" s="33" t="s">
        <v>12</v>
      </c>
      <c r="B22" s="27">
        <f>'[4]dismod dm 2010_iddm'!D10</f>
        <v>1.1000000000000001E-3</v>
      </c>
      <c r="C22" s="29">
        <f>'[4]dismod dm 2010_iddm'!D40</f>
        <v>1.1000000000000001E-3</v>
      </c>
    </row>
    <row r="23" spans="1:7" x14ac:dyDescent="0.2">
      <c r="A23" s="33" t="s">
        <v>13</v>
      </c>
      <c r="B23" s="27">
        <f>'[4]dismod dm 2010_iddm'!D11</f>
        <v>4.1000000000000003E-3</v>
      </c>
      <c r="C23" s="29">
        <f>'[4]dismod dm 2010_iddm'!D41</f>
        <v>2.8E-3</v>
      </c>
    </row>
    <row r="24" spans="1:7" x14ac:dyDescent="0.2">
      <c r="A24" s="33" t="s">
        <v>14</v>
      </c>
      <c r="B24" s="27">
        <f>'[4]dismod dm 2010_iddm'!D12</f>
        <v>4.1000000000000003E-3</v>
      </c>
      <c r="C24" s="29">
        <f>'[4]dismod dm 2010_iddm'!D42</f>
        <v>4.0000000000000001E-3</v>
      </c>
    </row>
    <row r="25" spans="1:7" x14ac:dyDescent="0.2">
      <c r="A25" s="33" t="s">
        <v>15</v>
      </c>
      <c r="B25" s="27">
        <f>'[4]dismod dm 2010_iddm'!D13</f>
        <v>1.0800000000000001E-2</v>
      </c>
      <c r="C25" s="29">
        <f>'[4]dismod dm 2010_iddm'!D43</f>
        <v>1.8100000000000002E-2</v>
      </c>
    </row>
    <row r="26" spans="1:7" x14ac:dyDescent="0.2">
      <c r="A26" s="33" t="s">
        <v>16</v>
      </c>
      <c r="B26" s="27">
        <f>'[4]dismod dm 2010_iddm'!D14</f>
        <v>2.8199999999999999E-2</v>
      </c>
      <c r="C26" s="29">
        <f>'[4]dismod dm 2010_iddm'!D44</f>
        <v>3.5400000000000001E-2</v>
      </c>
      <c r="G26" s="22" t="s">
        <v>23</v>
      </c>
    </row>
    <row r="27" spans="1:7" x14ac:dyDescent="0.2">
      <c r="A27" s="33" t="s">
        <v>17</v>
      </c>
      <c r="B27" s="27">
        <f>'[4]dismod dm 2010_iddm'!D15</f>
        <v>4.7199999999999999E-2</v>
      </c>
      <c r="C27" s="29">
        <f>'[4]dismod dm 2010_iddm'!D45</f>
        <v>5.3199999999999997E-2</v>
      </c>
    </row>
    <row r="28" spans="1:7" x14ac:dyDescent="0.2">
      <c r="A28" s="75"/>
      <c r="B28" s="30"/>
      <c r="C28" s="32"/>
    </row>
    <row r="30" spans="1:7" x14ac:dyDescent="0.2">
      <c r="A30" s="70" t="s">
        <v>61</v>
      </c>
    </row>
    <row r="32" spans="1:7" x14ac:dyDescent="0.2">
      <c r="A32" s="22" t="s">
        <v>67</v>
      </c>
      <c r="B32" s="22"/>
      <c r="C32" s="22"/>
    </row>
    <row r="33" spans="1:26" x14ac:dyDescent="0.2">
      <c r="A33" s="22"/>
      <c r="B33" s="22"/>
      <c r="C33" s="22"/>
    </row>
    <row r="34" spans="1:26" x14ac:dyDescent="0.2">
      <c r="A34" s="443" t="s">
        <v>40</v>
      </c>
      <c r="B34" s="438" t="s">
        <v>68</v>
      </c>
      <c r="C34" s="440"/>
    </row>
    <row r="35" spans="1:26" x14ac:dyDescent="0.2">
      <c r="A35" s="444"/>
      <c r="B35" s="76" t="s">
        <v>43</v>
      </c>
      <c r="C35" s="78" t="s">
        <v>44</v>
      </c>
    </row>
    <row r="36" spans="1:26" x14ac:dyDescent="0.2">
      <c r="A36" s="33" t="s">
        <v>7</v>
      </c>
      <c r="B36" s="79">
        <f>'[4]dismod dm 2010_iddm'!E8</f>
        <v>2</v>
      </c>
      <c r="C36" s="80">
        <f>'[4]dismod dm 2010_iddm'!E38</f>
        <v>3.1</v>
      </c>
    </row>
    <row r="37" spans="1:26" x14ac:dyDescent="0.2">
      <c r="A37" s="33" t="s">
        <v>11</v>
      </c>
      <c r="B37" s="79">
        <f>'[4]dismod dm 2010_iddm'!E9</f>
        <v>1.9</v>
      </c>
      <c r="C37" s="80">
        <f>'[4]dismod dm 2010_iddm'!E39</f>
        <v>3.1</v>
      </c>
    </row>
    <row r="38" spans="1:26" x14ac:dyDescent="0.2">
      <c r="A38" s="33" t="s">
        <v>12</v>
      </c>
      <c r="B38" s="79">
        <f>'[4]dismod dm 2010_iddm'!E10</f>
        <v>3.1640000000000001</v>
      </c>
      <c r="C38" s="80">
        <f>'[4]dismod dm 2010_iddm'!E40</f>
        <v>5.5</v>
      </c>
    </row>
    <row r="39" spans="1:26" x14ac:dyDescent="0.2">
      <c r="A39" s="33" t="s">
        <v>13</v>
      </c>
      <c r="B39" s="79">
        <f>'[4]dismod dm 2010_iddm'!E11</f>
        <v>3.7</v>
      </c>
      <c r="C39" s="80">
        <f>'[4]dismod dm 2010_iddm'!E41</f>
        <v>5.6333000000000002</v>
      </c>
      <c r="G39" s="22" t="s">
        <v>23</v>
      </c>
    </row>
    <row r="40" spans="1:26" x14ac:dyDescent="0.2">
      <c r="A40" s="33" t="s">
        <v>14</v>
      </c>
      <c r="B40" s="79">
        <f>'[4]dismod dm 2010_iddm'!E12</f>
        <v>2.6</v>
      </c>
      <c r="C40" s="80">
        <f>'[4]dismod dm 2010_iddm'!E42</f>
        <v>3.5</v>
      </c>
    </row>
    <row r="41" spans="1:26" x14ac:dyDescent="0.2">
      <c r="A41" s="33" t="s">
        <v>15</v>
      </c>
      <c r="B41" s="79">
        <f>'[4]dismod dm 2010_iddm'!E13</f>
        <v>1.5</v>
      </c>
      <c r="C41" s="80">
        <f>'[4]dismod dm 2010_iddm'!E43</f>
        <v>2.2999999999999998</v>
      </c>
    </row>
    <row r="42" spans="1:26" x14ac:dyDescent="0.2">
      <c r="A42" s="33" t="s">
        <v>16</v>
      </c>
      <c r="B42" s="79">
        <f>'[4]dismod dm 2010_iddm'!E14</f>
        <v>1.5</v>
      </c>
      <c r="C42" s="80">
        <f>'[4]dismod dm 2010_iddm'!E44</f>
        <v>2.2999999999999998</v>
      </c>
    </row>
    <row r="43" spans="1:26" x14ac:dyDescent="0.2">
      <c r="A43" s="33" t="s">
        <v>17</v>
      </c>
      <c r="B43" s="79">
        <f>'[4]dismod dm 2010_iddm'!E15</f>
        <v>1</v>
      </c>
      <c r="C43" s="80">
        <f>'[4]dismod dm 2010_iddm'!E45</f>
        <v>1</v>
      </c>
    </row>
    <row r="44" spans="1:26" x14ac:dyDescent="0.2">
      <c r="A44" s="75"/>
      <c r="B44" s="30"/>
      <c r="C44" s="32"/>
    </row>
    <row r="46" spans="1:26" x14ac:dyDescent="0.2">
      <c r="A46" s="70" t="s">
        <v>61</v>
      </c>
    </row>
    <row r="48" spans="1:26" x14ac:dyDescent="0.2">
      <c r="A48" s="331" t="s">
        <v>290</v>
      </c>
      <c r="B48" s="331"/>
      <c r="C48" s="331"/>
      <c r="D48" s="331"/>
      <c r="E48" s="331"/>
      <c r="F48" s="331"/>
      <c r="G48" s="331"/>
      <c r="H48" s="331"/>
      <c r="I48" s="331"/>
      <c r="J48" s="331"/>
      <c r="K48" s="331"/>
      <c r="L48" s="331"/>
      <c r="M48" s="22"/>
      <c r="N48" s="23" t="s">
        <v>77</v>
      </c>
      <c r="O48" s="22"/>
      <c r="P48" s="22"/>
      <c r="Q48" s="22"/>
      <c r="R48" s="22"/>
      <c r="S48" s="22"/>
      <c r="T48" s="22"/>
      <c r="U48" s="22"/>
      <c r="V48" s="22"/>
      <c r="W48" s="22"/>
      <c r="X48" s="22"/>
      <c r="Y48" s="22"/>
      <c r="Z48" s="22"/>
    </row>
    <row r="49" spans="1:26" x14ac:dyDescent="0.2">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row>
    <row r="50" spans="1:26" x14ac:dyDescent="0.2">
      <c r="A50" s="331" t="s">
        <v>289</v>
      </c>
      <c r="B50" s="331"/>
      <c r="C50" s="331"/>
      <c r="D50" s="331"/>
      <c r="E50" s="331"/>
      <c r="F50" s="331"/>
      <c r="G50" s="331"/>
      <c r="H50" s="331"/>
      <c r="I50" s="331"/>
      <c r="J50" s="331"/>
      <c r="K50" s="331"/>
      <c r="L50" s="331"/>
      <c r="M50" s="22"/>
      <c r="N50" s="23" t="s">
        <v>78</v>
      </c>
      <c r="O50" s="22"/>
      <c r="P50" s="22"/>
      <c r="Q50" s="22"/>
      <c r="R50" s="22"/>
      <c r="S50" s="22"/>
      <c r="T50" s="22"/>
      <c r="U50" s="22"/>
      <c r="V50" s="22"/>
      <c r="W50" s="22"/>
      <c r="X50" s="22"/>
      <c r="Y50" s="22"/>
      <c r="Z50" s="22"/>
    </row>
    <row r="51" spans="1:26" x14ac:dyDescent="0.2">
      <c r="A51" s="331"/>
      <c r="B51" s="331" t="s">
        <v>34</v>
      </c>
      <c r="C51" s="331"/>
      <c r="D51" s="331"/>
      <c r="E51" s="331"/>
      <c r="F51" s="331"/>
      <c r="G51" s="331"/>
      <c r="H51" s="331"/>
      <c r="I51" s="331"/>
      <c r="J51" s="331"/>
      <c r="K51" s="331"/>
      <c r="L51" s="331"/>
      <c r="M51" s="22"/>
      <c r="N51" s="22"/>
      <c r="O51" s="23" t="s">
        <v>34</v>
      </c>
      <c r="P51" s="22"/>
      <c r="Q51" s="22"/>
      <c r="R51" s="22"/>
      <c r="S51" s="22"/>
      <c r="T51" s="22"/>
      <c r="U51" s="22"/>
      <c r="V51" s="22"/>
      <c r="W51" s="22"/>
      <c r="X51" s="22"/>
      <c r="Y51" s="22"/>
      <c r="Z51" s="22"/>
    </row>
    <row r="52" spans="1:26" x14ac:dyDescent="0.2">
      <c r="A52" s="331"/>
      <c r="B52" s="331" t="s">
        <v>79</v>
      </c>
      <c r="C52" s="331" t="s">
        <v>79</v>
      </c>
      <c r="D52" s="331" t="s">
        <v>79</v>
      </c>
      <c r="E52" s="331" t="s">
        <v>80</v>
      </c>
      <c r="F52" s="331" t="s">
        <v>80</v>
      </c>
      <c r="G52" s="331" t="s">
        <v>80</v>
      </c>
      <c r="H52" s="331" t="s">
        <v>80</v>
      </c>
      <c r="I52" s="331" t="s">
        <v>80</v>
      </c>
      <c r="J52" s="331" t="s">
        <v>80</v>
      </c>
      <c r="K52" s="331" t="s">
        <v>80</v>
      </c>
      <c r="L52" s="331" t="s">
        <v>80</v>
      </c>
      <c r="M52" s="22"/>
      <c r="N52" s="22"/>
      <c r="O52" s="22" t="s">
        <v>79</v>
      </c>
      <c r="P52" s="22" t="s">
        <v>79</v>
      </c>
      <c r="Q52" s="22" t="s">
        <v>79</v>
      </c>
      <c r="R52" s="22" t="s">
        <v>79</v>
      </c>
      <c r="S52" s="22" t="s">
        <v>80</v>
      </c>
      <c r="T52" s="22" t="s">
        <v>80</v>
      </c>
      <c r="U52" s="22" t="s">
        <v>80</v>
      </c>
      <c r="V52" s="22" t="s">
        <v>80</v>
      </c>
      <c r="W52" s="22" t="s">
        <v>80</v>
      </c>
      <c r="X52" s="22" t="s">
        <v>80</v>
      </c>
      <c r="Y52" s="22" t="s">
        <v>80</v>
      </c>
      <c r="Z52" s="22" t="s">
        <v>80</v>
      </c>
    </row>
    <row r="53" spans="1:26" x14ac:dyDescent="0.2">
      <c r="A53" s="331" t="s">
        <v>81</v>
      </c>
      <c r="B53" s="331" t="s">
        <v>27</v>
      </c>
      <c r="C53" s="331" t="s">
        <v>82</v>
      </c>
      <c r="D53" s="331" t="s">
        <v>84</v>
      </c>
      <c r="E53" s="331" t="s">
        <v>27</v>
      </c>
      <c r="F53" s="331" t="s">
        <v>85</v>
      </c>
      <c r="G53" s="331" t="s">
        <v>82</v>
      </c>
      <c r="H53" s="331" t="s">
        <v>83</v>
      </c>
      <c r="I53" s="331" t="s">
        <v>9</v>
      </c>
      <c r="J53" s="331" t="s">
        <v>86</v>
      </c>
      <c r="K53" s="331" t="s">
        <v>87</v>
      </c>
      <c r="L53" s="331" t="s">
        <v>88</v>
      </c>
      <c r="M53" s="22"/>
      <c r="N53" s="22" t="s">
        <v>81</v>
      </c>
      <c r="O53" s="22" t="s">
        <v>27</v>
      </c>
      <c r="P53" s="22" t="s">
        <v>82</v>
      </c>
      <c r="Q53" s="22" t="s">
        <v>83</v>
      </c>
      <c r="R53" s="22" t="s">
        <v>84</v>
      </c>
      <c r="S53" s="22" t="s">
        <v>27</v>
      </c>
      <c r="T53" s="22" t="s">
        <v>85</v>
      </c>
      <c r="U53" s="22" t="s">
        <v>82</v>
      </c>
      <c r="V53" s="22" t="s">
        <v>83</v>
      </c>
      <c r="W53" s="22" t="s">
        <v>9</v>
      </c>
      <c r="X53" s="22" t="s">
        <v>86</v>
      </c>
      <c r="Y53" s="22" t="s">
        <v>87</v>
      </c>
      <c r="Z53" s="22" t="s">
        <v>88</v>
      </c>
    </row>
    <row r="54" spans="1:26" x14ac:dyDescent="0.2">
      <c r="A54" s="331"/>
      <c r="B54" s="331" t="s">
        <v>89</v>
      </c>
      <c r="C54" s="331" t="s">
        <v>89</v>
      </c>
      <c r="D54" s="331" t="s">
        <v>89</v>
      </c>
      <c r="E54" s="331" t="s">
        <v>89</v>
      </c>
      <c r="F54" s="331" t="s">
        <v>89</v>
      </c>
      <c r="G54" s="331" t="s">
        <v>89</v>
      </c>
      <c r="H54" s="331" t="s">
        <v>89</v>
      </c>
      <c r="I54" s="331" t="s">
        <v>90</v>
      </c>
      <c r="J54" s="331" t="s">
        <v>89</v>
      </c>
      <c r="K54" s="331" t="s">
        <v>91</v>
      </c>
      <c r="L54" s="331" t="s">
        <v>90</v>
      </c>
      <c r="M54" s="22"/>
      <c r="N54" s="22"/>
      <c r="O54" s="22" t="s">
        <v>89</v>
      </c>
      <c r="P54" s="22" t="s">
        <v>89</v>
      </c>
      <c r="Q54" s="22" t="s">
        <v>89</v>
      </c>
      <c r="R54" s="22" t="s">
        <v>89</v>
      </c>
      <c r="S54" s="22" t="s">
        <v>89</v>
      </c>
      <c r="T54" s="22" t="s">
        <v>89</v>
      </c>
      <c r="U54" s="22" t="s">
        <v>89</v>
      </c>
      <c r="V54" s="22" t="s">
        <v>89</v>
      </c>
      <c r="W54" s="22" t="s">
        <v>90</v>
      </c>
      <c r="X54" s="22" t="s">
        <v>89</v>
      </c>
      <c r="Y54" s="22" t="s">
        <v>91</v>
      </c>
      <c r="Z54" s="22" t="s">
        <v>90</v>
      </c>
    </row>
    <row r="55" spans="1:26" x14ac:dyDescent="0.2">
      <c r="A55" s="331" t="s">
        <v>7</v>
      </c>
      <c r="B55" s="331">
        <v>1.6500000000000001E-5</v>
      </c>
      <c r="C55" s="331">
        <v>0</v>
      </c>
      <c r="D55" s="331">
        <v>2</v>
      </c>
      <c r="E55" s="331">
        <v>1.6500000000000001E-5</v>
      </c>
      <c r="F55" s="331">
        <v>4.1900000000000002E-5</v>
      </c>
      <c r="G55" s="331">
        <v>0</v>
      </c>
      <c r="H55" s="331">
        <v>3.7389999999999998E-4</v>
      </c>
      <c r="I55" s="331">
        <v>57.2334757</v>
      </c>
      <c r="J55" s="331">
        <v>0</v>
      </c>
      <c r="K55" s="331">
        <v>1.6413613</v>
      </c>
      <c r="L55" s="331">
        <v>2.5397535000000002</v>
      </c>
      <c r="M55" s="22"/>
      <c r="N55" s="22" t="s">
        <v>7</v>
      </c>
      <c r="O55" s="22">
        <v>1E-4</v>
      </c>
      <c r="P55" s="22">
        <v>0</v>
      </c>
      <c r="Q55" s="22">
        <v>1.1000000000000001E-3</v>
      </c>
      <c r="R55" s="22">
        <v>2</v>
      </c>
      <c r="S55" s="88">
        <v>1E-4</v>
      </c>
      <c r="T55" s="22">
        <v>2.5000000000000001E-4</v>
      </c>
      <c r="U55" s="22">
        <v>0</v>
      </c>
      <c r="V55" s="22">
        <v>6.9999999999999999E-4</v>
      </c>
      <c r="W55" s="88">
        <v>62.311489999999999</v>
      </c>
      <c r="X55" s="22">
        <v>0</v>
      </c>
      <c r="Y55" s="22">
        <v>2.1798299999999999</v>
      </c>
      <c r="Z55" s="88">
        <v>2.53959</v>
      </c>
    </row>
    <row r="56" spans="1:26" x14ac:dyDescent="0.2">
      <c r="A56" s="331" t="s">
        <v>11</v>
      </c>
      <c r="B56" s="331">
        <v>1.6500000000000001E-5</v>
      </c>
      <c r="C56" s="331">
        <v>0</v>
      </c>
      <c r="D56" s="331">
        <v>1.9</v>
      </c>
      <c r="E56" s="331">
        <v>1.6500000000000001E-5</v>
      </c>
      <c r="F56" s="331">
        <v>1.65E-4</v>
      </c>
      <c r="G56" s="331">
        <v>0</v>
      </c>
      <c r="H56" s="331">
        <v>5.8259999999999996E-4</v>
      </c>
      <c r="I56" s="331">
        <v>50.264189100000003</v>
      </c>
      <c r="J56" s="331">
        <v>9.9999999999999995E-8</v>
      </c>
      <c r="K56" s="331">
        <v>2.0359501999999998</v>
      </c>
      <c r="L56" s="331">
        <v>10.0233524</v>
      </c>
      <c r="M56" s="22"/>
      <c r="N56" s="22" t="s">
        <v>11</v>
      </c>
      <c r="O56" s="22">
        <v>1E-4</v>
      </c>
      <c r="P56" s="22">
        <v>0</v>
      </c>
      <c r="Q56" s="22">
        <v>1.1000000000000001E-3</v>
      </c>
      <c r="R56" s="22">
        <v>1.9</v>
      </c>
      <c r="S56" s="88">
        <v>1E-4</v>
      </c>
      <c r="T56" s="22">
        <v>1E-3</v>
      </c>
      <c r="U56" s="22">
        <v>0</v>
      </c>
      <c r="V56" s="22">
        <v>8.0000000000000004E-4</v>
      </c>
      <c r="W56" s="88">
        <v>55.518650000000001</v>
      </c>
      <c r="X56" s="22">
        <v>0</v>
      </c>
      <c r="Y56" s="22">
        <v>2.4429699999999999</v>
      </c>
      <c r="Z56" s="88">
        <v>10.02267</v>
      </c>
    </row>
    <row r="57" spans="1:26" x14ac:dyDescent="0.2">
      <c r="A57" s="331" t="s">
        <v>12</v>
      </c>
      <c r="B57" s="331">
        <v>1.6500000000000001E-5</v>
      </c>
      <c r="C57" s="331">
        <v>0</v>
      </c>
      <c r="D57" s="331">
        <v>3.1640470000000001</v>
      </c>
      <c r="E57" s="331">
        <v>1.56E-5</v>
      </c>
      <c r="F57" s="331">
        <v>3.6010000000000003E-4</v>
      </c>
      <c r="G57" s="331">
        <v>1.1000000000000001E-6</v>
      </c>
      <c r="H57" s="331">
        <v>3.9497000000000004E-3</v>
      </c>
      <c r="I57" s="331">
        <v>39.815991599999997</v>
      </c>
      <c r="J57" s="331">
        <v>1.3999999999999999E-6</v>
      </c>
      <c r="K57" s="331">
        <v>3.0837024999999998</v>
      </c>
      <c r="L57" s="331">
        <v>22.0791659</v>
      </c>
      <c r="M57" s="22"/>
      <c r="N57" s="22" t="s">
        <v>12</v>
      </c>
      <c r="O57" s="22">
        <v>1E-4</v>
      </c>
      <c r="P57" s="22">
        <v>0</v>
      </c>
      <c r="Q57" s="22">
        <v>1.1000000000000001E-3</v>
      </c>
      <c r="R57" s="22">
        <v>3.1640000000000001</v>
      </c>
      <c r="S57" s="88">
        <v>9.0000000000000006E-5</v>
      </c>
      <c r="T57" s="22">
        <v>2.2100000000000002E-3</v>
      </c>
      <c r="U57" s="22">
        <v>0</v>
      </c>
      <c r="V57" s="22">
        <v>1.3799999999999999E-3</v>
      </c>
      <c r="W57" s="88">
        <v>44.776649999999997</v>
      </c>
      <c r="X57" s="22">
        <v>0</v>
      </c>
      <c r="Y57" s="22">
        <v>1.72183</v>
      </c>
      <c r="Z57" s="88">
        <v>22.077760000000001</v>
      </c>
    </row>
    <row r="58" spans="1:26" x14ac:dyDescent="0.2">
      <c r="A58" s="331" t="s">
        <v>13</v>
      </c>
      <c r="B58" s="331">
        <v>0</v>
      </c>
      <c r="C58" s="331">
        <v>0</v>
      </c>
      <c r="D58" s="331">
        <v>3.7</v>
      </c>
      <c r="E58" s="331">
        <v>1.5E-6</v>
      </c>
      <c r="F58" s="331">
        <v>4.4700000000000002E-4</v>
      </c>
      <c r="G58" s="331">
        <v>2.9999999999999999E-7</v>
      </c>
      <c r="H58" s="331">
        <v>1.01598E-2</v>
      </c>
      <c r="I58" s="331">
        <v>32.651477</v>
      </c>
      <c r="J58" s="331">
        <v>4.5000000000000001E-6</v>
      </c>
      <c r="K58" s="331">
        <v>3.4396499999999999</v>
      </c>
      <c r="L58" s="331">
        <v>31.754745400000001</v>
      </c>
      <c r="M58" s="22"/>
      <c r="N58" s="22" t="s">
        <v>13</v>
      </c>
      <c r="O58" s="22">
        <v>0</v>
      </c>
      <c r="P58" s="22">
        <v>0</v>
      </c>
      <c r="Q58" s="22">
        <v>4.1000000000000003E-3</v>
      </c>
      <c r="R58" s="22">
        <v>3.7</v>
      </c>
      <c r="S58" s="88">
        <v>1.0000000000000001E-5</v>
      </c>
      <c r="T58" s="22">
        <v>2.8900000000000002E-3</v>
      </c>
      <c r="U58" s="22">
        <v>0</v>
      </c>
      <c r="V58" s="22">
        <v>4.2500000000000003E-3</v>
      </c>
      <c r="W58" s="88">
        <v>36.688789999999997</v>
      </c>
      <c r="X58" s="22">
        <v>1.0000000000000001E-5</v>
      </c>
      <c r="Y58" s="22">
        <v>2.0422400000000001</v>
      </c>
      <c r="Z58" s="88">
        <v>31.756609999999998</v>
      </c>
    </row>
    <row r="59" spans="1:26" x14ac:dyDescent="0.2">
      <c r="A59" s="331" t="s">
        <v>14</v>
      </c>
      <c r="B59" s="331">
        <v>0</v>
      </c>
      <c r="C59" s="331">
        <v>0</v>
      </c>
      <c r="D59" s="331">
        <v>2.6</v>
      </c>
      <c r="E59" s="331">
        <v>0</v>
      </c>
      <c r="F59" s="331">
        <v>3.7520000000000001E-4</v>
      </c>
      <c r="G59" s="331">
        <v>0</v>
      </c>
      <c r="H59" s="331">
        <v>1.4800600000000001E-2</v>
      </c>
      <c r="I59" s="331">
        <v>22.307461499999999</v>
      </c>
      <c r="J59" s="331">
        <v>5.5999999999999997E-6</v>
      </c>
      <c r="K59" s="331">
        <v>2.6046231999999998</v>
      </c>
      <c r="L59" s="331">
        <v>50.380194600000003</v>
      </c>
      <c r="M59" s="22"/>
      <c r="N59" s="22" t="s">
        <v>14</v>
      </c>
      <c r="O59" s="22">
        <v>0</v>
      </c>
      <c r="P59" s="22">
        <v>0</v>
      </c>
      <c r="Q59" s="22">
        <v>4.1000000000000003E-3</v>
      </c>
      <c r="R59" s="22">
        <v>2.6</v>
      </c>
      <c r="S59" s="88">
        <v>0</v>
      </c>
      <c r="T59" s="22">
        <v>2.7200000000000002E-3</v>
      </c>
      <c r="U59" s="22">
        <v>0</v>
      </c>
      <c r="V59" s="22">
        <v>4.6800000000000001E-3</v>
      </c>
      <c r="W59" s="88">
        <v>20.325420000000001</v>
      </c>
      <c r="X59" s="22">
        <v>1.0000000000000001E-5</v>
      </c>
      <c r="Y59" s="22">
        <v>1.5094799999999999</v>
      </c>
      <c r="Z59" s="88">
        <v>54.725009999999997</v>
      </c>
    </row>
    <row r="60" spans="1:26" x14ac:dyDescent="0.2">
      <c r="A60" s="331" t="s">
        <v>15</v>
      </c>
      <c r="B60" s="331">
        <v>0</v>
      </c>
      <c r="C60" s="331">
        <v>0</v>
      </c>
      <c r="D60" s="331">
        <v>1.5</v>
      </c>
      <c r="E60" s="331">
        <v>0</v>
      </c>
      <c r="F60" s="331">
        <v>3.1119999999999997E-4</v>
      </c>
      <c r="G60" s="331">
        <v>0</v>
      </c>
      <c r="H60" s="331">
        <v>1.20806E-2</v>
      </c>
      <c r="I60" s="331">
        <v>14.7862112</v>
      </c>
      <c r="J60" s="331">
        <v>3.8E-6</v>
      </c>
      <c r="K60" s="331">
        <v>1.6395801999999999</v>
      </c>
      <c r="L60" s="331">
        <v>66.226386000000005</v>
      </c>
      <c r="M60" s="22"/>
      <c r="N60" s="22" t="s">
        <v>15</v>
      </c>
      <c r="O60" s="22">
        <v>0</v>
      </c>
      <c r="P60" s="22">
        <v>0</v>
      </c>
      <c r="Q60" s="22">
        <v>1.0800000000000001E-2</v>
      </c>
      <c r="R60" s="22">
        <v>1.5</v>
      </c>
      <c r="S60" s="88">
        <v>0</v>
      </c>
      <c r="T60" s="22">
        <v>2.5100000000000001E-3</v>
      </c>
      <c r="U60" s="22">
        <v>0</v>
      </c>
      <c r="V60" s="22">
        <v>1.027E-2</v>
      </c>
      <c r="W60" s="88">
        <v>13.318849999999999</v>
      </c>
      <c r="X60" s="22">
        <v>3.0000000000000001E-5</v>
      </c>
      <c r="Y60" s="22">
        <v>1.51444</v>
      </c>
      <c r="Z60" s="88">
        <v>65.867149999999995</v>
      </c>
    </row>
    <row r="61" spans="1:26" x14ac:dyDescent="0.2">
      <c r="A61" s="331" t="s">
        <v>16</v>
      </c>
      <c r="B61" s="331">
        <v>0</v>
      </c>
      <c r="C61" s="331">
        <v>0</v>
      </c>
      <c r="D61" s="331">
        <v>1.5</v>
      </c>
      <c r="E61" s="331">
        <v>0</v>
      </c>
      <c r="F61" s="331">
        <v>2.697E-4</v>
      </c>
      <c r="G61" s="331">
        <v>0</v>
      </c>
      <c r="H61" s="331">
        <v>1.6833399999999998E-2</v>
      </c>
      <c r="I61" s="331">
        <v>11.131687899999999</v>
      </c>
      <c r="J61" s="331">
        <v>4.5000000000000001E-6</v>
      </c>
      <c r="K61" s="331">
        <v>1.4062382</v>
      </c>
      <c r="L61" s="331">
        <v>75.638239499999997</v>
      </c>
      <c r="M61" s="22"/>
      <c r="N61" s="22" t="s">
        <v>16</v>
      </c>
      <c r="O61" s="22">
        <v>0</v>
      </c>
      <c r="P61" s="22">
        <v>0</v>
      </c>
      <c r="Q61" s="22">
        <v>2.8199999999999999E-2</v>
      </c>
      <c r="R61" s="22">
        <v>1.5</v>
      </c>
      <c r="S61" s="88">
        <v>0</v>
      </c>
      <c r="T61" s="22">
        <v>2.14E-3</v>
      </c>
      <c r="U61" s="22">
        <v>0</v>
      </c>
      <c r="V61" s="22">
        <v>2.298E-2</v>
      </c>
      <c r="W61" s="88">
        <v>9.6065199999999997</v>
      </c>
      <c r="X61" s="22">
        <v>5.0000000000000002E-5</v>
      </c>
      <c r="Y61" s="22">
        <v>1.5207200000000001</v>
      </c>
      <c r="Z61" s="88">
        <v>73.202219999999997</v>
      </c>
    </row>
    <row r="62" spans="1:26" x14ac:dyDescent="0.2">
      <c r="A62" s="331" t="s">
        <v>17</v>
      </c>
      <c r="B62" s="331">
        <v>0</v>
      </c>
      <c r="C62" s="331">
        <v>0</v>
      </c>
      <c r="D62" s="331">
        <v>1</v>
      </c>
      <c r="E62" s="331">
        <v>0</v>
      </c>
      <c r="F62" s="331">
        <v>2.3910000000000001E-4</v>
      </c>
      <c r="G62" s="331">
        <v>0</v>
      </c>
      <c r="H62" s="331">
        <v>4.5551999999999997E-3</v>
      </c>
      <c r="I62" s="331">
        <v>9.6427203000000006</v>
      </c>
      <c r="J62" s="331">
        <v>1.1000000000000001E-6</v>
      </c>
      <c r="K62" s="331">
        <v>1.100949</v>
      </c>
      <c r="L62" s="331">
        <v>82.575108599999993</v>
      </c>
      <c r="M62" s="22"/>
      <c r="N62" s="22" t="s">
        <v>17</v>
      </c>
      <c r="O62" s="22">
        <v>0</v>
      </c>
      <c r="P62" s="22">
        <v>0</v>
      </c>
      <c r="Q62" s="22">
        <v>4.7199999999999999E-2</v>
      </c>
      <c r="R62" s="22">
        <v>1</v>
      </c>
      <c r="S62" s="88">
        <v>0</v>
      </c>
      <c r="T62" s="22">
        <v>1.48E-3</v>
      </c>
      <c r="U62" s="22">
        <v>0</v>
      </c>
      <c r="V62" s="22">
        <v>3.576E-2</v>
      </c>
      <c r="W62" s="88">
        <v>5.87967</v>
      </c>
      <c r="X62" s="22">
        <v>5.0000000000000002E-5</v>
      </c>
      <c r="Y62" s="22">
        <v>1.36253</v>
      </c>
      <c r="Z62" s="88">
        <v>85.387839999999997</v>
      </c>
    </row>
    <row r="63" spans="1:26" x14ac:dyDescent="0.2">
      <c r="A63" s="331" t="s">
        <v>92</v>
      </c>
      <c r="B63" s="331" t="s">
        <v>93</v>
      </c>
      <c r="C63" s="331" t="s">
        <v>93</v>
      </c>
      <c r="D63" s="331" t="s">
        <v>93</v>
      </c>
      <c r="E63" s="331">
        <v>7.0999999999999998E-6</v>
      </c>
      <c r="F63" s="331">
        <v>3.3070000000000002E-4</v>
      </c>
      <c r="G63" s="331">
        <v>3.9999999999999998E-7</v>
      </c>
      <c r="H63" s="331">
        <v>9.2606000000000008E-3</v>
      </c>
      <c r="I63" s="331">
        <v>45.120618399999998</v>
      </c>
      <c r="J63" s="331">
        <v>3.1E-6</v>
      </c>
      <c r="K63" s="331">
        <v>2.7984363000000001</v>
      </c>
      <c r="L63" s="331">
        <v>16.108609900000001</v>
      </c>
      <c r="M63" s="22"/>
      <c r="N63" s="22" t="s">
        <v>92</v>
      </c>
      <c r="O63" s="22" t="s">
        <v>93</v>
      </c>
      <c r="P63" s="22" t="s">
        <v>93</v>
      </c>
      <c r="Q63" s="22" t="s">
        <v>93</v>
      </c>
      <c r="R63" s="22" t="s">
        <v>93</v>
      </c>
      <c r="S63" s="88">
        <v>4.0000000000000003E-5</v>
      </c>
      <c r="T63" s="22">
        <v>2.2100000000000002E-3</v>
      </c>
      <c r="U63" s="22">
        <v>0</v>
      </c>
      <c r="V63" s="22">
        <v>4.9800000000000001E-3</v>
      </c>
      <c r="W63" s="88">
        <v>50.140389999999996</v>
      </c>
      <c r="X63" s="22">
        <v>1.0000000000000001E-5</v>
      </c>
      <c r="Y63" s="22">
        <v>1.6708799999999999</v>
      </c>
      <c r="Z63" s="88">
        <v>16.102589999999999</v>
      </c>
    </row>
    <row r="64" spans="1:26" x14ac:dyDescent="0.2">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row>
    <row r="65" spans="1:26" x14ac:dyDescent="0.2">
      <c r="A65" s="331" t="s">
        <v>289</v>
      </c>
      <c r="B65" s="331"/>
      <c r="C65" s="331"/>
      <c r="D65" s="331"/>
      <c r="E65" s="331"/>
      <c r="F65" s="331"/>
      <c r="G65" s="331"/>
      <c r="H65" s="331"/>
      <c r="I65" s="331"/>
      <c r="J65" s="331"/>
      <c r="K65" s="331"/>
      <c r="L65" s="331"/>
      <c r="M65" s="22"/>
      <c r="N65" s="22" t="s">
        <v>78</v>
      </c>
      <c r="O65" s="22"/>
      <c r="P65" s="22"/>
      <c r="Q65" s="22"/>
      <c r="R65" s="22"/>
      <c r="S65" s="22"/>
      <c r="T65" s="22"/>
      <c r="U65" s="22"/>
      <c r="V65" s="22"/>
      <c r="W65" s="22"/>
      <c r="X65" s="22"/>
      <c r="Y65" s="22"/>
      <c r="Z65" s="22"/>
    </row>
    <row r="66" spans="1:26" x14ac:dyDescent="0.2">
      <c r="A66" s="331"/>
      <c r="B66" s="331" t="s">
        <v>34</v>
      </c>
      <c r="C66" s="331"/>
      <c r="D66" s="331"/>
      <c r="E66" s="331"/>
      <c r="F66" s="331"/>
      <c r="G66" s="331"/>
      <c r="H66" s="331"/>
      <c r="I66" s="331"/>
      <c r="J66" s="331"/>
      <c r="K66" s="331"/>
      <c r="L66" s="331"/>
      <c r="M66" s="22"/>
      <c r="N66" s="22"/>
      <c r="O66" s="22" t="s">
        <v>34</v>
      </c>
      <c r="P66" s="22"/>
      <c r="Q66" s="22"/>
      <c r="R66" s="22"/>
      <c r="S66" s="22"/>
      <c r="T66" s="22"/>
      <c r="U66" s="22"/>
      <c r="V66" s="22"/>
      <c r="W66" s="22"/>
      <c r="X66" s="22"/>
      <c r="Y66" s="22"/>
      <c r="Z66" s="22"/>
    </row>
    <row r="67" spans="1:26" x14ac:dyDescent="0.2">
      <c r="A67" s="331"/>
      <c r="B67" s="331" t="s">
        <v>79</v>
      </c>
      <c r="C67" s="331" t="s">
        <v>79</v>
      </c>
      <c r="D67" s="331" t="s">
        <v>79</v>
      </c>
      <c r="E67" s="331" t="s">
        <v>80</v>
      </c>
      <c r="F67" s="331" t="s">
        <v>80</v>
      </c>
      <c r="G67" s="331" t="s">
        <v>80</v>
      </c>
      <c r="H67" s="331" t="s">
        <v>80</v>
      </c>
      <c r="I67" s="331" t="s">
        <v>80</v>
      </c>
      <c r="J67" s="331" t="s">
        <v>80</v>
      </c>
      <c r="K67" s="331" t="s">
        <v>80</v>
      </c>
      <c r="L67" s="331" t="s">
        <v>80</v>
      </c>
      <c r="M67" s="22"/>
      <c r="N67" s="22"/>
      <c r="O67" s="22" t="s">
        <v>79</v>
      </c>
      <c r="P67" s="22" t="s">
        <v>79</v>
      </c>
      <c r="Q67" s="22" t="s">
        <v>79</v>
      </c>
      <c r="R67" s="22" t="s">
        <v>79</v>
      </c>
      <c r="S67" s="22" t="s">
        <v>80</v>
      </c>
      <c r="T67" s="22" t="s">
        <v>80</v>
      </c>
      <c r="U67" s="22" t="s">
        <v>80</v>
      </c>
      <c r="V67" s="22" t="s">
        <v>80</v>
      </c>
      <c r="W67" s="22" t="s">
        <v>80</v>
      </c>
      <c r="X67" s="22" t="s">
        <v>80</v>
      </c>
      <c r="Y67" s="22" t="s">
        <v>80</v>
      </c>
      <c r="Z67" s="22" t="s">
        <v>80</v>
      </c>
    </row>
    <row r="68" spans="1:26" x14ac:dyDescent="0.2">
      <c r="A68" s="331" t="s">
        <v>81</v>
      </c>
      <c r="B68" s="331" t="s">
        <v>27</v>
      </c>
      <c r="C68" s="331" t="s">
        <v>82</v>
      </c>
      <c r="D68" s="331" t="s">
        <v>84</v>
      </c>
      <c r="E68" s="331" t="s">
        <v>27</v>
      </c>
      <c r="F68" s="331" t="s">
        <v>85</v>
      </c>
      <c r="G68" s="331" t="s">
        <v>82</v>
      </c>
      <c r="H68" s="331" t="s">
        <v>83</v>
      </c>
      <c r="I68" s="331" t="s">
        <v>9</v>
      </c>
      <c r="J68" s="331" t="s">
        <v>86</v>
      </c>
      <c r="K68" s="331" t="s">
        <v>87</v>
      </c>
      <c r="L68" s="331" t="s">
        <v>88</v>
      </c>
      <c r="M68" s="22"/>
      <c r="N68" s="22" t="s">
        <v>81</v>
      </c>
      <c r="O68" s="22" t="s">
        <v>27</v>
      </c>
      <c r="P68" s="22" t="s">
        <v>82</v>
      </c>
      <c r="Q68" s="22" t="s">
        <v>83</v>
      </c>
      <c r="R68" s="22" t="s">
        <v>84</v>
      </c>
      <c r="S68" s="22" t="s">
        <v>27</v>
      </c>
      <c r="T68" s="22" t="s">
        <v>85</v>
      </c>
      <c r="U68" s="22" t="s">
        <v>82</v>
      </c>
      <c r="V68" s="22" t="s">
        <v>83</v>
      </c>
      <c r="W68" s="22" t="s">
        <v>9</v>
      </c>
      <c r="X68" s="22" t="s">
        <v>86</v>
      </c>
      <c r="Y68" s="22" t="s">
        <v>87</v>
      </c>
      <c r="Z68" s="22" t="s">
        <v>88</v>
      </c>
    </row>
    <row r="69" spans="1:26" x14ac:dyDescent="0.2">
      <c r="A69" s="331"/>
      <c r="B69" s="331" t="s">
        <v>89</v>
      </c>
      <c r="C69" s="331" t="s">
        <v>89</v>
      </c>
      <c r="D69" s="331" t="s">
        <v>89</v>
      </c>
      <c r="E69" s="331" t="s">
        <v>94</v>
      </c>
      <c r="F69" s="331" t="s">
        <v>94</v>
      </c>
      <c r="G69" s="331" t="s">
        <v>94</v>
      </c>
      <c r="H69" s="331" t="s">
        <v>94</v>
      </c>
      <c r="I69" s="331" t="s">
        <v>90</v>
      </c>
      <c r="J69" s="331" t="s">
        <v>94</v>
      </c>
      <c r="K69" s="331" t="s">
        <v>91</v>
      </c>
      <c r="L69" s="331" t="s">
        <v>90</v>
      </c>
      <c r="M69" s="22"/>
      <c r="N69" s="22"/>
      <c r="O69" s="22" t="s">
        <v>89</v>
      </c>
      <c r="P69" s="22" t="s">
        <v>89</v>
      </c>
      <c r="Q69" s="22" t="s">
        <v>89</v>
      </c>
      <c r="R69" s="22" t="s">
        <v>89</v>
      </c>
      <c r="S69" s="22" t="s">
        <v>94</v>
      </c>
      <c r="T69" s="22" t="s">
        <v>94</v>
      </c>
      <c r="U69" s="22" t="s">
        <v>94</v>
      </c>
      <c r="V69" s="22" t="s">
        <v>94</v>
      </c>
      <c r="W69" s="22" t="s">
        <v>90</v>
      </c>
      <c r="X69" s="22" t="s">
        <v>94</v>
      </c>
      <c r="Y69" s="22" t="s">
        <v>91</v>
      </c>
      <c r="Z69" s="22" t="s">
        <v>90</v>
      </c>
    </row>
    <row r="70" spans="1:26" x14ac:dyDescent="0.2">
      <c r="A70" s="331" t="s">
        <v>7</v>
      </c>
      <c r="B70" s="331">
        <v>1.6500000000000001E-5</v>
      </c>
      <c r="C70" s="331">
        <v>0</v>
      </c>
      <c r="D70" s="331">
        <v>2</v>
      </c>
      <c r="E70" s="331">
        <v>32</v>
      </c>
      <c r="F70" s="331">
        <v>82</v>
      </c>
      <c r="G70" s="331">
        <v>0</v>
      </c>
      <c r="H70" s="331">
        <v>0</v>
      </c>
      <c r="I70" s="331">
        <v>57.2334757</v>
      </c>
      <c r="J70" s="331">
        <v>0</v>
      </c>
      <c r="K70" s="331">
        <v>1.6413613</v>
      </c>
      <c r="L70" s="331">
        <v>2.5397535000000002</v>
      </c>
      <c r="M70" s="22"/>
      <c r="N70" s="22" t="s">
        <v>7</v>
      </c>
      <c r="O70" s="22">
        <v>1E-4</v>
      </c>
      <c r="P70" s="22">
        <v>0</v>
      </c>
      <c r="Q70" s="22">
        <v>1.1000000000000001E-3</v>
      </c>
      <c r="R70" s="22">
        <v>2</v>
      </c>
      <c r="S70" s="22">
        <v>197</v>
      </c>
      <c r="T70" s="88">
        <v>499</v>
      </c>
      <c r="U70" s="22">
        <v>0</v>
      </c>
      <c r="V70" s="22">
        <v>0</v>
      </c>
      <c r="W70" s="22">
        <v>62.311489999999999</v>
      </c>
      <c r="X70" s="22">
        <v>0</v>
      </c>
      <c r="Y70" s="22">
        <v>2.1798299999999999</v>
      </c>
      <c r="Z70" s="22">
        <v>2.53959</v>
      </c>
    </row>
    <row r="71" spans="1:26" x14ac:dyDescent="0.2">
      <c r="A71" s="331" t="s">
        <v>11</v>
      </c>
      <c r="B71" s="331">
        <v>1.6500000000000001E-5</v>
      </c>
      <c r="C71" s="331">
        <v>0</v>
      </c>
      <c r="D71" s="331">
        <v>1.9</v>
      </c>
      <c r="E71" s="331">
        <v>69</v>
      </c>
      <c r="F71" s="331">
        <v>689</v>
      </c>
      <c r="G71" s="331">
        <v>0</v>
      </c>
      <c r="H71" s="331">
        <v>0</v>
      </c>
      <c r="I71" s="331">
        <v>50.264189100000003</v>
      </c>
      <c r="J71" s="331">
        <v>0</v>
      </c>
      <c r="K71" s="331">
        <v>2.0359501999999998</v>
      </c>
      <c r="L71" s="331">
        <v>10.0233524</v>
      </c>
      <c r="M71" s="22"/>
      <c r="N71" s="22" t="s">
        <v>11</v>
      </c>
      <c r="O71" s="22">
        <v>1E-4</v>
      </c>
      <c r="P71" s="22">
        <v>0</v>
      </c>
      <c r="Q71" s="22">
        <v>1.1000000000000001E-3</v>
      </c>
      <c r="R71" s="22">
        <v>1.9</v>
      </c>
      <c r="S71" s="22">
        <v>418</v>
      </c>
      <c r="T71" s="88">
        <v>4170</v>
      </c>
      <c r="U71" s="22">
        <v>0</v>
      </c>
      <c r="V71" s="22">
        <v>3</v>
      </c>
      <c r="W71" s="22">
        <v>55.518650000000001</v>
      </c>
      <c r="X71" s="22">
        <v>3</v>
      </c>
      <c r="Y71" s="22">
        <v>2.4429699999999999</v>
      </c>
      <c r="Z71" s="22">
        <v>10.02267</v>
      </c>
    </row>
    <row r="72" spans="1:26" x14ac:dyDescent="0.2">
      <c r="A72" s="331" t="s">
        <v>12</v>
      </c>
      <c r="B72" s="331">
        <v>1.6500000000000001E-5</v>
      </c>
      <c r="C72" s="331">
        <v>0</v>
      </c>
      <c r="D72" s="331">
        <v>3.1640470000000001</v>
      </c>
      <c r="E72" s="331">
        <v>114</v>
      </c>
      <c r="F72" s="331">
        <v>2629</v>
      </c>
      <c r="G72" s="331">
        <v>0</v>
      </c>
      <c r="H72" s="331">
        <v>10</v>
      </c>
      <c r="I72" s="331">
        <v>39.815991599999997</v>
      </c>
      <c r="J72" s="331">
        <v>10</v>
      </c>
      <c r="K72" s="331">
        <v>3.0837024999999998</v>
      </c>
      <c r="L72" s="331">
        <v>22.0791659</v>
      </c>
      <c r="M72" s="22"/>
      <c r="N72" s="22" t="s">
        <v>12</v>
      </c>
      <c r="O72" s="22">
        <v>1E-4</v>
      </c>
      <c r="P72" s="22">
        <v>0</v>
      </c>
      <c r="Q72" s="22">
        <v>1.1000000000000001E-3</v>
      </c>
      <c r="R72" s="22">
        <v>3.1640000000000001</v>
      </c>
      <c r="S72" s="22">
        <v>689</v>
      </c>
      <c r="T72" s="88">
        <v>16107</v>
      </c>
      <c r="U72" s="22">
        <v>0</v>
      </c>
      <c r="V72" s="22">
        <v>22</v>
      </c>
      <c r="W72" s="22">
        <v>44.776649999999997</v>
      </c>
      <c r="X72" s="22">
        <v>22</v>
      </c>
      <c r="Y72" s="22">
        <v>1.72183</v>
      </c>
      <c r="Z72" s="22">
        <v>22.077760000000001</v>
      </c>
    </row>
    <row r="73" spans="1:26" x14ac:dyDescent="0.2">
      <c r="A73" s="331" t="s">
        <v>13</v>
      </c>
      <c r="B73" s="331">
        <v>0</v>
      </c>
      <c r="C73" s="331">
        <v>0</v>
      </c>
      <c r="D73" s="331">
        <v>3.7</v>
      </c>
      <c r="E73" s="331">
        <v>11</v>
      </c>
      <c r="F73" s="331">
        <v>3530</v>
      </c>
      <c r="G73" s="331">
        <v>0</v>
      </c>
      <c r="H73" s="331">
        <v>36</v>
      </c>
      <c r="I73" s="331">
        <v>32.651477</v>
      </c>
      <c r="J73" s="331">
        <v>36</v>
      </c>
      <c r="K73" s="331">
        <v>3.4396499999999999</v>
      </c>
      <c r="L73" s="331">
        <v>31.754745400000001</v>
      </c>
      <c r="M73" s="22"/>
      <c r="N73" s="22" t="s">
        <v>13</v>
      </c>
      <c r="O73" s="22">
        <v>0</v>
      </c>
      <c r="P73" s="22">
        <v>0</v>
      </c>
      <c r="Q73" s="22">
        <v>4.1000000000000003E-3</v>
      </c>
      <c r="R73" s="22">
        <v>3.7</v>
      </c>
      <c r="S73" s="22">
        <v>69</v>
      </c>
      <c r="T73" s="88">
        <v>22800</v>
      </c>
      <c r="U73" s="22">
        <v>0</v>
      </c>
      <c r="V73" s="22">
        <v>97</v>
      </c>
      <c r="W73" s="22">
        <v>36.688789999999997</v>
      </c>
      <c r="X73" s="22">
        <v>97</v>
      </c>
      <c r="Y73" s="22">
        <v>2.0422400000000001</v>
      </c>
      <c r="Z73" s="22">
        <v>31.756609999999998</v>
      </c>
    </row>
    <row r="74" spans="1:26" x14ac:dyDescent="0.2">
      <c r="A74" s="331" t="s">
        <v>14</v>
      </c>
      <c r="B74" s="331">
        <v>0</v>
      </c>
      <c r="C74" s="331">
        <v>0</v>
      </c>
      <c r="D74" s="331">
        <v>2.6</v>
      </c>
      <c r="E74" s="331">
        <v>0</v>
      </c>
      <c r="F74" s="331">
        <v>2459</v>
      </c>
      <c r="G74" s="331">
        <v>0</v>
      </c>
      <c r="H74" s="331">
        <v>36</v>
      </c>
      <c r="I74" s="331">
        <v>22.307461499999999</v>
      </c>
      <c r="J74" s="331">
        <v>36</v>
      </c>
      <c r="K74" s="331">
        <v>2.6046231999999998</v>
      </c>
      <c r="L74" s="331">
        <v>50.380194600000003</v>
      </c>
      <c r="M74" s="22"/>
      <c r="N74" s="22" t="s">
        <v>14</v>
      </c>
      <c r="O74" s="22">
        <v>0</v>
      </c>
      <c r="P74" s="22">
        <v>0</v>
      </c>
      <c r="Q74" s="22">
        <v>4.1000000000000003E-3</v>
      </c>
      <c r="R74" s="22">
        <v>2.6</v>
      </c>
      <c r="S74" s="22">
        <v>0</v>
      </c>
      <c r="T74" s="88">
        <v>17844</v>
      </c>
      <c r="U74" s="22">
        <v>0</v>
      </c>
      <c r="V74" s="22">
        <v>83</v>
      </c>
      <c r="W74" s="22">
        <v>20.325420000000001</v>
      </c>
      <c r="X74" s="22">
        <v>83</v>
      </c>
      <c r="Y74" s="22">
        <v>1.5094799999999999</v>
      </c>
      <c r="Z74" s="22">
        <v>54.725009999999997</v>
      </c>
    </row>
    <row r="75" spans="1:26" x14ac:dyDescent="0.2">
      <c r="A75" s="331" t="s">
        <v>15</v>
      </c>
      <c r="B75" s="331">
        <v>0</v>
      </c>
      <c r="C75" s="331">
        <v>0</v>
      </c>
      <c r="D75" s="331">
        <v>1.5</v>
      </c>
      <c r="E75" s="331">
        <v>0</v>
      </c>
      <c r="F75" s="331">
        <v>730</v>
      </c>
      <c r="G75" s="331">
        <v>0</v>
      </c>
      <c r="H75" s="331">
        <v>9</v>
      </c>
      <c r="I75" s="331">
        <v>14.7862112</v>
      </c>
      <c r="J75" s="331">
        <v>9</v>
      </c>
      <c r="K75" s="331">
        <v>1.6395801999999999</v>
      </c>
      <c r="L75" s="331">
        <v>66.226386000000005</v>
      </c>
      <c r="M75" s="22"/>
      <c r="N75" s="22" t="s">
        <v>15</v>
      </c>
      <c r="O75" s="22">
        <v>0</v>
      </c>
      <c r="P75" s="22">
        <v>0</v>
      </c>
      <c r="Q75" s="22">
        <v>1.0800000000000001E-2</v>
      </c>
      <c r="R75" s="22">
        <v>1.5</v>
      </c>
      <c r="S75" s="22">
        <v>0</v>
      </c>
      <c r="T75" s="88">
        <v>5876</v>
      </c>
      <c r="U75" s="22">
        <v>0</v>
      </c>
      <c r="V75" s="22">
        <v>60</v>
      </c>
      <c r="W75" s="22">
        <v>13.318849999999999</v>
      </c>
      <c r="X75" s="22">
        <v>60</v>
      </c>
      <c r="Y75" s="22">
        <v>1.51444</v>
      </c>
      <c r="Z75" s="22">
        <v>65.867149999999995</v>
      </c>
    </row>
    <row r="76" spans="1:26" x14ac:dyDescent="0.2">
      <c r="A76" s="331" t="s">
        <v>16</v>
      </c>
      <c r="B76" s="331">
        <v>0</v>
      </c>
      <c r="C76" s="331">
        <v>0</v>
      </c>
      <c r="D76" s="331">
        <v>1.5</v>
      </c>
      <c r="E76" s="331">
        <v>0</v>
      </c>
      <c r="F76" s="331">
        <v>316</v>
      </c>
      <c r="G76" s="331">
        <v>0</v>
      </c>
      <c r="H76" s="331">
        <v>5</v>
      </c>
      <c r="I76" s="331">
        <v>11.131687899999999</v>
      </c>
      <c r="J76" s="331">
        <v>5</v>
      </c>
      <c r="K76" s="331">
        <v>1.4062382</v>
      </c>
      <c r="L76" s="331">
        <v>75.638239499999997</v>
      </c>
      <c r="M76" s="22"/>
      <c r="N76" s="22" t="s">
        <v>16</v>
      </c>
      <c r="O76" s="22">
        <v>0</v>
      </c>
      <c r="P76" s="22">
        <v>0</v>
      </c>
      <c r="Q76" s="22">
        <v>2.8199999999999999E-2</v>
      </c>
      <c r="R76" s="22">
        <v>1.5</v>
      </c>
      <c r="S76" s="22">
        <v>0</v>
      </c>
      <c r="T76" s="88">
        <v>2511</v>
      </c>
      <c r="U76" s="22">
        <v>0</v>
      </c>
      <c r="V76" s="22">
        <v>58</v>
      </c>
      <c r="W76" s="22">
        <v>9.6065199999999997</v>
      </c>
      <c r="X76" s="22">
        <v>58</v>
      </c>
      <c r="Y76" s="22">
        <v>1.5207200000000001</v>
      </c>
      <c r="Z76" s="22">
        <v>73.202219999999997</v>
      </c>
    </row>
    <row r="77" spans="1:26" x14ac:dyDescent="0.2">
      <c r="A77" s="331" t="s">
        <v>17</v>
      </c>
      <c r="B77" s="331">
        <v>0</v>
      </c>
      <c r="C77" s="331">
        <v>0</v>
      </c>
      <c r="D77" s="331">
        <v>1</v>
      </c>
      <c r="E77" s="331">
        <v>0</v>
      </c>
      <c r="F77" s="331">
        <v>121</v>
      </c>
      <c r="G77" s="331">
        <v>0</v>
      </c>
      <c r="H77" s="331">
        <v>1</v>
      </c>
      <c r="I77" s="331">
        <v>9.6427203000000006</v>
      </c>
      <c r="J77" s="331">
        <v>1</v>
      </c>
      <c r="K77" s="331">
        <v>1.100949</v>
      </c>
      <c r="L77" s="331">
        <v>82.575108599999993</v>
      </c>
      <c r="M77" s="22"/>
      <c r="N77" s="22" t="s">
        <v>17</v>
      </c>
      <c r="O77" s="22">
        <v>0</v>
      </c>
      <c r="P77" s="22">
        <v>0</v>
      </c>
      <c r="Q77" s="22">
        <v>4.7199999999999999E-2</v>
      </c>
      <c r="R77" s="22">
        <v>1</v>
      </c>
      <c r="S77" s="22">
        <v>0</v>
      </c>
      <c r="T77" s="88">
        <v>752</v>
      </c>
      <c r="U77" s="22">
        <v>0</v>
      </c>
      <c r="V77" s="22">
        <v>27</v>
      </c>
      <c r="W77" s="22">
        <v>5.87967</v>
      </c>
      <c r="X77" s="22">
        <v>27</v>
      </c>
      <c r="Y77" s="22">
        <v>1.36253</v>
      </c>
      <c r="Z77" s="22">
        <v>85.387839999999997</v>
      </c>
    </row>
    <row r="78" spans="1:26" x14ac:dyDescent="0.2">
      <c r="A78" s="331" t="s">
        <v>92</v>
      </c>
      <c r="B78" s="331" t="s">
        <v>93</v>
      </c>
      <c r="C78" s="331" t="s">
        <v>93</v>
      </c>
      <c r="D78" s="331" t="s">
        <v>93</v>
      </c>
      <c r="E78" s="331">
        <v>227</v>
      </c>
      <c r="F78" s="331">
        <v>10557</v>
      </c>
      <c r="G78" s="331">
        <v>0</v>
      </c>
      <c r="H78" s="331">
        <v>98</v>
      </c>
      <c r="I78" s="331">
        <v>45.120618399999998</v>
      </c>
      <c r="J78" s="331">
        <v>98</v>
      </c>
      <c r="K78" s="331">
        <v>2.7984363000000001</v>
      </c>
      <c r="L78" s="331">
        <v>16.108609900000001</v>
      </c>
      <c r="M78" s="22"/>
      <c r="N78" s="22" t="s">
        <v>92</v>
      </c>
      <c r="O78" s="22" t="s">
        <v>93</v>
      </c>
      <c r="P78" s="22" t="s">
        <v>93</v>
      </c>
      <c r="Q78" s="22" t="s">
        <v>93</v>
      </c>
      <c r="R78" s="22" t="s">
        <v>93</v>
      </c>
      <c r="S78" s="22">
        <v>1373</v>
      </c>
      <c r="T78" s="88">
        <v>70559</v>
      </c>
      <c r="U78" s="22">
        <v>0</v>
      </c>
      <c r="V78" s="22">
        <v>351</v>
      </c>
      <c r="W78" s="22">
        <v>50.140389999999996</v>
      </c>
      <c r="X78" s="22">
        <v>351</v>
      </c>
      <c r="Y78" s="22">
        <v>1.6708799999999999</v>
      </c>
      <c r="Z78" s="22">
        <v>16.102589999999999</v>
      </c>
    </row>
    <row r="79" spans="1:26" x14ac:dyDescent="0.2">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row>
    <row r="80" spans="1:26" x14ac:dyDescent="0.2">
      <c r="A80" s="331" t="s">
        <v>289</v>
      </c>
      <c r="B80" s="331"/>
      <c r="C80" s="331"/>
      <c r="D80" s="331"/>
      <c r="E80" s="331"/>
      <c r="F80" s="331"/>
      <c r="G80" s="331"/>
      <c r="H80" s="331"/>
      <c r="I80" s="331"/>
      <c r="J80" s="331"/>
      <c r="K80" s="331"/>
      <c r="L80" s="331"/>
      <c r="M80" s="22"/>
      <c r="N80" s="23" t="s">
        <v>78</v>
      </c>
      <c r="O80" s="22"/>
      <c r="P80" s="22"/>
      <c r="Q80" s="22"/>
      <c r="R80" s="22"/>
      <c r="S80" s="22"/>
      <c r="T80" s="22"/>
      <c r="U80" s="22"/>
      <c r="V80" s="22"/>
      <c r="W80" s="22"/>
      <c r="X80" s="22"/>
      <c r="Y80" s="22"/>
      <c r="Z80" s="22"/>
    </row>
    <row r="81" spans="1:26" x14ac:dyDescent="0.2">
      <c r="A81" s="331"/>
      <c r="B81" s="331" t="s">
        <v>35</v>
      </c>
      <c r="C81" s="331"/>
      <c r="D81" s="331"/>
      <c r="E81" s="331"/>
      <c r="F81" s="331"/>
      <c r="G81" s="331"/>
      <c r="H81" s="331"/>
      <c r="I81" s="331"/>
      <c r="J81" s="331"/>
      <c r="K81" s="331"/>
      <c r="L81" s="331"/>
      <c r="M81" s="22"/>
      <c r="N81" s="22"/>
      <c r="O81" s="23" t="s">
        <v>35</v>
      </c>
      <c r="P81" s="22"/>
      <c r="Q81" s="22"/>
      <c r="R81" s="22"/>
      <c r="S81" s="22"/>
      <c r="T81" s="22"/>
      <c r="U81" s="22"/>
      <c r="V81" s="22"/>
      <c r="W81" s="22"/>
      <c r="X81" s="22"/>
      <c r="Y81" s="22"/>
      <c r="Z81" s="22"/>
    </row>
    <row r="82" spans="1:26" x14ac:dyDescent="0.2">
      <c r="A82" s="331"/>
      <c r="B82" s="331" t="s">
        <v>79</v>
      </c>
      <c r="C82" s="331" t="s">
        <v>79</v>
      </c>
      <c r="D82" s="331" t="s">
        <v>79</v>
      </c>
      <c r="E82" s="331" t="s">
        <v>80</v>
      </c>
      <c r="F82" s="331" t="s">
        <v>80</v>
      </c>
      <c r="G82" s="331" t="s">
        <v>80</v>
      </c>
      <c r="H82" s="331" t="s">
        <v>80</v>
      </c>
      <c r="I82" s="331" t="s">
        <v>80</v>
      </c>
      <c r="J82" s="331" t="s">
        <v>80</v>
      </c>
      <c r="K82" s="331" t="s">
        <v>80</v>
      </c>
      <c r="L82" s="331" t="s">
        <v>80</v>
      </c>
      <c r="M82" s="22"/>
      <c r="N82" s="22"/>
      <c r="O82" s="22" t="s">
        <v>79</v>
      </c>
      <c r="P82" s="22" t="s">
        <v>79</v>
      </c>
      <c r="Q82" s="22" t="s">
        <v>79</v>
      </c>
      <c r="R82" s="22" t="s">
        <v>79</v>
      </c>
      <c r="S82" s="22" t="s">
        <v>80</v>
      </c>
      <c r="T82" s="22" t="s">
        <v>80</v>
      </c>
      <c r="U82" s="22" t="s">
        <v>80</v>
      </c>
      <c r="V82" s="22" t="s">
        <v>80</v>
      </c>
      <c r="W82" s="22" t="s">
        <v>80</v>
      </c>
      <c r="X82" s="22" t="s">
        <v>80</v>
      </c>
      <c r="Y82" s="22" t="s">
        <v>80</v>
      </c>
      <c r="Z82" s="22" t="s">
        <v>80</v>
      </c>
    </row>
    <row r="83" spans="1:26" x14ac:dyDescent="0.2">
      <c r="A83" s="331" t="s">
        <v>81</v>
      </c>
      <c r="B83" s="331" t="s">
        <v>27</v>
      </c>
      <c r="C83" s="331" t="s">
        <v>82</v>
      </c>
      <c r="D83" s="331" t="s">
        <v>84</v>
      </c>
      <c r="E83" s="331" t="s">
        <v>27</v>
      </c>
      <c r="F83" s="331" t="s">
        <v>85</v>
      </c>
      <c r="G83" s="331" t="s">
        <v>82</v>
      </c>
      <c r="H83" s="331" t="s">
        <v>83</v>
      </c>
      <c r="I83" s="331" t="s">
        <v>9</v>
      </c>
      <c r="J83" s="331" t="s">
        <v>86</v>
      </c>
      <c r="K83" s="331" t="s">
        <v>87</v>
      </c>
      <c r="L83" s="331" t="s">
        <v>88</v>
      </c>
      <c r="M83" s="22"/>
      <c r="N83" s="22" t="s">
        <v>81</v>
      </c>
      <c r="O83" s="22" t="s">
        <v>27</v>
      </c>
      <c r="P83" s="22" t="s">
        <v>82</v>
      </c>
      <c r="Q83" s="22" t="s">
        <v>83</v>
      </c>
      <c r="R83" s="22" t="s">
        <v>84</v>
      </c>
      <c r="S83" s="22" t="s">
        <v>27</v>
      </c>
      <c r="T83" s="22" t="s">
        <v>85</v>
      </c>
      <c r="U83" s="22" t="s">
        <v>82</v>
      </c>
      <c r="V83" s="22" t="s">
        <v>83</v>
      </c>
      <c r="W83" s="22" t="s">
        <v>9</v>
      </c>
      <c r="X83" s="22" t="s">
        <v>86</v>
      </c>
      <c r="Y83" s="22" t="s">
        <v>87</v>
      </c>
      <c r="Z83" s="22" t="s">
        <v>88</v>
      </c>
    </row>
    <row r="84" spans="1:26" x14ac:dyDescent="0.2">
      <c r="A84" s="331"/>
      <c r="B84" s="331" t="s">
        <v>89</v>
      </c>
      <c r="C84" s="331" t="s">
        <v>89</v>
      </c>
      <c r="D84" s="331" t="s">
        <v>89</v>
      </c>
      <c r="E84" s="331" t="s">
        <v>89</v>
      </c>
      <c r="F84" s="331" t="s">
        <v>89</v>
      </c>
      <c r="G84" s="331" t="s">
        <v>89</v>
      </c>
      <c r="H84" s="331" t="s">
        <v>89</v>
      </c>
      <c r="I84" s="331" t="s">
        <v>90</v>
      </c>
      <c r="J84" s="331" t="s">
        <v>89</v>
      </c>
      <c r="K84" s="331" t="s">
        <v>91</v>
      </c>
      <c r="L84" s="331" t="s">
        <v>90</v>
      </c>
      <c r="M84" s="22"/>
      <c r="N84" s="22"/>
      <c r="O84" s="22" t="s">
        <v>89</v>
      </c>
      <c r="P84" s="22" t="s">
        <v>89</v>
      </c>
      <c r="Q84" s="22" t="s">
        <v>89</v>
      </c>
      <c r="R84" s="22" t="s">
        <v>89</v>
      </c>
      <c r="S84" s="22" t="s">
        <v>89</v>
      </c>
      <c r="T84" s="22" t="s">
        <v>89</v>
      </c>
      <c r="U84" s="22" t="s">
        <v>89</v>
      </c>
      <c r="V84" s="22" t="s">
        <v>89</v>
      </c>
      <c r="W84" s="22" t="s">
        <v>90</v>
      </c>
      <c r="X84" s="22" t="s">
        <v>89</v>
      </c>
      <c r="Y84" s="22" t="s">
        <v>91</v>
      </c>
      <c r="Z84" s="22" t="s">
        <v>90</v>
      </c>
    </row>
    <row r="85" spans="1:26" x14ac:dyDescent="0.2">
      <c r="A85" s="331" t="s">
        <v>7</v>
      </c>
      <c r="B85" s="331">
        <v>1.6500000000000001E-5</v>
      </c>
      <c r="C85" s="331">
        <v>0</v>
      </c>
      <c r="D85" s="331">
        <v>2</v>
      </c>
      <c r="E85" s="331">
        <v>1.6500000000000001E-5</v>
      </c>
      <c r="F85" s="331">
        <v>4.1900000000000002E-5</v>
      </c>
      <c r="G85" s="331">
        <v>0</v>
      </c>
      <c r="H85" s="331">
        <v>2.7619999999999999E-4</v>
      </c>
      <c r="I85" s="331">
        <v>69.364647599999998</v>
      </c>
      <c r="J85" s="331">
        <v>0</v>
      </c>
      <c r="K85" s="331">
        <v>1.6331926999999999</v>
      </c>
      <c r="L85" s="331">
        <v>2.5403107</v>
      </c>
      <c r="M85" s="22"/>
      <c r="N85" s="22" t="s">
        <v>7</v>
      </c>
      <c r="O85" s="22">
        <v>1E-4</v>
      </c>
      <c r="P85" s="22">
        <v>0</v>
      </c>
      <c r="Q85" s="22">
        <v>1.1000000000000001E-3</v>
      </c>
      <c r="R85" s="22">
        <v>3.1</v>
      </c>
      <c r="S85" s="88">
        <v>1E-4</v>
      </c>
      <c r="T85" s="22">
        <v>2.5000000000000001E-4</v>
      </c>
      <c r="U85" s="22">
        <v>0</v>
      </c>
      <c r="V85" s="22">
        <v>8.7000000000000001E-4</v>
      </c>
      <c r="W85" s="88">
        <v>67.034170000000003</v>
      </c>
      <c r="X85" s="22">
        <v>0</v>
      </c>
      <c r="Y85" s="22">
        <v>2.9935999999999998</v>
      </c>
      <c r="Z85" s="88">
        <v>2.5401500000000001</v>
      </c>
    </row>
    <row r="86" spans="1:26" x14ac:dyDescent="0.2">
      <c r="A86" s="331" t="s">
        <v>11</v>
      </c>
      <c r="B86" s="331">
        <v>1.6500000000000001E-5</v>
      </c>
      <c r="C86" s="331">
        <v>0</v>
      </c>
      <c r="D86" s="331">
        <v>1.9</v>
      </c>
      <c r="E86" s="331">
        <v>1.6500000000000001E-5</v>
      </c>
      <c r="F86" s="331">
        <v>1.651E-4</v>
      </c>
      <c r="G86" s="331">
        <v>0</v>
      </c>
      <c r="H86" s="331">
        <v>3.6969999999999999E-4</v>
      </c>
      <c r="I86" s="331">
        <v>62.355401100000002</v>
      </c>
      <c r="J86" s="331">
        <v>9.9999999999999995E-8</v>
      </c>
      <c r="K86" s="331">
        <v>2.0385521999999998</v>
      </c>
      <c r="L86" s="331">
        <v>10.0264579</v>
      </c>
      <c r="M86" s="22"/>
      <c r="N86" s="22" t="s">
        <v>11</v>
      </c>
      <c r="O86" s="22">
        <v>1E-4</v>
      </c>
      <c r="P86" s="22">
        <v>0</v>
      </c>
      <c r="Q86" s="22">
        <v>1.1000000000000001E-3</v>
      </c>
      <c r="R86" s="22">
        <v>3.1</v>
      </c>
      <c r="S86" s="88">
        <v>1E-4</v>
      </c>
      <c r="T86" s="22">
        <v>1E-3</v>
      </c>
      <c r="U86" s="22">
        <v>0</v>
      </c>
      <c r="V86" s="22">
        <v>9.6000000000000002E-4</v>
      </c>
      <c r="W86" s="88">
        <v>60.29074</v>
      </c>
      <c r="X86" s="22">
        <v>0</v>
      </c>
      <c r="Y86" s="22">
        <v>3.66994</v>
      </c>
      <c r="Z86" s="88">
        <v>10.025779999999999</v>
      </c>
    </row>
    <row r="87" spans="1:26" x14ac:dyDescent="0.2">
      <c r="A87" s="331" t="s">
        <v>12</v>
      </c>
      <c r="B87" s="331">
        <v>1.6500000000000001E-5</v>
      </c>
      <c r="C87" s="331">
        <v>0</v>
      </c>
      <c r="D87" s="331">
        <v>3.1640470000000001</v>
      </c>
      <c r="E87" s="331">
        <v>1.56E-5</v>
      </c>
      <c r="F87" s="331">
        <v>3.6610000000000001E-4</v>
      </c>
      <c r="G87" s="331">
        <v>0</v>
      </c>
      <c r="H87" s="331">
        <v>1.3611000000000001E-3</v>
      </c>
      <c r="I87" s="331">
        <v>51.082296700000001</v>
      </c>
      <c r="J87" s="331">
        <v>4.9999999999999998E-7</v>
      </c>
      <c r="K87" s="331">
        <v>3.1161439</v>
      </c>
      <c r="L87" s="331">
        <v>22.126579100000001</v>
      </c>
      <c r="M87" s="22"/>
      <c r="N87" s="22" t="s">
        <v>12</v>
      </c>
      <c r="O87" s="22">
        <v>1E-4</v>
      </c>
      <c r="P87" s="22">
        <v>0</v>
      </c>
      <c r="Q87" s="22">
        <v>1.1000000000000001E-3</v>
      </c>
      <c r="R87" s="22">
        <v>5.5</v>
      </c>
      <c r="S87" s="88">
        <v>9.0000000000000006E-5</v>
      </c>
      <c r="T87" s="22">
        <v>2.2100000000000002E-3</v>
      </c>
      <c r="U87" s="22">
        <v>0</v>
      </c>
      <c r="V87" s="22">
        <v>1.3500000000000001E-3</v>
      </c>
      <c r="W87" s="88">
        <v>49.231870000000001</v>
      </c>
      <c r="X87" s="22">
        <v>0</v>
      </c>
      <c r="Y87" s="22">
        <v>3.04236</v>
      </c>
      <c r="Z87" s="88">
        <v>22.1252</v>
      </c>
    </row>
    <row r="88" spans="1:26" x14ac:dyDescent="0.2">
      <c r="A88" s="331" t="s">
        <v>13</v>
      </c>
      <c r="B88" s="331">
        <v>0</v>
      </c>
      <c r="C88" s="331">
        <v>0</v>
      </c>
      <c r="D88" s="331">
        <v>3.7</v>
      </c>
      <c r="E88" s="331">
        <v>1.5999999999999999E-6</v>
      </c>
      <c r="F88" s="331">
        <v>4.8119999999999999E-4</v>
      </c>
      <c r="G88" s="331">
        <v>1.9999999999999999E-7</v>
      </c>
      <c r="H88" s="331">
        <v>3.8944000000000001E-3</v>
      </c>
      <c r="I88" s="331">
        <v>41.898612</v>
      </c>
      <c r="J88" s="331">
        <v>1.9E-6</v>
      </c>
      <c r="K88" s="331">
        <v>3.4187476999999999</v>
      </c>
      <c r="L88" s="331">
        <v>32.571788499999997</v>
      </c>
      <c r="M88" s="22"/>
      <c r="N88" s="22" t="s">
        <v>13</v>
      </c>
      <c r="O88" s="22">
        <v>0</v>
      </c>
      <c r="P88" s="22">
        <v>0</v>
      </c>
      <c r="Q88" s="22">
        <v>2.8E-3</v>
      </c>
      <c r="R88" s="22">
        <v>5.633</v>
      </c>
      <c r="S88" s="88">
        <v>1.0000000000000001E-5</v>
      </c>
      <c r="T88" s="22">
        <v>2.9099999999999998E-3</v>
      </c>
      <c r="U88" s="22">
        <v>0</v>
      </c>
      <c r="V88" s="22">
        <v>3.1099999999999999E-3</v>
      </c>
      <c r="W88" s="88">
        <v>40.625219999999999</v>
      </c>
      <c r="X88" s="22">
        <v>1.0000000000000001E-5</v>
      </c>
      <c r="Y88" s="22">
        <v>2.9946600000000001</v>
      </c>
      <c r="Z88" s="88">
        <v>31.755289999999999</v>
      </c>
    </row>
    <row r="89" spans="1:26" x14ac:dyDescent="0.2">
      <c r="A89" s="331" t="s">
        <v>14</v>
      </c>
      <c r="B89" s="331">
        <v>0</v>
      </c>
      <c r="C89" s="331">
        <v>0</v>
      </c>
      <c r="D89" s="331">
        <v>2.6</v>
      </c>
      <c r="E89" s="331">
        <v>0</v>
      </c>
      <c r="F89" s="331">
        <v>4.4969999999999998E-4</v>
      </c>
      <c r="G89" s="331">
        <v>0</v>
      </c>
      <c r="H89" s="331">
        <v>6.8720999999999999E-3</v>
      </c>
      <c r="I89" s="331">
        <v>30.925864199999999</v>
      </c>
      <c r="J89" s="331">
        <v>3.1E-6</v>
      </c>
      <c r="K89" s="331">
        <v>2.5674731</v>
      </c>
      <c r="L89" s="331">
        <v>46.607429099999997</v>
      </c>
      <c r="M89" s="22"/>
      <c r="N89" s="22" t="s">
        <v>14</v>
      </c>
      <c r="O89" s="22">
        <v>0</v>
      </c>
      <c r="P89" s="22">
        <v>0</v>
      </c>
      <c r="Q89" s="22">
        <v>4.0000000000000001E-3</v>
      </c>
      <c r="R89" s="22">
        <v>3.5</v>
      </c>
      <c r="S89" s="88">
        <v>0</v>
      </c>
      <c r="T89" s="22">
        <v>2.7699999999999999E-3</v>
      </c>
      <c r="U89" s="22">
        <v>0</v>
      </c>
      <c r="V89" s="22">
        <v>4.6899999999999997E-3</v>
      </c>
      <c r="W89" s="88">
        <v>24.918209999999998</v>
      </c>
      <c r="X89" s="22">
        <v>1.0000000000000001E-5</v>
      </c>
      <c r="Y89" s="22">
        <v>2.0624099999999999</v>
      </c>
      <c r="Z89" s="88">
        <v>50.877839999999999</v>
      </c>
    </row>
    <row r="90" spans="1:26" x14ac:dyDescent="0.2">
      <c r="A90" s="331" t="s">
        <v>15</v>
      </c>
      <c r="B90" s="331">
        <v>0</v>
      </c>
      <c r="C90" s="331">
        <v>0</v>
      </c>
      <c r="D90" s="331">
        <v>1.5</v>
      </c>
      <c r="E90" s="331">
        <v>0</v>
      </c>
      <c r="F90" s="331">
        <v>4.0999999999999999E-4</v>
      </c>
      <c r="G90" s="331">
        <v>0</v>
      </c>
      <c r="H90" s="331">
        <v>6.8275999999999996E-3</v>
      </c>
      <c r="I90" s="331">
        <v>18.924311199999998</v>
      </c>
      <c r="J90" s="331">
        <v>2.7999999999999999E-6</v>
      </c>
      <c r="K90" s="331">
        <v>1.6095337000000001</v>
      </c>
      <c r="L90" s="331">
        <v>64.140541499999998</v>
      </c>
      <c r="M90" s="22"/>
      <c r="N90" s="22" t="s">
        <v>15</v>
      </c>
      <c r="O90" s="22">
        <v>0</v>
      </c>
      <c r="P90" s="22">
        <v>0</v>
      </c>
      <c r="Q90" s="22">
        <v>1.8100000000000002E-2</v>
      </c>
      <c r="R90" s="22">
        <v>2.2999999999999998</v>
      </c>
      <c r="S90" s="88">
        <v>0</v>
      </c>
      <c r="T90" s="22">
        <v>2.49E-3</v>
      </c>
      <c r="U90" s="22">
        <v>0</v>
      </c>
      <c r="V90" s="22">
        <v>1.567E-2</v>
      </c>
      <c r="W90" s="88">
        <v>14.72578</v>
      </c>
      <c r="X90" s="22">
        <v>4.0000000000000003E-5</v>
      </c>
      <c r="Y90" s="22">
        <v>2.34639</v>
      </c>
      <c r="Z90" s="88">
        <v>65.090350000000001</v>
      </c>
    </row>
    <row r="91" spans="1:26" x14ac:dyDescent="0.2">
      <c r="A91" s="331" t="s">
        <v>16</v>
      </c>
      <c r="B91" s="331">
        <v>0</v>
      </c>
      <c r="C91" s="331">
        <v>0</v>
      </c>
      <c r="D91" s="331">
        <v>1.5</v>
      </c>
      <c r="E91" s="331">
        <v>0</v>
      </c>
      <c r="F91" s="331">
        <v>3.7379999999999998E-4</v>
      </c>
      <c r="G91" s="331">
        <v>0</v>
      </c>
      <c r="H91" s="331">
        <v>1.1497500000000001E-2</v>
      </c>
      <c r="I91" s="331">
        <v>12.7368098</v>
      </c>
      <c r="J91" s="331">
        <v>4.3000000000000003E-6</v>
      </c>
      <c r="K91" s="331">
        <v>1.392188</v>
      </c>
      <c r="L91" s="331">
        <v>75.067469399999993</v>
      </c>
      <c r="M91" s="22"/>
      <c r="N91" s="22" t="s">
        <v>16</v>
      </c>
      <c r="O91" s="22">
        <v>0</v>
      </c>
      <c r="P91" s="22">
        <v>0</v>
      </c>
      <c r="Q91" s="22">
        <v>3.5400000000000001E-2</v>
      </c>
      <c r="R91" s="22">
        <v>2.2999999999999998</v>
      </c>
      <c r="S91" s="88">
        <v>0</v>
      </c>
      <c r="T91" s="22">
        <v>1.97E-3</v>
      </c>
      <c r="U91" s="22">
        <v>0</v>
      </c>
      <c r="V91" s="22">
        <v>3.0700000000000002E-2</v>
      </c>
      <c r="W91" s="88">
        <v>10.31091</v>
      </c>
      <c r="X91" s="22">
        <v>6.0000000000000002E-5</v>
      </c>
      <c r="Y91" s="22">
        <v>2.0103200000000001</v>
      </c>
      <c r="Z91" s="88">
        <v>74.056030000000007</v>
      </c>
    </row>
    <row r="92" spans="1:26" x14ac:dyDescent="0.2">
      <c r="A92" s="331" t="s">
        <v>17</v>
      </c>
      <c r="B92" s="331">
        <v>0</v>
      </c>
      <c r="C92" s="331">
        <v>0</v>
      </c>
      <c r="D92" s="331">
        <v>1</v>
      </c>
      <c r="E92" s="331">
        <v>0</v>
      </c>
      <c r="F92" s="331">
        <v>3.4319999999999999E-4</v>
      </c>
      <c r="G92" s="331">
        <v>0</v>
      </c>
      <c r="H92" s="331">
        <v>3.3822000000000001E-3</v>
      </c>
      <c r="I92" s="331">
        <v>9.9983436999999995</v>
      </c>
      <c r="J92" s="331">
        <v>1.1999999999999999E-6</v>
      </c>
      <c r="K92" s="331">
        <v>1.0973881000000001</v>
      </c>
      <c r="L92" s="331">
        <v>82.459403699999996</v>
      </c>
      <c r="M92" s="22"/>
      <c r="N92" s="22" t="s">
        <v>17</v>
      </c>
      <c r="O92" s="22">
        <v>0</v>
      </c>
      <c r="P92" s="22">
        <v>0</v>
      </c>
      <c r="Q92" s="22">
        <v>5.3199999999999997E-2</v>
      </c>
      <c r="R92" s="22">
        <v>1</v>
      </c>
      <c r="S92" s="88">
        <v>0</v>
      </c>
      <c r="T92" s="22">
        <v>1.2999999999999999E-3</v>
      </c>
      <c r="U92" s="22">
        <v>0</v>
      </c>
      <c r="V92" s="22">
        <v>3.712E-2</v>
      </c>
      <c r="W92" s="88">
        <v>6.7984600000000004</v>
      </c>
      <c r="X92" s="22">
        <v>5.0000000000000002E-5</v>
      </c>
      <c r="Y92" s="22">
        <v>1.4901199999999999</v>
      </c>
      <c r="Z92" s="88">
        <v>89.172989999999999</v>
      </c>
    </row>
    <row r="93" spans="1:26" x14ac:dyDescent="0.2">
      <c r="A93" s="331" t="s">
        <v>92</v>
      </c>
      <c r="B93" s="331" t="s">
        <v>93</v>
      </c>
      <c r="C93" s="331" t="s">
        <v>93</v>
      </c>
      <c r="D93" s="331" t="s">
        <v>93</v>
      </c>
      <c r="E93" s="331">
        <v>6.6000000000000003E-6</v>
      </c>
      <c r="F93" s="331">
        <v>3.7350000000000003E-4</v>
      </c>
      <c r="G93" s="331">
        <v>9.9999999999999995E-8</v>
      </c>
      <c r="H93" s="331">
        <v>4.5395000000000001E-3</v>
      </c>
      <c r="I93" s="331">
        <v>56.463304999999998</v>
      </c>
      <c r="J93" s="331">
        <v>1.7E-6</v>
      </c>
      <c r="K93" s="331">
        <v>2.5359525999999999</v>
      </c>
      <c r="L93" s="331">
        <v>16.390236000000002</v>
      </c>
      <c r="M93" s="22"/>
      <c r="N93" s="22" t="s">
        <v>92</v>
      </c>
      <c r="O93" s="22" t="s">
        <v>93</v>
      </c>
      <c r="P93" s="22" t="s">
        <v>93</v>
      </c>
      <c r="Q93" s="22" t="s">
        <v>93</v>
      </c>
      <c r="R93" s="22" t="s">
        <v>93</v>
      </c>
      <c r="S93" s="88">
        <v>4.0000000000000003E-5</v>
      </c>
      <c r="T93" s="22">
        <v>2.2399999999999998E-3</v>
      </c>
      <c r="U93" s="22">
        <v>0</v>
      </c>
      <c r="V93" s="22">
        <v>5.7800000000000004E-3</v>
      </c>
      <c r="W93" s="88">
        <v>54.610669999999999</v>
      </c>
      <c r="X93" s="22">
        <v>1.0000000000000001E-5</v>
      </c>
      <c r="Y93" s="22">
        <v>2.2928799999999998</v>
      </c>
      <c r="Z93" s="88">
        <v>16.230070000000001</v>
      </c>
    </row>
    <row r="94" spans="1:26" x14ac:dyDescent="0.2">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row>
    <row r="95" spans="1:26" x14ac:dyDescent="0.2">
      <c r="A95" s="331" t="s">
        <v>289</v>
      </c>
      <c r="B95" s="331"/>
      <c r="C95" s="331"/>
      <c r="D95" s="331"/>
      <c r="E95" s="331"/>
      <c r="F95" s="331"/>
      <c r="G95" s="331"/>
      <c r="H95" s="331"/>
      <c r="I95" s="331"/>
      <c r="J95" s="331"/>
      <c r="K95" s="331"/>
      <c r="L95" s="331"/>
      <c r="M95" s="22"/>
      <c r="N95" s="22" t="s">
        <v>78</v>
      </c>
      <c r="O95" s="22"/>
      <c r="P95" s="22"/>
      <c r="Q95" s="22"/>
      <c r="R95" s="22"/>
      <c r="S95" s="22"/>
      <c r="T95" s="22"/>
      <c r="U95" s="22"/>
      <c r="V95" s="22"/>
      <c r="W95" s="22"/>
      <c r="X95" s="22"/>
      <c r="Y95" s="22"/>
      <c r="Z95" s="22"/>
    </row>
    <row r="96" spans="1:26" x14ac:dyDescent="0.2">
      <c r="A96" s="331"/>
      <c r="B96" s="331" t="s">
        <v>35</v>
      </c>
      <c r="C96" s="331"/>
      <c r="D96" s="331"/>
      <c r="E96" s="331"/>
      <c r="F96" s="331"/>
      <c r="G96" s="331"/>
      <c r="H96" s="331"/>
      <c r="I96" s="331"/>
      <c r="J96" s="331"/>
      <c r="K96" s="331"/>
      <c r="L96" s="331"/>
      <c r="M96" s="22"/>
      <c r="N96" s="22"/>
      <c r="O96" s="22" t="s">
        <v>35</v>
      </c>
      <c r="P96" s="22"/>
      <c r="Q96" s="22"/>
      <c r="R96" s="22"/>
      <c r="S96" s="22"/>
      <c r="T96" s="22"/>
      <c r="U96" s="22"/>
      <c r="V96" s="22"/>
      <c r="W96" s="22"/>
      <c r="X96" s="22"/>
      <c r="Y96" s="22"/>
      <c r="Z96" s="22"/>
    </row>
    <row r="97" spans="1:26" x14ac:dyDescent="0.2">
      <c r="A97" s="331"/>
      <c r="B97" s="331" t="s">
        <v>79</v>
      </c>
      <c r="C97" s="331" t="s">
        <v>79</v>
      </c>
      <c r="D97" s="331" t="s">
        <v>79</v>
      </c>
      <c r="E97" s="331" t="s">
        <v>80</v>
      </c>
      <c r="F97" s="331" t="s">
        <v>80</v>
      </c>
      <c r="G97" s="331" t="s">
        <v>80</v>
      </c>
      <c r="H97" s="331" t="s">
        <v>80</v>
      </c>
      <c r="I97" s="331" t="s">
        <v>80</v>
      </c>
      <c r="J97" s="331" t="s">
        <v>80</v>
      </c>
      <c r="K97" s="331" t="s">
        <v>80</v>
      </c>
      <c r="L97" s="331" t="s">
        <v>80</v>
      </c>
      <c r="M97" s="22"/>
      <c r="N97" s="22"/>
      <c r="O97" s="22" t="s">
        <v>79</v>
      </c>
      <c r="P97" s="22" t="s">
        <v>79</v>
      </c>
      <c r="Q97" s="22" t="s">
        <v>79</v>
      </c>
      <c r="R97" s="22" t="s">
        <v>79</v>
      </c>
      <c r="S97" s="22" t="s">
        <v>80</v>
      </c>
      <c r="T97" s="22" t="s">
        <v>80</v>
      </c>
      <c r="U97" s="22" t="s">
        <v>80</v>
      </c>
      <c r="V97" s="22" t="s">
        <v>80</v>
      </c>
      <c r="W97" s="22" t="s">
        <v>80</v>
      </c>
      <c r="X97" s="22" t="s">
        <v>80</v>
      </c>
      <c r="Y97" s="22" t="s">
        <v>80</v>
      </c>
      <c r="Z97" s="22" t="s">
        <v>80</v>
      </c>
    </row>
    <row r="98" spans="1:26" x14ac:dyDescent="0.2">
      <c r="A98" s="331" t="s">
        <v>81</v>
      </c>
      <c r="B98" s="331" t="s">
        <v>27</v>
      </c>
      <c r="C98" s="331" t="s">
        <v>82</v>
      </c>
      <c r="D98" s="331" t="s">
        <v>84</v>
      </c>
      <c r="E98" s="331" t="s">
        <v>27</v>
      </c>
      <c r="F98" s="331" t="s">
        <v>85</v>
      </c>
      <c r="G98" s="331" t="s">
        <v>82</v>
      </c>
      <c r="H98" s="331" t="s">
        <v>83</v>
      </c>
      <c r="I98" s="331" t="s">
        <v>9</v>
      </c>
      <c r="J98" s="331" t="s">
        <v>86</v>
      </c>
      <c r="K98" s="331" t="s">
        <v>87</v>
      </c>
      <c r="L98" s="331" t="s">
        <v>88</v>
      </c>
      <c r="M98" s="22"/>
      <c r="N98" s="22" t="s">
        <v>81</v>
      </c>
      <c r="O98" s="22" t="s">
        <v>27</v>
      </c>
      <c r="P98" s="22" t="s">
        <v>82</v>
      </c>
      <c r="Q98" s="22" t="s">
        <v>83</v>
      </c>
      <c r="R98" s="22" t="s">
        <v>84</v>
      </c>
      <c r="S98" s="22" t="s">
        <v>27</v>
      </c>
      <c r="T98" s="22" t="s">
        <v>85</v>
      </c>
      <c r="U98" s="22" t="s">
        <v>82</v>
      </c>
      <c r="V98" s="22" t="s">
        <v>83</v>
      </c>
      <c r="W98" s="22" t="s">
        <v>9</v>
      </c>
      <c r="X98" s="22" t="s">
        <v>86</v>
      </c>
      <c r="Y98" s="22" t="s">
        <v>87</v>
      </c>
      <c r="Z98" s="22" t="s">
        <v>88</v>
      </c>
    </row>
    <row r="99" spans="1:26" x14ac:dyDescent="0.2">
      <c r="A99" s="331"/>
      <c r="B99" s="331" t="s">
        <v>89</v>
      </c>
      <c r="C99" s="331" t="s">
        <v>89</v>
      </c>
      <c r="D99" s="331" t="s">
        <v>89</v>
      </c>
      <c r="E99" s="331" t="s">
        <v>94</v>
      </c>
      <c r="F99" s="331" t="s">
        <v>94</v>
      </c>
      <c r="G99" s="331" t="s">
        <v>94</v>
      </c>
      <c r="H99" s="331" t="s">
        <v>94</v>
      </c>
      <c r="I99" s="331" t="s">
        <v>90</v>
      </c>
      <c r="J99" s="331" t="s">
        <v>94</v>
      </c>
      <c r="K99" s="331" t="s">
        <v>91</v>
      </c>
      <c r="L99" s="331" t="s">
        <v>90</v>
      </c>
      <c r="M99" s="22"/>
      <c r="N99" s="22"/>
      <c r="O99" s="22" t="s">
        <v>89</v>
      </c>
      <c r="P99" s="22" t="s">
        <v>89</v>
      </c>
      <c r="Q99" s="22" t="s">
        <v>89</v>
      </c>
      <c r="R99" s="22" t="s">
        <v>89</v>
      </c>
      <c r="S99" s="22" t="s">
        <v>94</v>
      </c>
      <c r="T99" s="22" t="s">
        <v>94</v>
      </c>
      <c r="U99" s="22" t="s">
        <v>94</v>
      </c>
      <c r="V99" s="22" t="s">
        <v>94</v>
      </c>
      <c r="W99" s="22" t="s">
        <v>90</v>
      </c>
      <c r="X99" s="22" t="s">
        <v>94</v>
      </c>
      <c r="Y99" s="22" t="s">
        <v>91</v>
      </c>
      <c r="Z99" s="22" t="s">
        <v>90</v>
      </c>
    </row>
    <row r="100" spans="1:26" x14ac:dyDescent="0.2">
      <c r="A100" s="331" t="s">
        <v>7</v>
      </c>
      <c r="B100" s="331">
        <v>1.6500000000000001E-5</v>
      </c>
      <c r="C100" s="331">
        <v>0</v>
      </c>
      <c r="D100" s="331">
        <v>2</v>
      </c>
      <c r="E100" s="331">
        <v>31</v>
      </c>
      <c r="F100" s="331">
        <v>77</v>
      </c>
      <c r="G100" s="331">
        <v>0</v>
      </c>
      <c r="H100" s="331">
        <v>0</v>
      </c>
      <c r="I100" s="331">
        <v>69.364647599999998</v>
      </c>
      <c r="J100" s="331">
        <v>0</v>
      </c>
      <c r="K100" s="331">
        <v>1.6331926999999999</v>
      </c>
      <c r="L100" s="331">
        <v>2.5403107</v>
      </c>
      <c r="M100" s="22"/>
      <c r="N100" s="22" t="s">
        <v>7</v>
      </c>
      <c r="O100" s="22">
        <v>1E-4</v>
      </c>
      <c r="P100" s="22">
        <v>0</v>
      </c>
      <c r="Q100" s="22">
        <v>1.1000000000000001E-3</v>
      </c>
      <c r="R100" s="22">
        <v>3.1</v>
      </c>
      <c r="S100" s="22">
        <v>185</v>
      </c>
      <c r="T100" s="88">
        <v>469</v>
      </c>
      <c r="U100" s="22">
        <v>0</v>
      </c>
      <c r="V100" s="22">
        <v>0</v>
      </c>
      <c r="W100" s="22">
        <v>67.034170000000003</v>
      </c>
      <c r="X100" s="22">
        <v>0</v>
      </c>
      <c r="Y100" s="22">
        <v>2.9935999999999998</v>
      </c>
      <c r="Z100" s="22">
        <v>2.5401500000000001</v>
      </c>
    </row>
    <row r="101" spans="1:26" x14ac:dyDescent="0.2">
      <c r="A101" s="331" t="s">
        <v>11</v>
      </c>
      <c r="B101" s="331">
        <v>1.6500000000000001E-5</v>
      </c>
      <c r="C101" s="331">
        <v>0</v>
      </c>
      <c r="D101" s="331">
        <v>1.9</v>
      </c>
      <c r="E101" s="331">
        <v>65</v>
      </c>
      <c r="F101" s="331">
        <v>651</v>
      </c>
      <c r="G101" s="331">
        <v>0</v>
      </c>
      <c r="H101" s="331">
        <v>0</v>
      </c>
      <c r="I101" s="331">
        <v>62.355401100000002</v>
      </c>
      <c r="J101" s="331">
        <v>0</v>
      </c>
      <c r="K101" s="331">
        <v>2.0385521999999998</v>
      </c>
      <c r="L101" s="331">
        <v>10.0264579</v>
      </c>
      <c r="M101" s="22"/>
      <c r="N101" s="22" t="s">
        <v>11</v>
      </c>
      <c r="O101" s="22">
        <v>1E-4</v>
      </c>
      <c r="P101" s="22">
        <v>0</v>
      </c>
      <c r="Q101" s="22">
        <v>1.1000000000000001E-3</v>
      </c>
      <c r="R101" s="22">
        <v>3.1</v>
      </c>
      <c r="S101" s="22">
        <v>394</v>
      </c>
      <c r="T101" s="88">
        <v>3929</v>
      </c>
      <c r="U101" s="22">
        <v>0</v>
      </c>
      <c r="V101" s="22">
        <v>4</v>
      </c>
      <c r="W101" s="22">
        <v>60.29074</v>
      </c>
      <c r="X101" s="22">
        <v>4</v>
      </c>
      <c r="Y101" s="22">
        <v>3.66994</v>
      </c>
      <c r="Z101" s="22">
        <v>10.025779999999999</v>
      </c>
    </row>
    <row r="102" spans="1:26" x14ac:dyDescent="0.2">
      <c r="A102" s="331" t="s">
        <v>12</v>
      </c>
      <c r="B102" s="331">
        <v>1.6500000000000001E-5</v>
      </c>
      <c r="C102" s="331">
        <v>0</v>
      </c>
      <c r="D102" s="331">
        <v>3.1640470000000001</v>
      </c>
      <c r="E102" s="331">
        <v>110</v>
      </c>
      <c r="F102" s="331">
        <v>2572</v>
      </c>
      <c r="G102" s="331">
        <v>0</v>
      </c>
      <c r="H102" s="331">
        <v>4</v>
      </c>
      <c r="I102" s="331">
        <v>51.082296700000001</v>
      </c>
      <c r="J102" s="331">
        <v>4</v>
      </c>
      <c r="K102" s="331">
        <v>3.1161439</v>
      </c>
      <c r="L102" s="331">
        <v>22.126579100000001</v>
      </c>
      <c r="M102" s="22"/>
      <c r="N102" s="22" t="s">
        <v>12</v>
      </c>
      <c r="O102" s="22">
        <v>1E-4</v>
      </c>
      <c r="P102" s="22">
        <v>0</v>
      </c>
      <c r="Q102" s="22">
        <v>1.1000000000000001E-3</v>
      </c>
      <c r="R102" s="22">
        <v>5.5</v>
      </c>
      <c r="S102" s="22">
        <v>663</v>
      </c>
      <c r="T102" s="88">
        <v>15515</v>
      </c>
      <c r="U102" s="22">
        <v>0</v>
      </c>
      <c r="V102" s="22">
        <v>21</v>
      </c>
      <c r="W102" s="22">
        <v>49.231870000000001</v>
      </c>
      <c r="X102" s="22">
        <v>21</v>
      </c>
      <c r="Y102" s="22">
        <v>3.04236</v>
      </c>
      <c r="Z102" s="22">
        <v>22.1252</v>
      </c>
    </row>
    <row r="103" spans="1:26" x14ac:dyDescent="0.2">
      <c r="A103" s="331" t="s">
        <v>13</v>
      </c>
      <c r="B103" s="331">
        <v>0</v>
      </c>
      <c r="C103" s="331">
        <v>0</v>
      </c>
      <c r="D103" s="331">
        <v>3.7</v>
      </c>
      <c r="E103" s="331">
        <v>13</v>
      </c>
      <c r="F103" s="331">
        <v>3858</v>
      </c>
      <c r="G103" s="331">
        <v>0</v>
      </c>
      <c r="H103" s="331">
        <v>15</v>
      </c>
      <c r="I103" s="331">
        <v>41.898612</v>
      </c>
      <c r="J103" s="331">
        <v>15</v>
      </c>
      <c r="K103" s="331">
        <v>3.4187476999999999</v>
      </c>
      <c r="L103" s="331">
        <v>32.571788499999997</v>
      </c>
      <c r="M103" s="22"/>
      <c r="N103" s="22" t="s">
        <v>13</v>
      </c>
      <c r="O103" s="22">
        <v>0</v>
      </c>
      <c r="P103" s="22">
        <v>0</v>
      </c>
      <c r="Q103" s="22">
        <v>2.8E-3</v>
      </c>
      <c r="R103" s="22">
        <v>5.633</v>
      </c>
      <c r="S103" s="22">
        <v>69</v>
      </c>
      <c r="T103" s="88">
        <v>23335</v>
      </c>
      <c r="U103" s="22">
        <v>0</v>
      </c>
      <c r="V103" s="22">
        <v>72</v>
      </c>
      <c r="W103" s="22">
        <v>40.625219999999999</v>
      </c>
      <c r="X103" s="22">
        <v>72</v>
      </c>
      <c r="Y103" s="22">
        <v>2.9946600000000001</v>
      </c>
      <c r="Z103" s="22">
        <v>31.755289999999999</v>
      </c>
    </row>
    <row r="104" spans="1:26" x14ac:dyDescent="0.2">
      <c r="A104" s="331" t="s">
        <v>14</v>
      </c>
      <c r="B104" s="331">
        <v>0</v>
      </c>
      <c r="C104" s="331">
        <v>0</v>
      </c>
      <c r="D104" s="331">
        <v>2.6</v>
      </c>
      <c r="E104" s="331">
        <v>0</v>
      </c>
      <c r="F104" s="331">
        <v>3221</v>
      </c>
      <c r="G104" s="331">
        <v>0</v>
      </c>
      <c r="H104" s="331">
        <v>22</v>
      </c>
      <c r="I104" s="331">
        <v>30.925864199999999</v>
      </c>
      <c r="J104" s="331">
        <v>22</v>
      </c>
      <c r="K104" s="331">
        <v>2.5674731</v>
      </c>
      <c r="L104" s="331">
        <v>46.607429099999997</v>
      </c>
      <c r="M104" s="22"/>
      <c r="N104" s="22" t="s">
        <v>14</v>
      </c>
      <c r="O104" s="22">
        <v>0</v>
      </c>
      <c r="P104" s="22">
        <v>0</v>
      </c>
      <c r="Q104" s="22">
        <v>4.0000000000000001E-3</v>
      </c>
      <c r="R104" s="22">
        <v>3.5</v>
      </c>
      <c r="S104" s="22">
        <v>0</v>
      </c>
      <c r="T104" s="88">
        <v>19868</v>
      </c>
      <c r="U104" s="22">
        <v>0</v>
      </c>
      <c r="V104" s="22">
        <v>93</v>
      </c>
      <c r="W104" s="22">
        <v>24.918209999999998</v>
      </c>
      <c r="X104" s="22">
        <v>93</v>
      </c>
      <c r="Y104" s="22">
        <v>2.0624099999999999</v>
      </c>
      <c r="Z104" s="22">
        <v>50.877839999999999</v>
      </c>
    </row>
    <row r="105" spans="1:26" x14ac:dyDescent="0.2">
      <c r="A105" s="331" t="s">
        <v>15</v>
      </c>
      <c r="B105" s="331">
        <v>0</v>
      </c>
      <c r="C105" s="331">
        <v>0</v>
      </c>
      <c r="D105" s="331">
        <v>1.5</v>
      </c>
      <c r="E105" s="331">
        <v>0</v>
      </c>
      <c r="F105" s="331">
        <v>1123</v>
      </c>
      <c r="G105" s="331">
        <v>0</v>
      </c>
      <c r="H105" s="331">
        <v>8</v>
      </c>
      <c r="I105" s="331">
        <v>18.924311199999998</v>
      </c>
      <c r="J105" s="331">
        <v>8</v>
      </c>
      <c r="K105" s="331">
        <v>1.6095337000000001</v>
      </c>
      <c r="L105" s="331">
        <v>64.140541499999998</v>
      </c>
      <c r="M105" s="22"/>
      <c r="N105" s="22" t="s">
        <v>15</v>
      </c>
      <c r="O105" s="22">
        <v>0</v>
      </c>
      <c r="P105" s="22">
        <v>0</v>
      </c>
      <c r="Q105" s="22">
        <v>1.8100000000000002E-2</v>
      </c>
      <c r="R105" s="22">
        <v>2.2999999999999998</v>
      </c>
      <c r="S105" s="22">
        <v>0</v>
      </c>
      <c r="T105" s="88">
        <v>6831</v>
      </c>
      <c r="U105" s="22">
        <v>0</v>
      </c>
      <c r="V105" s="22">
        <v>107</v>
      </c>
      <c r="W105" s="22">
        <v>14.72578</v>
      </c>
      <c r="X105" s="22">
        <v>107</v>
      </c>
      <c r="Y105" s="22">
        <v>2.34639</v>
      </c>
      <c r="Z105" s="22">
        <v>65.090350000000001</v>
      </c>
    </row>
    <row r="106" spans="1:26" x14ac:dyDescent="0.2">
      <c r="A106" s="331" t="s">
        <v>16</v>
      </c>
      <c r="B106" s="331">
        <v>0</v>
      </c>
      <c r="C106" s="331">
        <v>0</v>
      </c>
      <c r="D106" s="331">
        <v>1.5</v>
      </c>
      <c r="E106" s="331">
        <v>0</v>
      </c>
      <c r="F106" s="331">
        <v>566</v>
      </c>
      <c r="G106" s="331">
        <v>0</v>
      </c>
      <c r="H106" s="331">
        <v>7</v>
      </c>
      <c r="I106" s="331">
        <v>12.7368098</v>
      </c>
      <c r="J106" s="331">
        <v>7</v>
      </c>
      <c r="K106" s="331">
        <v>1.392188</v>
      </c>
      <c r="L106" s="331">
        <v>75.067469399999993</v>
      </c>
      <c r="M106" s="22"/>
      <c r="N106" s="22" t="s">
        <v>16</v>
      </c>
      <c r="O106" s="22">
        <v>0</v>
      </c>
      <c r="P106" s="22">
        <v>0</v>
      </c>
      <c r="Q106" s="22">
        <v>3.5400000000000001E-2</v>
      </c>
      <c r="R106" s="22">
        <v>2.2999999999999998</v>
      </c>
      <c r="S106" s="22">
        <v>0</v>
      </c>
      <c r="T106" s="88">
        <v>2988</v>
      </c>
      <c r="U106" s="22">
        <v>0</v>
      </c>
      <c r="V106" s="22">
        <v>92</v>
      </c>
      <c r="W106" s="22">
        <v>10.31091</v>
      </c>
      <c r="X106" s="22">
        <v>92</v>
      </c>
      <c r="Y106" s="22">
        <v>2.0103200000000001</v>
      </c>
      <c r="Z106" s="22">
        <v>74.056030000000007</v>
      </c>
    </row>
    <row r="107" spans="1:26" x14ac:dyDescent="0.2">
      <c r="A107" s="331" t="s">
        <v>17</v>
      </c>
      <c r="B107" s="331">
        <v>0</v>
      </c>
      <c r="C107" s="331">
        <v>0</v>
      </c>
      <c r="D107" s="331">
        <v>1</v>
      </c>
      <c r="E107" s="331">
        <v>0</v>
      </c>
      <c r="F107" s="331">
        <v>269</v>
      </c>
      <c r="G107" s="331">
        <v>0</v>
      </c>
      <c r="H107" s="331">
        <v>1</v>
      </c>
      <c r="I107" s="331">
        <v>9.9983436999999995</v>
      </c>
      <c r="J107" s="331">
        <v>1</v>
      </c>
      <c r="K107" s="331">
        <v>1.0973881000000001</v>
      </c>
      <c r="L107" s="331">
        <v>82.459403699999996</v>
      </c>
      <c r="M107" s="22"/>
      <c r="N107" s="22" t="s">
        <v>17</v>
      </c>
      <c r="O107" s="22">
        <v>0</v>
      </c>
      <c r="P107" s="22">
        <v>0</v>
      </c>
      <c r="Q107" s="22">
        <v>5.3199999999999997E-2</v>
      </c>
      <c r="R107" s="22">
        <v>1</v>
      </c>
      <c r="S107" s="22">
        <v>0</v>
      </c>
      <c r="T107" s="88">
        <v>1020</v>
      </c>
      <c r="U107" s="22">
        <v>0</v>
      </c>
      <c r="V107" s="22">
        <v>38</v>
      </c>
      <c r="W107" s="22">
        <v>6.7984600000000004</v>
      </c>
      <c r="X107" s="22">
        <v>38</v>
      </c>
      <c r="Y107" s="22">
        <v>1.4901199999999999</v>
      </c>
      <c r="Z107" s="22">
        <v>89.172989999999999</v>
      </c>
    </row>
    <row r="108" spans="1:26" x14ac:dyDescent="0.2">
      <c r="A108" s="331" t="s">
        <v>92</v>
      </c>
      <c r="B108" s="331" t="s">
        <v>93</v>
      </c>
      <c r="C108" s="331" t="s">
        <v>93</v>
      </c>
      <c r="D108" s="331" t="s">
        <v>93</v>
      </c>
      <c r="E108" s="331">
        <v>218</v>
      </c>
      <c r="F108" s="331">
        <v>12337</v>
      </c>
      <c r="G108" s="331">
        <v>0</v>
      </c>
      <c r="H108" s="331">
        <v>56</v>
      </c>
      <c r="I108" s="331">
        <v>56.463304999999998</v>
      </c>
      <c r="J108" s="331">
        <v>56</v>
      </c>
      <c r="K108" s="331">
        <v>2.5359525999999999</v>
      </c>
      <c r="L108" s="331">
        <v>16.390236000000002</v>
      </c>
      <c r="M108" s="22"/>
      <c r="N108" s="22" t="s">
        <v>92</v>
      </c>
      <c r="O108" s="22" t="s">
        <v>93</v>
      </c>
      <c r="P108" s="22" t="s">
        <v>93</v>
      </c>
      <c r="Q108" s="22" t="s">
        <v>93</v>
      </c>
      <c r="R108" s="22" t="s">
        <v>93</v>
      </c>
      <c r="S108" s="22">
        <v>1310</v>
      </c>
      <c r="T108" s="88">
        <v>73956</v>
      </c>
      <c r="U108" s="22">
        <v>0</v>
      </c>
      <c r="V108" s="22">
        <v>427</v>
      </c>
      <c r="W108" s="22">
        <v>54.610669999999999</v>
      </c>
      <c r="X108" s="22">
        <v>427</v>
      </c>
      <c r="Y108" s="22">
        <v>2.2928799999999998</v>
      </c>
      <c r="Z108" s="22">
        <v>16.230070000000001</v>
      </c>
    </row>
    <row r="109" spans="1:26" x14ac:dyDescent="0.2">
      <c r="A109" s="22"/>
      <c r="B109" s="22"/>
      <c r="C109" s="22"/>
      <c r="D109" s="22"/>
      <c r="E109" s="22"/>
      <c r="F109" s="22"/>
      <c r="G109" s="22"/>
      <c r="H109" s="22"/>
      <c r="I109" s="22"/>
      <c r="J109" s="22"/>
      <c r="K109" s="22"/>
      <c r="L109" s="22"/>
      <c r="M109" s="22"/>
    </row>
  </sheetData>
  <mergeCells count="4">
    <mergeCell ref="B18:C18"/>
    <mergeCell ref="A18:A19"/>
    <mergeCell ref="A34:A35"/>
    <mergeCell ref="B34:C3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6"/>
  <sheetViews>
    <sheetView topLeftCell="H58" workbookViewId="0">
      <selection activeCell="I72" sqref="I72:I80"/>
    </sheetView>
  </sheetViews>
  <sheetFormatPr baseColWidth="10" defaultColWidth="8.83203125" defaultRowHeight="15" x14ac:dyDescent="0.2"/>
  <cols>
    <col min="2" max="2" width="13.33203125" customWidth="1"/>
    <col min="3" max="3" width="13.1640625" customWidth="1"/>
    <col min="5" max="5" width="10.33203125" customWidth="1"/>
    <col min="6" max="6" width="10" bestFit="1" customWidth="1"/>
  </cols>
  <sheetData>
    <row r="1" spans="1:6" x14ac:dyDescent="0.2">
      <c r="A1" s="23" t="s">
        <v>62</v>
      </c>
      <c r="B1" s="22"/>
      <c r="C1" s="22"/>
      <c r="D1" s="22"/>
      <c r="E1" s="22"/>
    </row>
    <row r="2" spans="1:6" x14ac:dyDescent="0.2">
      <c r="A2" s="22"/>
      <c r="B2" s="22"/>
      <c r="C2" s="22"/>
      <c r="D2" s="22"/>
      <c r="E2" s="22"/>
    </row>
    <row r="3" spans="1:6" x14ac:dyDescent="0.2">
      <c r="A3" s="22" t="s">
        <v>69</v>
      </c>
      <c r="B3" s="22"/>
      <c r="C3" s="22"/>
      <c r="D3" s="22"/>
      <c r="E3" s="22"/>
    </row>
    <row r="4" spans="1:6" x14ac:dyDescent="0.2">
      <c r="A4" s="22"/>
      <c r="B4" s="22"/>
      <c r="C4" s="22"/>
      <c r="D4" s="22"/>
      <c r="E4" s="22" t="s">
        <v>123</v>
      </c>
    </row>
    <row r="5" spans="1:6" x14ac:dyDescent="0.2">
      <c r="A5" s="426" t="str">
        <f>'1.Diabetes case_DATA'!A18</f>
        <v>อายุ</v>
      </c>
      <c r="B5" s="438" t="s">
        <v>70</v>
      </c>
      <c r="C5" s="440"/>
      <c r="D5" t="str">
        <f>'1.Diabetes IDDM_DISMOD'!A55</f>
        <v>0-4</v>
      </c>
      <c r="E5">
        <f>'1.Diabetes IDDM_DISMOD'!F55</f>
        <v>4.1900000000000002E-5</v>
      </c>
      <c r="F5">
        <f>'1.Diabetes IDDM_DISMOD'!F85</f>
        <v>4.1900000000000002E-5</v>
      </c>
    </row>
    <row r="6" spans="1:6" s="22" customFormat="1" x14ac:dyDescent="0.2">
      <c r="A6" s="428"/>
      <c r="B6" s="81" t="s">
        <v>43</v>
      </c>
      <c r="C6" s="81" t="s">
        <v>44</v>
      </c>
      <c r="D6" s="22" t="str">
        <f>'1.Diabetes IDDM_DISMOD'!A56</f>
        <v>5-14</v>
      </c>
      <c r="E6" s="22">
        <f>'1.Diabetes IDDM_DISMOD'!F56</f>
        <v>1.65E-4</v>
      </c>
      <c r="F6" s="22">
        <f>'1.Diabetes IDDM_DISMOD'!F86</f>
        <v>1.651E-4</v>
      </c>
    </row>
    <row r="7" spans="1:6" s="22" customFormat="1" x14ac:dyDescent="0.2">
      <c r="A7" s="33" t="s">
        <v>12</v>
      </c>
      <c r="B7" s="84">
        <f>'1.Diabetes case_DATA'!D5/100</f>
        <v>1.54E-2</v>
      </c>
      <c r="C7" s="85">
        <f>'1.Diabetes case_DATA'!E5/100</f>
        <v>2.7799999999999998E-2</v>
      </c>
      <c r="D7" s="22" t="str">
        <f>'1.Diabetes IDDM_DISMOD'!A57</f>
        <v>15-29</v>
      </c>
      <c r="E7" s="22">
        <f>'1.Diabetes IDDM_DISMOD'!F57</f>
        <v>3.6010000000000003E-4</v>
      </c>
      <c r="F7" s="22">
        <f>'1.Diabetes IDDM_DISMOD'!F87</f>
        <v>3.6610000000000001E-4</v>
      </c>
    </row>
    <row r="8" spans="1:6" s="22" customFormat="1" x14ac:dyDescent="0.2">
      <c r="A8" s="33" t="s">
        <v>13</v>
      </c>
      <c r="B8" s="86">
        <f>'1.Diabetes case_DATA'!D6/100</f>
        <v>5.04E-2</v>
      </c>
      <c r="C8" s="87">
        <f>'1.Diabetes case_DATA'!E6/100</f>
        <v>5.62E-2</v>
      </c>
    </row>
    <row r="9" spans="1:6" s="22" customFormat="1" x14ac:dyDescent="0.2">
      <c r="A9" s="33" t="s">
        <v>14</v>
      </c>
      <c r="B9" s="86">
        <f>'1.Diabetes case_DATA'!D7/100</f>
        <v>0.1183</v>
      </c>
      <c r="C9" s="87">
        <f>'1.Diabetes case_DATA'!E7/100</f>
        <v>0.12330000000000001</v>
      </c>
    </row>
    <row r="10" spans="1:6" s="22" customFormat="1" x14ac:dyDescent="0.2">
      <c r="A10" s="33" t="s">
        <v>15</v>
      </c>
      <c r="B10" s="86">
        <f>'1.Diabetes case_DATA'!D8/100</f>
        <v>0.16109999999999999</v>
      </c>
      <c r="C10" s="87">
        <f>'1.Diabetes case_DATA'!E8/100</f>
        <v>0.21859999999999999</v>
      </c>
      <c r="E10" s="22" t="s">
        <v>23</v>
      </c>
    </row>
    <row r="11" spans="1:6" x14ac:dyDescent="0.2">
      <c r="A11" s="33" t="s">
        <v>16</v>
      </c>
      <c r="B11" s="86">
        <f>'1.Diabetes case_DATA'!D9/100</f>
        <v>0.15</v>
      </c>
      <c r="C11" s="87">
        <f>'1.Diabetes case_DATA'!E9/100</f>
        <v>0.21809999999999999</v>
      </c>
    </row>
    <row r="12" spans="1:6" x14ac:dyDescent="0.2">
      <c r="A12" s="33" t="s">
        <v>17</v>
      </c>
      <c r="B12" s="86">
        <f>'1.Diabetes case_DATA'!D10/100</f>
        <v>0.12390000000000001</v>
      </c>
      <c r="C12" s="87">
        <f>'1.Diabetes case_DATA'!E10/100</f>
        <v>0.1134</v>
      </c>
    </row>
    <row r="13" spans="1:6" x14ac:dyDescent="0.2">
      <c r="A13" s="30"/>
      <c r="B13" s="30"/>
      <c r="C13" s="32"/>
    </row>
    <row r="14" spans="1:6" x14ac:dyDescent="0.2">
      <c r="A14" s="22"/>
      <c r="B14" s="22"/>
      <c r="C14" s="22"/>
      <c r="D14" s="22"/>
      <c r="E14" s="22"/>
    </row>
    <row r="15" spans="1:6" x14ac:dyDescent="0.2">
      <c r="A15" s="74" t="s">
        <v>61</v>
      </c>
      <c r="B15" s="22"/>
      <c r="C15" s="22"/>
      <c r="D15" s="22"/>
      <c r="E15" s="22"/>
    </row>
    <row r="16" spans="1:6" x14ac:dyDescent="0.2">
      <c r="A16" s="22"/>
      <c r="B16" s="22"/>
      <c r="C16" s="22"/>
      <c r="D16" s="22"/>
      <c r="E16" s="22"/>
    </row>
    <row r="17" spans="1:6" x14ac:dyDescent="0.2">
      <c r="A17" s="22" t="s">
        <v>64</v>
      </c>
      <c r="B17" s="22"/>
      <c r="C17" s="22"/>
      <c r="D17" s="22"/>
      <c r="E17" s="22"/>
    </row>
    <row r="18" spans="1:6" x14ac:dyDescent="0.2">
      <c r="A18" s="22"/>
      <c r="B18" s="22"/>
      <c r="C18" s="22"/>
      <c r="D18" s="22"/>
      <c r="E18" s="22"/>
    </row>
    <row r="19" spans="1:6" x14ac:dyDescent="0.2">
      <c r="A19" s="22" t="s">
        <v>71</v>
      </c>
      <c r="B19" s="22"/>
      <c r="C19" s="22"/>
      <c r="D19" s="22"/>
      <c r="E19" s="22"/>
    </row>
    <row r="20" spans="1:6" x14ac:dyDescent="0.2">
      <c r="A20" s="22"/>
      <c r="B20" s="22"/>
      <c r="C20" s="22"/>
      <c r="D20" s="22"/>
      <c r="E20" s="22"/>
    </row>
    <row r="21" spans="1:6" x14ac:dyDescent="0.2">
      <c r="A21" s="443" t="s">
        <v>40</v>
      </c>
      <c r="B21" s="438" t="s">
        <v>68</v>
      </c>
      <c r="C21" s="440"/>
      <c r="D21" s="22"/>
      <c r="E21" s="22"/>
    </row>
    <row r="22" spans="1:6" x14ac:dyDescent="0.2">
      <c r="A22" s="444"/>
      <c r="B22" s="76" t="s">
        <v>43</v>
      </c>
      <c r="C22" s="78" t="s">
        <v>44</v>
      </c>
      <c r="D22" s="22"/>
      <c r="E22" s="22"/>
    </row>
    <row r="23" spans="1:6" s="22" customFormat="1" x14ac:dyDescent="0.2">
      <c r="A23" s="33" t="s">
        <v>7</v>
      </c>
      <c r="B23" s="82">
        <f>'[4]dismod dm all 2010'!D8</f>
        <v>4.6900000000000004</v>
      </c>
      <c r="C23" s="83">
        <f>'[4]dismod dm all 2010'!D38</f>
        <v>3.03</v>
      </c>
    </row>
    <row r="24" spans="1:6" s="22" customFormat="1" x14ac:dyDescent="0.2">
      <c r="A24" s="33" t="s">
        <v>11</v>
      </c>
      <c r="B24" s="82">
        <f>'[4]dismod dm all 2010'!D9</f>
        <v>4.6900000000000004</v>
      </c>
      <c r="C24" s="83">
        <f>'[4]dismod dm all 2010'!D39</f>
        <v>3.03</v>
      </c>
      <c r="F24" s="22" t="s">
        <v>23</v>
      </c>
    </row>
    <row r="25" spans="1:6" x14ac:dyDescent="0.2">
      <c r="A25" s="33" t="s">
        <v>12</v>
      </c>
      <c r="B25" s="82">
        <f>'[4]dismod dm all 2010'!D10</f>
        <v>4.6900000000000004</v>
      </c>
      <c r="C25" s="83">
        <f>'[4]dismod dm all 2010'!D40</f>
        <v>3.03</v>
      </c>
      <c r="D25" s="22"/>
      <c r="E25" s="22"/>
    </row>
    <row r="26" spans="1:6" x14ac:dyDescent="0.2">
      <c r="A26" s="33" t="s">
        <v>13</v>
      </c>
      <c r="B26" s="82">
        <f>'[4]dismod dm all 2010'!D11</f>
        <v>4.6900000000000004</v>
      </c>
      <c r="C26" s="83">
        <f>'[4]dismod dm all 2010'!D41</f>
        <v>3.03</v>
      </c>
      <c r="D26" s="22"/>
      <c r="E26" s="22"/>
    </row>
    <row r="27" spans="1:6" x14ac:dyDescent="0.2">
      <c r="A27" s="33" t="s">
        <v>14</v>
      </c>
      <c r="B27" s="82">
        <f>'[4]dismod dm all 2010'!D12</f>
        <v>2.2633000000000001</v>
      </c>
      <c r="C27" s="83">
        <f>'[4]dismod dm all 2010'!D42</f>
        <v>3.1533000000000002</v>
      </c>
      <c r="D27" s="22"/>
      <c r="E27" s="22"/>
    </row>
    <row r="28" spans="1:6" x14ac:dyDescent="0.2">
      <c r="A28" s="33" t="s">
        <v>15</v>
      </c>
      <c r="B28" s="82">
        <f>'[4]dismod dm all 2010'!D13</f>
        <v>1.94</v>
      </c>
      <c r="C28" s="83">
        <f>'[4]dismod dm all 2010'!D43</f>
        <v>2.5499999999999998</v>
      </c>
      <c r="D28" s="22"/>
      <c r="E28" s="22"/>
    </row>
    <row r="29" spans="1:6" x14ac:dyDescent="0.2">
      <c r="A29" s="33" t="s">
        <v>16</v>
      </c>
      <c r="B29" s="82">
        <f>'[4]dismod dm all 2010'!D14</f>
        <v>1.65</v>
      </c>
      <c r="C29" s="83">
        <f>'[4]dismod dm all 2010'!D44</f>
        <v>2.2000000000000002</v>
      </c>
      <c r="D29" s="22"/>
      <c r="E29" s="22"/>
    </row>
    <row r="30" spans="1:6" x14ac:dyDescent="0.2">
      <c r="A30" s="33" t="s">
        <v>17</v>
      </c>
      <c r="B30" s="82">
        <f>'[4]dismod dm all 2010'!D15</f>
        <v>1.55</v>
      </c>
      <c r="C30" s="83">
        <f>'[4]dismod dm all 2010'!D45</f>
        <v>1.9</v>
      </c>
      <c r="D30" s="22"/>
      <c r="E30" s="22"/>
    </row>
    <row r="31" spans="1:6" x14ac:dyDescent="0.2">
      <c r="A31" s="75"/>
      <c r="B31" s="30"/>
      <c r="C31" s="32"/>
      <c r="D31" s="22"/>
      <c r="E31" s="22"/>
    </row>
    <row r="32" spans="1:6" x14ac:dyDescent="0.2">
      <c r="A32" s="22"/>
      <c r="B32" s="22"/>
      <c r="C32" s="22"/>
      <c r="D32" s="22"/>
      <c r="E32" s="22"/>
    </row>
    <row r="33" spans="1:26" x14ac:dyDescent="0.2">
      <c r="A33" s="70" t="s">
        <v>61</v>
      </c>
      <c r="B33" s="22"/>
      <c r="C33" s="22"/>
      <c r="D33" s="22"/>
      <c r="E33" s="22"/>
    </row>
    <row r="34" spans="1:26" x14ac:dyDescent="0.2">
      <c r="A34" s="22"/>
      <c r="B34" s="22"/>
      <c r="C34" s="22"/>
      <c r="D34" s="22"/>
      <c r="E34" s="22"/>
    </row>
    <row r="35" spans="1:26" x14ac:dyDescent="0.2">
      <c r="A35" s="368" t="s">
        <v>300</v>
      </c>
      <c r="B35" s="368"/>
      <c r="C35" s="368"/>
      <c r="D35" s="368"/>
      <c r="E35" s="368"/>
      <c r="F35" s="368"/>
      <c r="G35" s="368"/>
      <c r="H35" s="368"/>
      <c r="I35" s="368"/>
      <c r="J35" s="368"/>
      <c r="K35" s="368"/>
      <c r="L35" s="368"/>
      <c r="N35" s="23" t="s">
        <v>95</v>
      </c>
      <c r="O35" s="22"/>
      <c r="P35" s="22"/>
      <c r="Q35" s="22"/>
      <c r="R35" s="22"/>
      <c r="S35" s="22"/>
      <c r="T35" s="22"/>
      <c r="U35" s="22"/>
      <c r="V35" s="22"/>
      <c r="W35" s="22"/>
      <c r="X35" s="22"/>
      <c r="Y35" s="22"/>
      <c r="Z35" s="22"/>
    </row>
    <row r="36" spans="1:26" x14ac:dyDescent="0.2">
      <c r="A36" s="22"/>
      <c r="B36" s="22"/>
      <c r="C36" s="22"/>
      <c r="D36" s="22"/>
      <c r="E36" s="22"/>
      <c r="F36" s="22"/>
      <c r="G36" s="22"/>
      <c r="H36" s="22"/>
      <c r="I36" s="22"/>
      <c r="J36" s="22"/>
      <c r="K36" s="22"/>
      <c r="L36" s="22"/>
      <c r="N36" s="22"/>
      <c r="O36" s="22"/>
      <c r="P36" s="22"/>
      <c r="Q36" s="22"/>
      <c r="R36" s="22"/>
      <c r="S36" s="22"/>
      <c r="T36" s="22"/>
      <c r="U36" s="22"/>
      <c r="V36" s="22"/>
      <c r="W36" s="22"/>
      <c r="X36" s="22"/>
      <c r="Y36" s="22"/>
      <c r="Z36" s="22"/>
    </row>
    <row r="37" spans="1:26" x14ac:dyDescent="0.2">
      <c r="A37" s="368" t="s">
        <v>301</v>
      </c>
      <c r="B37" s="368"/>
      <c r="C37" s="368"/>
      <c r="D37" s="368"/>
      <c r="E37" s="368"/>
      <c r="F37" s="368"/>
      <c r="G37" s="368"/>
      <c r="H37" s="368"/>
      <c r="I37" s="368"/>
      <c r="J37" s="368"/>
      <c r="K37" s="368"/>
      <c r="L37" s="368"/>
      <c r="N37" s="23" t="s">
        <v>96</v>
      </c>
      <c r="O37" s="22"/>
      <c r="P37" s="22"/>
      <c r="Q37" s="22"/>
      <c r="R37" s="22"/>
      <c r="S37" s="22"/>
      <c r="T37" s="22"/>
      <c r="U37" s="22"/>
      <c r="V37" s="22"/>
      <c r="W37" s="22"/>
      <c r="X37" s="22"/>
      <c r="Y37" s="22"/>
      <c r="Z37" s="22"/>
    </row>
    <row r="38" spans="1:26" x14ac:dyDescent="0.2">
      <c r="A38" s="368"/>
      <c r="B38" s="368" t="s">
        <v>34</v>
      </c>
      <c r="C38" s="368"/>
      <c r="D38" s="368"/>
      <c r="E38" s="368"/>
      <c r="F38" s="368"/>
      <c r="G38" s="368"/>
      <c r="H38" s="368"/>
      <c r="I38" s="368"/>
      <c r="J38" s="368"/>
      <c r="K38" s="368"/>
      <c r="L38" s="368"/>
      <c r="N38" s="22"/>
      <c r="O38" s="23" t="s">
        <v>34</v>
      </c>
      <c r="P38" s="22"/>
      <c r="Q38" s="22"/>
      <c r="R38" s="22"/>
      <c r="S38" s="22"/>
      <c r="T38" s="22"/>
      <c r="U38" s="22"/>
      <c r="V38" s="22"/>
      <c r="W38" s="22"/>
      <c r="X38" s="22"/>
      <c r="Y38" s="22"/>
      <c r="Z38" s="22"/>
    </row>
    <row r="39" spans="1:26" x14ac:dyDescent="0.2">
      <c r="A39" s="368"/>
      <c r="B39" s="368" t="s">
        <v>79</v>
      </c>
      <c r="C39" s="368" t="s">
        <v>79</v>
      </c>
      <c r="D39" s="368" t="s">
        <v>79</v>
      </c>
      <c r="E39" s="368" t="s">
        <v>80</v>
      </c>
      <c r="F39" s="368" t="s">
        <v>80</v>
      </c>
      <c r="G39" s="368" t="s">
        <v>80</v>
      </c>
      <c r="H39" s="368" t="s">
        <v>80</v>
      </c>
      <c r="I39" s="368" t="s">
        <v>80</v>
      </c>
      <c r="J39" s="368" t="s">
        <v>80</v>
      </c>
      <c r="K39" s="368" t="s">
        <v>80</v>
      </c>
      <c r="L39" s="368" t="s">
        <v>80</v>
      </c>
      <c r="N39" s="22"/>
      <c r="O39" s="22" t="s">
        <v>79</v>
      </c>
      <c r="P39" s="22" t="s">
        <v>79</v>
      </c>
      <c r="Q39" s="22" t="s">
        <v>79</v>
      </c>
      <c r="R39" s="22" t="s">
        <v>80</v>
      </c>
      <c r="S39" s="22" t="s">
        <v>80</v>
      </c>
      <c r="T39" s="22" t="s">
        <v>80</v>
      </c>
      <c r="U39" s="22" t="s">
        <v>80</v>
      </c>
      <c r="V39" s="22" t="s">
        <v>80</v>
      </c>
      <c r="W39" s="22" t="s">
        <v>80</v>
      </c>
      <c r="X39" s="22" t="s">
        <v>80</v>
      </c>
      <c r="Y39" s="22" t="s">
        <v>80</v>
      </c>
      <c r="Z39" s="22"/>
    </row>
    <row r="40" spans="1:26" x14ac:dyDescent="0.2">
      <c r="A40" s="368" t="s">
        <v>81</v>
      </c>
      <c r="B40" s="368" t="s">
        <v>85</v>
      </c>
      <c r="C40" s="368" t="s">
        <v>82</v>
      </c>
      <c r="D40" s="368" t="s">
        <v>84</v>
      </c>
      <c r="E40" s="368" t="s">
        <v>27</v>
      </c>
      <c r="F40" s="368" t="s">
        <v>85</v>
      </c>
      <c r="G40" s="368" t="s">
        <v>82</v>
      </c>
      <c r="H40" s="368" t="s">
        <v>83</v>
      </c>
      <c r="I40" s="368" t="s">
        <v>9</v>
      </c>
      <c r="J40" s="368" t="s">
        <v>86</v>
      </c>
      <c r="K40" s="368" t="s">
        <v>87</v>
      </c>
      <c r="L40" s="368" t="s">
        <v>88</v>
      </c>
      <c r="N40" s="22" t="s">
        <v>81</v>
      </c>
      <c r="O40" s="22" t="s">
        <v>85</v>
      </c>
      <c r="P40" s="22" t="s">
        <v>82</v>
      </c>
      <c r="Q40" s="22" t="s">
        <v>84</v>
      </c>
      <c r="R40" s="22" t="s">
        <v>27</v>
      </c>
      <c r="S40" s="22" t="s">
        <v>85</v>
      </c>
      <c r="T40" s="22" t="s">
        <v>82</v>
      </c>
      <c r="U40" s="22" t="s">
        <v>83</v>
      </c>
      <c r="V40" s="22" t="s">
        <v>9</v>
      </c>
      <c r="W40" s="22" t="s">
        <v>86</v>
      </c>
      <c r="X40" s="22" t="s">
        <v>87</v>
      </c>
      <c r="Y40" s="22" t="s">
        <v>88</v>
      </c>
      <c r="Z40" s="22"/>
    </row>
    <row r="41" spans="1:26" x14ac:dyDescent="0.2">
      <c r="A41" s="368"/>
      <c r="B41" s="368" t="s">
        <v>89</v>
      </c>
      <c r="C41" s="368" t="s">
        <v>89</v>
      </c>
      <c r="D41" s="368" t="s">
        <v>89</v>
      </c>
      <c r="E41" s="368" t="s">
        <v>89</v>
      </c>
      <c r="F41" s="368" t="s">
        <v>89</v>
      </c>
      <c r="G41" s="368" t="s">
        <v>89</v>
      </c>
      <c r="H41" s="368" t="s">
        <v>89</v>
      </c>
      <c r="I41" s="368" t="s">
        <v>90</v>
      </c>
      <c r="J41" s="368" t="s">
        <v>89</v>
      </c>
      <c r="K41" s="368" t="s">
        <v>91</v>
      </c>
      <c r="L41" s="368" t="s">
        <v>90</v>
      </c>
      <c r="N41" s="22"/>
      <c r="O41" s="22" t="s">
        <v>89</v>
      </c>
      <c r="P41" s="22" t="s">
        <v>89</v>
      </c>
      <c r="Q41" s="22" t="s">
        <v>89</v>
      </c>
      <c r="R41" s="22" t="s">
        <v>89</v>
      </c>
      <c r="S41" s="22" t="s">
        <v>89</v>
      </c>
      <c r="T41" s="22" t="s">
        <v>89</v>
      </c>
      <c r="U41" s="22" t="s">
        <v>89</v>
      </c>
      <c r="V41" s="22" t="s">
        <v>90</v>
      </c>
      <c r="W41" s="22" t="s">
        <v>89</v>
      </c>
      <c r="X41" s="22" t="s">
        <v>91</v>
      </c>
      <c r="Y41" s="22" t="s">
        <v>90</v>
      </c>
      <c r="Z41" s="22"/>
    </row>
    <row r="42" spans="1:26" x14ac:dyDescent="0.2">
      <c r="A42" s="368" t="s">
        <v>7</v>
      </c>
      <c r="B42" s="368">
        <v>6.0999999999999999E-5</v>
      </c>
      <c r="C42" s="368">
        <v>0</v>
      </c>
      <c r="D42" s="368">
        <v>4.6900000000000004</v>
      </c>
      <c r="E42" s="367">
        <v>9.0000000000000002E-6</v>
      </c>
      <c r="F42" s="368">
        <v>6.7000000000000002E-5</v>
      </c>
      <c r="G42" s="368">
        <v>6.0000000000000002E-6</v>
      </c>
      <c r="H42" s="368">
        <v>1.459E-3</v>
      </c>
      <c r="I42" s="367">
        <v>54.167493999999998</v>
      </c>
      <c r="J42" s="368">
        <v>0</v>
      </c>
      <c r="K42" s="368">
        <v>3.0125639999999998</v>
      </c>
      <c r="L42" s="368">
        <v>2.2670409999999999</v>
      </c>
      <c r="N42" s="22" t="s">
        <v>7</v>
      </c>
      <c r="O42" s="22">
        <v>0</v>
      </c>
      <c r="P42" s="22">
        <v>0</v>
      </c>
      <c r="Q42" s="22">
        <v>4.6900000000000004</v>
      </c>
      <c r="R42" s="88">
        <v>0</v>
      </c>
      <c r="S42" s="22">
        <v>0</v>
      </c>
      <c r="T42" s="22">
        <v>0</v>
      </c>
      <c r="U42" s="22">
        <v>1.4599999999999999E-3</v>
      </c>
      <c r="V42" s="88">
        <v>53.833069999999999</v>
      </c>
      <c r="W42" s="22">
        <v>0</v>
      </c>
      <c r="X42" s="22">
        <v>3.4922499999999999</v>
      </c>
      <c r="Y42" s="22">
        <v>2.4055300000000002</v>
      </c>
      <c r="Z42" s="22"/>
    </row>
    <row r="43" spans="1:26" x14ac:dyDescent="0.2">
      <c r="A43" s="368" t="s">
        <v>11</v>
      </c>
      <c r="B43" s="368">
        <v>1.3849999999999999E-3</v>
      </c>
      <c r="C43" s="368">
        <v>0</v>
      </c>
      <c r="D43" s="368">
        <v>4.6900000000000004</v>
      </c>
      <c r="E43" s="367">
        <v>6.9899999999999997E-4</v>
      </c>
      <c r="F43" s="368">
        <v>1.7899999999999999E-3</v>
      </c>
      <c r="G43" s="368">
        <v>6.0000000000000002E-6</v>
      </c>
      <c r="H43" s="368">
        <v>2.5209999999999998E-3</v>
      </c>
      <c r="I43" s="367">
        <v>45.157583000000002</v>
      </c>
      <c r="J43" s="368">
        <v>5.0000000000000004E-6</v>
      </c>
      <c r="K43" s="368">
        <v>4.6824430000000001</v>
      </c>
      <c r="L43" s="368">
        <v>12.55334</v>
      </c>
      <c r="N43" s="22" t="s">
        <v>11</v>
      </c>
      <c r="O43" s="22">
        <v>0</v>
      </c>
      <c r="P43" s="22">
        <v>0</v>
      </c>
      <c r="Q43" s="22">
        <v>4.6900000000000004</v>
      </c>
      <c r="R43" s="88">
        <v>6.0000000000000002E-5</v>
      </c>
      <c r="S43" s="22">
        <v>9.0000000000000006E-5</v>
      </c>
      <c r="T43" s="22">
        <v>0</v>
      </c>
      <c r="U43" s="22">
        <v>2.6700000000000001E-3</v>
      </c>
      <c r="V43" s="88">
        <v>44.064329999999998</v>
      </c>
      <c r="W43" s="22">
        <v>0</v>
      </c>
      <c r="X43" s="22">
        <v>4.6112399999999996</v>
      </c>
      <c r="Y43" s="22">
        <v>13.582979999999999</v>
      </c>
      <c r="Z43" s="22"/>
    </row>
    <row r="44" spans="1:26" x14ac:dyDescent="0.2">
      <c r="A44" s="368" t="s">
        <v>12</v>
      </c>
      <c r="B44" s="368">
        <v>1.6389000000000001E-2</v>
      </c>
      <c r="C44" s="368">
        <v>0</v>
      </c>
      <c r="D44" s="368">
        <v>4.6900000000000004</v>
      </c>
      <c r="E44" s="367">
        <v>1.5299999999999999E-3</v>
      </c>
      <c r="F44" s="368">
        <v>1.61E-2</v>
      </c>
      <c r="G44" s="368">
        <v>6.0000000000000002E-6</v>
      </c>
      <c r="H44" s="368">
        <v>7.0559999999999998E-3</v>
      </c>
      <c r="I44" s="367">
        <v>37.063034999999999</v>
      </c>
      <c r="J44" s="368">
        <v>1.1400000000000001E-4</v>
      </c>
      <c r="K44" s="368">
        <v>4.5390680000000003</v>
      </c>
      <c r="L44" s="368">
        <v>23.410315000000001</v>
      </c>
      <c r="N44" s="22" t="s">
        <v>12</v>
      </c>
      <c r="O44" s="22">
        <v>1.54E-2</v>
      </c>
      <c r="P44" s="22">
        <v>0</v>
      </c>
      <c r="Q44" s="22">
        <v>4.6900000000000004</v>
      </c>
      <c r="R44" s="88">
        <v>1.98E-3</v>
      </c>
      <c r="S44" s="22">
        <v>1.35E-2</v>
      </c>
      <c r="T44" s="22">
        <v>1.0000000000000001E-5</v>
      </c>
      <c r="U44" s="22">
        <v>7.7600000000000004E-3</v>
      </c>
      <c r="V44" s="88">
        <v>37.069470000000003</v>
      </c>
      <c r="W44" s="22">
        <v>1E-4</v>
      </c>
      <c r="X44" s="22">
        <v>4.6832700000000003</v>
      </c>
      <c r="Y44" s="22">
        <v>23.018070000000002</v>
      </c>
      <c r="Z44" s="22"/>
    </row>
    <row r="45" spans="1:26" x14ac:dyDescent="0.2">
      <c r="A45" s="368" t="s">
        <v>13</v>
      </c>
      <c r="B45" s="368">
        <v>5.2191000000000001E-2</v>
      </c>
      <c r="C45" s="368">
        <v>0</v>
      </c>
      <c r="D45" s="368">
        <v>4.6900000000000004</v>
      </c>
      <c r="E45" s="367">
        <v>4.5250000000000004E-3</v>
      </c>
      <c r="F45" s="368">
        <v>5.4521E-2</v>
      </c>
      <c r="G45" s="368">
        <v>6.0000000000000002E-6</v>
      </c>
      <c r="H45" s="368">
        <v>1.3446E-2</v>
      </c>
      <c r="I45" s="367">
        <v>28.429959</v>
      </c>
      <c r="J45" s="368">
        <v>7.3300000000000004E-4</v>
      </c>
      <c r="K45" s="368">
        <v>4.0994529999999996</v>
      </c>
      <c r="L45" s="368">
        <v>37.839689999999997</v>
      </c>
      <c r="N45" s="22" t="s">
        <v>13</v>
      </c>
      <c r="O45" s="22">
        <v>5.04E-2</v>
      </c>
      <c r="P45" s="22">
        <v>0</v>
      </c>
      <c r="Q45" s="22">
        <v>4.6900000000000004</v>
      </c>
      <c r="R45" s="88">
        <v>3.9300000000000003E-3</v>
      </c>
      <c r="S45" s="22">
        <v>5.4600000000000003E-2</v>
      </c>
      <c r="T45" s="22">
        <v>1.0000000000000001E-5</v>
      </c>
      <c r="U45" s="22">
        <v>1.3520000000000001E-2</v>
      </c>
      <c r="V45" s="88">
        <v>28.755790000000001</v>
      </c>
      <c r="W45" s="22">
        <v>7.3999999999999999E-4</v>
      </c>
      <c r="X45" s="22">
        <v>4.1361299999999996</v>
      </c>
      <c r="Y45" s="22">
        <v>36.816000000000003</v>
      </c>
      <c r="Z45" s="22"/>
    </row>
    <row r="46" spans="1:26" x14ac:dyDescent="0.2">
      <c r="A46" s="368" t="s">
        <v>14</v>
      </c>
      <c r="B46" s="368">
        <v>0.115717</v>
      </c>
      <c r="C46" s="368">
        <v>0</v>
      </c>
      <c r="D46" s="368">
        <v>2.2629999999999999</v>
      </c>
      <c r="E46" s="367">
        <v>5.4609999999999997E-3</v>
      </c>
      <c r="F46" s="368">
        <v>0.11204799999999999</v>
      </c>
      <c r="G46" s="368">
        <v>6.0000000000000002E-6</v>
      </c>
      <c r="H46" s="368">
        <v>1.2852000000000001E-2</v>
      </c>
      <c r="I46" s="367">
        <v>21.400614999999998</v>
      </c>
      <c r="J46" s="368">
        <v>1.4400000000000001E-3</v>
      </c>
      <c r="K46" s="368">
        <v>2.3336619999999999</v>
      </c>
      <c r="L46" s="368">
        <v>50.721671000000001</v>
      </c>
      <c r="N46" s="22" t="s">
        <v>14</v>
      </c>
      <c r="O46" s="22">
        <v>0.1183</v>
      </c>
      <c r="P46" s="22">
        <v>0</v>
      </c>
      <c r="Q46" s="22">
        <v>2.2629999999999999</v>
      </c>
      <c r="R46" s="88">
        <v>6.0699999999999999E-3</v>
      </c>
      <c r="S46" s="22">
        <v>0.10757</v>
      </c>
      <c r="T46" s="22">
        <v>1.0000000000000001E-5</v>
      </c>
      <c r="U46" s="22">
        <v>1.2970000000000001E-2</v>
      </c>
      <c r="V46" s="88">
        <v>20.995740000000001</v>
      </c>
      <c r="W46" s="22">
        <v>1.4E-3</v>
      </c>
      <c r="X46" s="22">
        <v>2.3261599999999998</v>
      </c>
      <c r="Y46" s="22">
        <v>51.003160000000001</v>
      </c>
      <c r="Z46" s="22"/>
    </row>
    <row r="47" spans="1:26" x14ac:dyDescent="0.2">
      <c r="A47" s="368" t="s">
        <v>15</v>
      </c>
      <c r="B47" s="368">
        <v>0.153111</v>
      </c>
      <c r="C47" s="368">
        <v>0</v>
      </c>
      <c r="D47" s="368">
        <v>1.94</v>
      </c>
      <c r="E47" s="367">
        <v>6.1110000000000001E-3</v>
      </c>
      <c r="F47" s="368">
        <v>0.149427</v>
      </c>
      <c r="G47" s="368">
        <v>6.0000000000000002E-6</v>
      </c>
      <c r="H47" s="368">
        <v>1.8495000000000001E-2</v>
      </c>
      <c r="I47" s="367">
        <v>14.177087</v>
      </c>
      <c r="J47" s="368">
        <v>2.764E-3</v>
      </c>
      <c r="K47" s="368">
        <v>1.9155549999999999</v>
      </c>
      <c r="L47" s="368">
        <v>63.793776000000001</v>
      </c>
      <c r="N47" s="22" t="s">
        <v>15</v>
      </c>
      <c r="O47" s="22">
        <v>0.16109999999999999</v>
      </c>
      <c r="P47" s="22">
        <v>0</v>
      </c>
      <c r="Q47" s="22">
        <v>1.94</v>
      </c>
      <c r="R47" s="88">
        <v>7.45E-3</v>
      </c>
      <c r="S47" s="22">
        <v>0.15484999999999999</v>
      </c>
      <c r="T47" s="22">
        <v>1.0000000000000001E-5</v>
      </c>
      <c r="U47" s="22">
        <v>1.8710000000000001E-2</v>
      </c>
      <c r="V47" s="88">
        <v>13.849019999999999</v>
      </c>
      <c r="W47" s="22">
        <v>2.8999999999999998E-3</v>
      </c>
      <c r="X47" s="22">
        <v>1.9215899999999999</v>
      </c>
      <c r="Y47" s="22">
        <v>63.838290000000001</v>
      </c>
      <c r="Z47" s="22"/>
    </row>
    <row r="48" spans="1:26" x14ac:dyDescent="0.2">
      <c r="A48" s="368" t="s">
        <v>16</v>
      </c>
      <c r="B48" s="368">
        <v>0.15540399999999999</v>
      </c>
      <c r="C48" s="368">
        <v>0</v>
      </c>
      <c r="D48" s="368">
        <v>1.65</v>
      </c>
      <c r="E48" s="367">
        <v>3.6489999999999999E-3</v>
      </c>
      <c r="F48" s="368">
        <v>0.154728</v>
      </c>
      <c r="G48" s="368">
        <v>6.0000000000000002E-6</v>
      </c>
      <c r="H48" s="368">
        <v>2.9056999999999999E-2</v>
      </c>
      <c r="I48" s="367">
        <v>9.0248369999999998</v>
      </c>
      <c r="J48" s="368">
        <v>4.496E-3</v>
      </c>
      <c r="K48" s="368">
        <v>1.6512150000000001</v>
      </c>
      <c r="L48" s="368">
        <v>75.187343999999996</v>
      </c>
      <c r="N48" s="22" t="s">
        <v>16</v>
      </c>
      <c r="O48" s="22">
        <v>0.15</v>
      </c>
      <c r="P48" s="22">
        <v>0</v>
      </c>
      <c r="Q48" s="22">
        <v>1.65</v>
      </c>
      <c r="R48" s="88">
        <v>8.5999999999999998E-4</v>
      </c>
      <c r="S48" s="22">
        <v>0.15468999999999999</v>
      </c>
      <c r="T48" s="22">
        <v>1.0000000000000001E-5</v>
      </c>
      <c r="U48" s="22">
        <v>2.9010000000000001E-2</v>
      </c>
      <c r="V48" s="88">
        <v>8.7699800000000003</v>
      </c>
      <c r="W48" s="22">
        <v>4.4900000000000001E-3</v>
      </c>
      <c r="X48" s="22">
        <v>1.65838</v>
      </c>
      <c r="Y48" s="22">
        <v>74.5745</v>
      </c>
      <c r="Z48" s="22"/>
    </row>
    <row r="49" spans="1:26" x14ac:dyDescent="0.2">
      <c r="A49" s="368" t="s">
        <v>17</v>
      </c>
      <c r="B49" s="368">
        <v>0.14007500000000001</v>
      </c>
      <c r="C49" s="368">
        <v>0</v>
      </c>
      <c r="D49" s="368">
        <v>1.55</v>
      </c>
      <c r="E49" s="367">
        <v>5.3070000000000001E-3</v>
      </c>
      <c r="F49" s="368">
        <v>0.14114199999999999</v>
      </c>
      <c r="G49" s="368">
        <v>6.0000000000000002E-6</v>
      </c>
      <c r="H49" s="368">
        <v>4.9565999999999999E-2</v>
      </c>
      <c r="I49" s="367">
        <v>6.344195</v>
      </c>
      <c r="J49" s="368">
        <v>6.9959999999999996E-3</v>
      </c>
      <c r="K49" s="368">
        <v>1.5421769999999999</v>
      </c>
      <c r="L49" s="368">
        <v>92.729742999999999</v>
      </c>
      <c r="M49" s="22"/>
      <c r="N49" s="22" t="s">
        <v>17</v>
      </c>
      <c r="O49" s="22">
        <v>0.1239</v>
      </c>
      <c r="P49" s="22">
        <v>0</v>
      </c>
      <c r="Q49" s="22">
        <v>1.55</v>
      </c>
      <c r="R49" s="88">
        <v>6.0200000000000002E-3</v>
      </c>
      <c r="S49" s="22">
        <v>0.12673000000000001</v>
      </c>
      <c r="T49" s="22">
        <v>1.0000000000000001E-5</v>
      </c>
      <c r="U49" s="22">
        <v>6.1769999999999999E-2</v>
      </c>
      <c r="V49" s="88">
        <v>4.0690499999999998</v>
      </c>
      <c r="W49" s="22">
        <v>7.8300000000000002E-3</v>
      </c>
      <c r="X49" s="22">
        <v>1.5373000000000001</v>
      </c>
      <c r="Y49" s="22">
        <v>92.947360000000003</v>
      </c>
      <c r="Z49" s="22"/>
    </row>
    <row r="50" spans="1:26" x14ac:dyDescent="0.2">
      <c r="A50" s="368" t="s">
        <v>92</v>
      </c>
      <c r="B50" s="368">
        <v>5.9782000000000002E-2</v>
      </c>
      <c r="C50" s="368" t="s">
        <v>93</v>
      </c>
      <c r="D50" s="368" t="s">
        <v>93</v>
      </c>
      <c r="E50" s="367">
        <v>3.3500000000000001E-3</v>
      </c>
      <c r="F50" s="368">
        <v>5.9312999999999998E-2</v>
      </c>
      <c r="G50" s="368">
        <v>6.0000000000000002E-6</v>
      </c>
      <c r="H50" s="368">
        <v>1.6570000000000001E-2</v>
      </c>
      <c r="I50" s="367">
        <v>24.198466</v>
      </c>
      <c r="J50" s="368">
        <v>9.8299999999999993E-4</v>
      </c>
      <c r="K50" s="368">
        <v>2.4287109999999998</v>
      </c>
      <c r="L50" s="368">
        <v>45.877760000000002</v>
      </c>
      <c r="N50" s="22" t="s">
        <v>92</v>
      </c>
      <c r="O50" s="22">
        <v>5.9589999999999997E-2</v>
      </c>
      <c r="P50" s="22" t="s">
        <v>93</v>
      </c>
      <c r="Q50" s="22" t="s">
        <v>93</v>
      </c>
      <c r="R50" s="88">
        <v>3.3500000000000001E-3</v>
      </c>
      <c r="S50" s="22">
        <v>5.7759999999999999E-2</v>
      </c>
      <c r="T50" s="22">
        <v>1.0000000000000001E-5</v>
      </c>
      <c r="U50" s="22">
        <v>1.7229999999999999E-2</v>
      </c>
      <c r="V50" s="88">
        <v>23.70608</v>
      </c>
      <c r="W50" s="22">
        <v>1E-3</v>
      </c>
      <c r="X50" s="22">
        <v>2.4195799999999998</v>
      </c>
      <c r="Y50" s="22">
        <v>46.028100000000002</v>
      </c>
      <c r="Z50" s="22"/>
    </row>
    <row r="51" spans="1:26" x14ac:dyDescent="0.2">
      <c r="A51" s="22"/>
      <c r="B51" s="22"/>
      <c r="C51" s="22"/>
      <c r="D51" s="22"/>
      <c r="E51" s="22"/>
      <c r="F51" s="22"/>
      <c r="G51" s="22"/>
      <c r="H51" s="22"/>
      <c r="I51" s="22"/>
      <c r="J51" s="22"/>
      <c r="K51" s="22"/>
      <c r="L51" s="22"/>
      <c r="N51" s="22"/>
      <c r="O51" s="22"/>
      <c r="P51" s="22"/>
      <c r="Q51" s="22"/>
      <c r="R51" s="22"/>
      <c r="S51" s="22"/>
      <c r="T51" s="22"/>
      <c r="U51" s="22"/>
      <c r="V51" s="22"/>
      <c r="W51" s="22"/>
      <c r="X51" s="22"/>
      <c r="Y51" s="22"/>
      <c r="Z51" s="22"/>
    </row>
    <row r="52" spans="1:26" x14ac:dyDescent="0.2">
      <c r="A52" s="368" t="s">
        <v>301</v>
      </c>
      <c r="B52" s="368"/>
      <c r="C52" s="368"/>
      <c r="D52" s="368"/>
      <c r="E52" s="368"/>
      <c r="F52" s="368"/>
      <c r="G52" s="368"/>
      <c r="H52" s="368"/>
      <c r="I52" s="368"/>
      <c r="J52" s="368"/>
      <c r="K52" s="368"/>
      <c r="L52" s="368"/>
      <c r="N52" s="22" t="s">
        <v>96</v>
      </c>
      <c r="O52" s="22"/>
      <c r="P52" s="22"/>
      <c r="Q52" s="22"/>
      <c r="R52" s="22"/>
      <c r="S52" s="22"/>
      <c r="T52" s="22"/>
      <c r="U52" s="22"/>
      <c r="V52" s="22"/>
      <c r="W52" s="22"/>
      <c r="X52" s="22"/>
      <c r="Y52" s="22"/>
      <c r="Z52" s="22"/>
    </row>
    <row r="53" spans="1:26" x14ac:dyDescent="0.2">
      <c r="A53" s="368"/>
      <c r="B53" s="368" t="s">
        <v>34</v>
      </c>
      <c r="C53" s="368"/>
      <c r="D53" s="368"/>
      <c r="E53" s="368"/>
      <c r="F53" s="368"/>
      <c r="G53" s="368"/>
      <c r="H53" s="368"/>
      <c r="I53" s="368"/>
      <c r="J53" s="368"/>
      <c r="K53" s="368"/>
      <c r="L53" s="368"/>
      <c r="N53" s="22"/>
      <c r="O53" s="22" t="s">
        <v>34</v>
      </c>
      <c r="P53" s="22"/>
      <c r="Q53" s="22"/>
      <c r="R53" s="22"/>
      <c r="S53" s="22"/>
      <c r="T53" s="22"/>
      <c r="U53" s="22"/>
      <c r="V53" s="22"/>
      <c r="W53" s="22"/>
      <c r="X53" s="22"/>
      <c r="Y53" s="22"/>
      <c r="Z53" s="22"/>
    </row>
    <row r="54" spans="1:26" x14ac:dyDescent="0.2">
      <c r="A54" s="368"/>
      <c r="B54" s="368" t="s">
        <v>79</v>
      </c>
      <c r="C54" s="368" t="s">
        <v>79</v>
      </c>
      <c r="D54" s="368" t="s">
        <v>79</v>
      </c>
      <c r="E54" s="368" t="s">
        <v>80</v>
      </c>
      <c r="F54" s="368" t="s">
        <v>80</v>
      </c>
      <c r="G54" s="368" t="s">
        <v>80</v>
      </c>
      <c r="H54" s="368" t="s">
        <v>80</v>
      </c>
      <c r="I54" s="368" t="s">
        <v>80</v>
      </c>
      <c r="J54" s="368" t="s">
        <v>80</v>
      </c>
      <c r="K54" s="368" t="s">
        <v>80</v>
      </c>
      <c r="L54" s="368" t="s">
        <v>80</v>
      </c>
      <c r="N54" s="22"/>
      <c r="O54" s="22" t="s">
        <v>79</v>
      </c>
      <c r="P54" s="22" t="s">
        <v>79</v>
      </c>
      <c r="Q54" s="22" t="s">
        <v>79</v>
      </c>
      <c r="R54" s="22" t="s">
        <v>80</v>
      </c>
      <c r="S54" s="22" t="s">
        <v>80</v>
      </c>
      <c r="T54" s="22" t="s">
        <v>80</v>
      </c>
      <c r="U54" s="22" t="s">
        <v>80</v>
      </c>
      <c r="V54" s="22" t="s">
        <v>80</v>
      </c>
      <c r="W54" s="22" t="s">
        <v>80</v>
      </c>
      <c r="X54" s="22" t="s">
        <v>80</v>
      </c>
      <c r="Y54" s="22" t="s">
        <v>80</v>
      </c>
      <c r="Z54" s="22"/>
    </row>
    <row r="55" spans="1:26" x14ac:dyDescent="0.2">
      <c r="A55" s="368" t="s">
        <v>81</v>
      </c>
      <c r="B55" s="368" t="s">
        <v>85</v>
      </c>
      <c r="C55" s="368" t="s">
        <v>82</v>
      </c>
      <c r="D55" s="368" t="s">
        <v>84</v>
      </c>
      <c r="E55" s="368" t="s">
        <v>27</v>
      </c>
      <c r="F55" s="368" t="s">
        <v>85</v>
      </c>
      <c r="G55" s="368" t="s">
        <v>82</v>
      </c>
      <c r="H55" s="368" t="s">
        <v>83</v>
      </c>
      <c r="I55" s="368" t="s">
        <v>9</v>
      </c>
      <c r="J55" s="368" t="s">
        <v>86</v>
      </c>
      <c r="K55" s="368" t="s">
        <v>87</v>
      </c>
      <c r="L55" s="368" t="s">
        <v>88</v>
      </c>
      <c r="N55" s="22" t="s">
        <v>81</v>
      </c>
      <c r="O55" s="22" t="s">
        <v>85</v>
      </c>
      <c r="P55" s="22" t="s">
        <v>82</v>
      </c>
      <c r="Q55" s="22" t="s">
        <v>84</v>
      </c>
      <c r="R55" s="22" t="s">
        <v>27</v>
      </c>
      <c r="S55" s="22" t="s">
        <v>85</v>
      </c>
      <c r="T55" s="22" t="s">
        <v>82</v>
      </c>
      <c r="U55" s="22" t="s">
        <v>83</v>
      </c>
      <c r="V55" s="22" t="s">
        <v>9</v>
      </c>
      <c r="W55" s="22" t="s">
        <v>86</v>
      </c>
      <c r="X55" s="22" t="s">
        <v>87</v>
      </c>
      <c r="Y55" s="22" t="s">
        <v>88</v>
      </c>
      <c r="Z55" s="22"/>
    </row>
    <row r="56" spans="1:26" x14ac:dyDescent="0.2">
      <c r="A56" s="368"/>
      <c r="B56" s="368" t="s">
        <v>94</v>
      </c>
      <c r="C56" s="368" t="s">
        <v>89</v>
      </c>
      <c r="D56" s="368" t="s">
        <v>89</v>
      </c>
      <c r="E56" s="368" t="s">
        <v>94</v>
      </c>
      <c r="F56" s="368" t="s">
        <v>94</v>
      </c>
      <c r="G56" s="368" t="s">
        <v>94</v>
      </c>
      <c r="H56" s="368" t="s">
        <v>94</v>
      </c>
      <c r="I56" s="368" t="s">
        <v>90</v>
      </c>
      <c r="J56" s="368" t="s">
        <v>94</v>
      </c>
      <c r="K56" s="368" t="s">
        <v>91</v>
      </c>
      <c r="L56" s="368" t="s">
        <v>90</v>
      </c>
      <c r="N56" s="22"/>
      <c r="O56" s="22" t="s">
        <v>94</v>
      </c>
      <c r="P56" s="22" t="s">
        <v>89</v>
      </c>
      <c r="Q56" s="22" t="s">
        <v>89</v>
      </c>
      <c r="R56" s="22" t="s">
        <v>94</v>
      </c>
      <c r="S56" s="22" t="s">
        <v>94</v>
      </c>
      <c r="T56" s="22" t="s">
        <v>94</v>
      </c>
      <c r="U56" s="22" t="s">
        <v>94</v>
      </c>
      <c r="V56" s="22" t="s">
        <v>90</v>
      </c>
      <c r="W56" s="22" t="s">
        <v>94</v>
      </c>
      <c r="X56" s="22" t="s">
        <v>91</v>
      </c>
      <c r="Y56" s="22" t="s">
        <v>90</v>
      </c>
      <c r="Z56" s="22"/>
    </row>
    <row r="57" spans="1:26" x14ac:dyDescent="0.2">
      <c r="A57" s="368" t="s">
        <v>7</v>
      </c>
      <c r="B57" s="368">
        <v>120</v>
      </c>
      <c r="C57" s="368">
        <v>0</v>
      </c>
      <c r="D57" s="368">
        <v>4.6900000000000004</v>
      </c>
      <c r="E57" s="368">
        <v>18</v>
      </c>
      <c r="F57" s="368">
        <v>132</v>
      </c>
      <c r="G57" s="368">
        <v>0</v>
      </c>
      <c r="H57" s="368">
        <v>0</v>
      </c>
      <c r="I57" s="368">
        <v>54.167493999999998</v>
      </c>
      <c r="J57" s="368">
        <v>0</v>
      </c>
      <c r="K57" s="368">
        <v>3.0125639999999998</v>
      </c>
      <c r="L57" s="368">
        <v>2.2670409999999999</v>
      </c>
      <c r="N57" s="22" t="s">
        <v>7</v>
      </c>
      <c r="O57" s="22">
        <v>0</v>
      </c>
      <c r="P57" s="22">
        <v>0</v>
      </c>
      <c r="Q57" s="22">
        <v>4.6900000000000004</v>
      </c>
      <c r="R57" s="22">
        <v>0</v>
      </c>
      <c r="S57" s="88">
        <v>0</v>
      </c>
      <c r="T57" s="22">
        <v>0</v>
      </c>
      <c r="U57" s="22">
        <v>0</v>
      </c>
      <c r="V57" s="22">
        <v>53.833069999999999</v>
      </c>
      <c r="W57" s="22">
        <v>0</v>
      </c>
      <c r="X57" s="22">
        <v>3.4922499999999999</v>
      </c>
      <c r="Y57" s="22">
        <v>2.4055300000000002</v>
      </c>
      <c r="Z57" s="22"/>
    </row>
    <row r="58" spans="1:26" x14ac:dyDescent="0.2">
      <c r="A58" s="368" t="s">
        <v>11</v>
      </c>
      <c r="B58" s="368">
        <v>5790</v>
      </c>
      <c r="C58" s="368">
        <v>0</v>
      </c>
      <c r="D58" s="368">
        <v>4.6900000000000004</v>
      </c>
      <c r="E58" s="368">
        <v>2913</v>
      </c>
      <c r="F58" s="368">
        <v>7482</v>
      </c>
      <c r="G58" s="368">
        <v>0</v>
      </c>
      <c r="H58" s="368">
        <v>19</v>
      </c>
      <c r="I58" s="368">
        <v>45.157583000000002</v>
      </c>
      <c r="J58" s="368">
        <v>19</v>
      </c>
      <c r="K58" s="368">
        <v>4.6824430000000001</v>
      </c>
      <c r="L58" s="368">
        <v>12.55334</v>
      </c>
      <c r="N58" s="22" t="s">
        <v>11</v>
      </c>
      <c r="O58" s="22">
        <v>0</v>
      </c>
      <c r="P58" s="22">
        <v>0</v>
      </c>
      <c r="Q58" s="22">
        <v>4.6900000000000004</v>
      </c>
      <c r="R58" s="22">
        <v>262</v>
      </c>
      <c r="S58" s="88">
        <v>372</v>
      </c>
      <c r="T58" s="22">
        <v>0</v>
      </c>
      <c r="U58" s="22">
        <v>1</v>
      </c>
      <c r="V58" s="22">
        <v>44.064329999999998</v>
      </c>
      <c r="W58" s="22">
        <v>1</v>
      </c>
      <c r="X58" s="22">
        <v>4.6112399999999996</v>
      </c>
      <c r="Y58" s="22">
        <v>13.582979999999999</v>
      </c>
      <c r="Z58" s="22"/>
    </row>
    <row r="59" spans="1:26" x14ac:dyDescent="0.2">
      <c r="A59" s="368" t="s">
        <v>12</v>
      </c>
      <c r="B59" s="368">
        <v>119670</v>
      </c>
      <c r="C59" s="368">
        <v>0</v>
      </c>
      <c r="D59" s="368">
        <v>4.6900000000000004</v>
      </c>
      <c r="E59" s="368">
        <v>10975</v>
      </c>
      <c r="F59" s="368">
        <v>117561</v>
      </c>
      <c r="G59" s="368">
        <v>1</v>
      </c>
      <c r="H59" s="368">
        <v>830</v>
      </c>
      <c r="I59" s="368">
        <v>37.063034999999999</v>
      </c>
      <c r="J59" s="368">
        <v>830</v>
      </c>
      <c r="K59" s="368">
        <v>4.5390680000000003</v>
      </c>
      <c r="L59" s="368">
        <v>23.410315000000001</v>
      </c>
      <c r="N59" s="22" t="s">
        <v>12</v>
      </c>
      <c r="O59" s="22">
        <v>112448</v>
      </c>
      <c r="P59" s="22">
        <v>0</v>
      </c>
      <c r="Q59" s="22">
        <v>4.6900000000000004</v>
      </c>
      <c r="R59" s="22">
        <v>14226</v>
      </c>
      <c r="S59" s="88">
        <v>98610</v>
      </c>
      <c r="T59" s="22">
        <v>1</v>
      </c>
      <c r="U59" s="22">
        <v>765</v>
      </c>
      <c r="V59" s="22">
        <v>37.069470000000003</v>
      </c>
      <c r="W59" s="22">
        <v>765</v>
      </c>
      <c r="X59" s="22">
        <v>4.6832700000000003</v>
      </c>
      <c r="Y59" s="22">
        <v>23.018070000000002</v>
      </c>
      <c r="Z59" s="22"/>
    </row>
    <row r="60" spans="1:26" x14ac:dyDescent="0.2">
      <c r="A60" s="368" t="s">
        <v>13</v>
      </c>
      <c r="B60" s="368">
        <v>412138</v>
      </c>
      <c r="C60" s="368">
        <v>0</v>
      </c>
      <c r="D60" s="368">
        <v>4.6900000000000004</v>
      </c>
      <c r="E60" s="368">
        <v>33739</v>
      </c>
      <c r="F60" s="368">
        <v>430537</v>
      </c>
      <c r="G60" s="368">
        <v>3</v>
      </c>
      <c r="H60" s="368">
        <v>5789</v>
      </c>
      <c r="I60" s="368">
        <v>28.429959</v>
      </c>
      <c r="J60" s="368">
        <v>5789</v>
      </c>
      <c r="K60" s="368">
        <v>4.0994529999999996</v>
      </c>
      <c r="L60" s="368">
        <v>37.839689999999997</v>
      </c>
      <c r="N60" s="22" t="s">
        <v>13</v>
      </c>
      <c r="O60" s="22">
        <v>397997</v>
      </c>
      <c r="P60" s="22">
        <v>0</v>
      </c>
      <c r="Q60" s="22">
        <v>4.6900000000000004</v>
      </c>
      <c r="R60" s="22">
        <v>29372</v>
      </c>
      <c r="S60" s="88">
        <v>431183</v>
      </c>
      <c r="T60" s="22">
        <v>3</v>
      </c>
      <c r="U60" s="22">
        <v>5832</v>
      </c>
      <c r="V60" s="22">
        <v>28.755790000000001</v>
      </c>
      <c r="W60" s="22">
        <v>5832</v>
      </c>
      <c r="X60" s="22">
        <v>4.1361299999999996</v>
      </c>
      <c r="Y60" s="22">
        <v>36.816000000000003</v>
      </c>
      <c r="Z60" s="22"/>
    </row>
    <row r="61" spans="1:26" x14ac:dyDescent="0.2">
      <c r="A61" s="368" t="s">
        <v>14</v>
      </c>
      <c r="B61" s="368">
        <v>758442</v>
      </c>
      <c r="C61" s="368">
        <v>0</v>
      </c>
      <c r="D61" s="368">
        <v>2.2629999999999999</v>
      </c>
      <c r="E61" s="368">
        <v>31926</v>
      </c>
      <c r="F61" s="368">
        <v>734395</v>
      </c>
      <c r="G61" s="368">
        <v>5</v>
      </c>
      <c r="H61" s="368">
        <v>9438</v>
      </c>
      <c r="I61" s="368">
        <v>21.400614999999998</v>
      </c>
      <c r="J61" s="368">
        <v>9439</v>
      </c>
      <c r="K61" s="368">
        <v>2.3336619999999999</v>
      </c>
      <c r="L61" s="368">
        <v>50.721671000000001</v>
      </c>
      <c r="N61" s="22" t="s">
        <v>14</v>
      </c>
      <c r="O61" s="22">
        <v>775372</v>
      </c>
      <c r="P61" s="22">
        <v>0</v>
      </c>
      <c r="Q61" s="22">
        <v>2.2629999999999999</v>
      </c>
      <c r="R61" s="22">
        <v>35616</v>
      </c>
      <c r="S61" s="88">
        <v>705012</v>
      </c>
      <c r="T61" s="22">
        <v>4</v>
      </c>
      <c r="U61" s="22">
        <v>9144</v>
      </c>
      <c r="V61" s="22">
        <v>20.995740000000001</v>
      </c>
      <c r="W61" s="22">
        <v>9145</v>
      </c>
      <c r="X61" s="22">
        <v>2.3261599999999998</v>
      </c>
      <c r="Y61" s="22">
        <v>51.003160000000001</v>
      </c>
      <c r="Z61" s="22"/>
    </row>
    <row r="62" spans="1:26" x14ac:dyDescent="0.2">
      <c r="A62" s="368" t="s">
        <v>15</v>
      </c>
      <c r="B62" s="368">
        <v>358902</v>
      </c>
      <c r="C62" s="368">
        <v>0</v>
      </c>
      <c r="D62" s="368">
        <v>1.94</v>
      </c>
      <c r="E62" s="368">
        <v>12210</v>
      </c>
      <c r="F62" s="368">
        <v>350266</v>
      </c>
      <c r="G62" s="368">
        <v>2</v>
      </c>
      <c r="H62" s="368">
        <v>6478</v>
      </c>
      <c r="I62" s="368">
        <v>14.177087</v>
      </c>
      <c r="J62" s="368">
        <v>6478</v>
      </c>
      <c r="K62" s="368">
        <v>1.9155549999999999</v>
      </c>
      <c r="L62" s="368">
        <v>63.793776000000001</v>
      </c>
      <c r="N62" s="22" t="s">
        <v>15</v>
      </c>
      <c r="O62" s="22">
        <v>377628</v>
      </c>
      <c r="P62" s="22">
        <v>0</v>
      </c>
      <c r="Q62" s="22">
        <v>1.94</v>
      </c>
      <c r="R62" s="22">
        <v>14792</v>
      </c>
      <c r="S62" s="88">
        <v>362982</v>
      </c>
      <c r="T62" s="22">
        <v>2</v>
      </c>
      <c r="U62" s="22">
        <v>6793</v>
      </c>
      <c r="V62" s="22">
        <v>13.849019999999999</v>
      </c>
      <c r="W62" s="22">
        <v>6793</v>
      </c>
      <c r="X62" s="22">
        <v>1.9215899999999999</v>
      </c>
      <c r="Y62" s="22">
        <v>63.838290000000001</v>
      </c>
      <c r="Z62" s="22"/>
    </row>
    <row r="63" spans="1:26" x14ac:dyDescent="0.2">
      <c r="A63" s="368" t="s">
        <v>16</v>
      </c>
      <c r="B63" s="368">
        <v>182300</v>
      </c>
      <c r="C63" s="368">
        <v>0</v>
      </c>
      <c r="D63" s="368">
        <v>1.65</v>
      </c>
      <c r="E63" s="368">
        <v>3620</v>
      </c>
      <c r="F63" s="368">
        <v>181507</v>
      </c>
      <c r="G63" s="368">
        <v>1</v>
      </c>
      <c r="H63" s="368">
        <v>5274</v>
      </c>
      <c r="I63" s="368">
        <v>9.0248369999999998</v>
      </c>
      <c r="J63" s="368">
        <v>5274</v>
      </c>
      <c r="K63" s="368">
        <v>1.6512150000000001</v>
      </c>
      <c r="L63" s="368">
        <v>75.187343999999996</v>
      </c>
      <c r="N63" s="22" t="s">
        <v>16</v>
      </c>
      <c r="O63" s="22">
        <v>175960</v>
      </c>
      <c r="P63" s="22">
        <v>0</v>
      </c>
      <c r="Q63" s="22">
        <v>1.65</v>
      </c>
      <c r="R63" s="22">
        <v>854</v>
      </c>
      <c r="S63" s="88">
        <v>181466</v>
      </c>
      <c r="T63" s="22">
        <v>1</v>
      </c>
      <c r="U63" s="22">
        <v>5264</v>
      </c>
      <c r="V63" s="22">
        <v>8.7699800000000003</v>
      </c>
      <c r="W63" s="22">
        <v>5264</v>
      </c>
      <c r="X63" s="22">
        <v>1.65838</v>
      </c>
      <c r="Y63" s="22">
        <v>74.5745</v>
      </c>
      <c r="Z63" s="22"/>
    </row>
    <row r="64" spans="1:26" x14ac:dyDescent="0.2">
      <c r="A64" s="368" t="s">
        <v>17</v>
      </c>
      <c r="B64" s="368">
        <v>71013</v>
      </c>
      <c r="C64" s="368">
        <v>0</v>
      </c>
      <c r="D64" s="368">
        <v>1.55</v>
      </c>
      <c r="E64" s="368">
        <v>2316</v>
      </c>
      <c r="F64" s="368">
        <v>71554</v>
      </c>
      <c r="G64" s="368">
        <v>0</v>
      </c>
      <c r="H64" s="368">
        <v>3547</v>
      </c>
      <c r="I64" s="368">
        <v>6.344195</v>
      </c>
      <c r="J64" s="368">
        <v>3546</v>
      </c>
      <c r="K64" s="368">
        <v>1.5421769999999999</v>
      </c>
      <c r="L64" s="368">
        <v>92.729742999999999</v>
      </c>
      <c r="N64" s="22" t="s">
        <v>17</v>
      </c>
      <c r="O64" s="22">
        <v>62813</v>
      </c>
      <c r="P64" s="22">
        <v>0</v>
      </c>
      <c r="Q64" s="22">
        <v>1.55</v>
      </c>
      <c r="R64" s="22">
        <v>2670</v>
      </c>
      <c r="S64" s="88">
        <v>64246</v>
      </c>
      <c r="T64" s="22">
        <v>0</v>
      </c>
      <c r="U64" s="22">
        <v>3968</v>
      </c>
      <c r="V64" s="22">
        <v>4.0690499999999998</v>
      </c>
      <c r="W64" s="22">
        <v>3968</v>
      </c>
      <c r="X64" s="22">
        <v>1.5373000000000001</v>
      </c>
      <c r="Y64" s="22">
        <v>92.947360000000003</v>
      </c>
      <c r="Z64" s="22"/>
    </row>
    <row r="65" spans="1:26" x14ac:dyDescent="0.2">
      <c r="A65" s="368" t="s">
        <v>92</v>
      </c>
      <c r="B65" s="368">
        <v>1908374</v>
      </c>
      <c r="C65" s="368" t="s">
        <v>93</v>
      </c>
      <c r="D65" s="368" t="s">
        <v>93</v>
      </c>
      <c r="E65" s="368">
        <v>97716</v>
      </c>
      <c r="F65" s="368">
        <v>1893433</v>
      </c>
      <c r="G65" s="368">
        <v>12</v>
      </c>
      <c r="H65" s="368">
        <v>31375</v>
      </c>
      <c r="I65" s="368">
        <v>24.198466</v>
      </c>
      <c r="J65" s="368">
        <v>31376</v>
      </c>
      <c r="K65" s="368">
        <v>2.4287109999999998</v>
      </c>
      <c r="L65" s="368">
        <v>45.877760000000002</v>
      </c>
      <c r="N65" s="22" t="s">
        <v>92</v>
      </c>
      <c r="O65" s="22">
        <v>1902218</v>
      </c>
      <c r="P65" s="22" t="s">
        <v>93</v>
      </c>
      <c r="Q65" s="22" t="s">
        <v>93</v>
      </c>
      <c r="R65" s="22">
        <v>97794</v>
      </c>
      <c r="S65" s="88">
        <v>1843869</v>
      </c>
      <c r="T65" s="22">
        <v>11</v>
      </c>
      <c r="U65" s="22">
        <v>31767</v>
      </c>
      <c r="V65" s="22">
        <v>23.70608</v>
      </c>
      <c r="W65" s="22">
        <v>31768</v>
      </c>
      <c r="X65" s="22">
        <v>2.4195799999999998</v>
      </c>
      <c r="Y65" s="22">
        <v>46.028100000000002</v>
      </c>
      <c r="Z65" s="22"/>
    </row>
    <row r="66" spans="1:26" x14ac:dyDescent="0.2">
      <c r="A66" s="22"/>
      <c r="B66" s="22"/>
      <c r="C66" s="22"/>
      <c r="D66" s="22"/>
      <c r="E66" s="22"/>
      <c r="F66" s="22"/>
      <c r="G66" s="22"/>
      <c r="H66" s="22"/>
      <c r="I66" s="22"/>
      <c r="J66" s="22"/>
      <c r="K66" s="22"/>
      <c r="L66" s="22"/>
      <c r="N66" s="22"/>
      <c r="O66" s="22"/>
      <c r="P66" s="22"/>
      <c r="Q66" s="22"/>
      <c r="R66" s="22"/>
      <c r="S66" s="22"/>
      <c r="T66" s="22"/>
      <c r="U66" s="22"/>
      <c r="V66" s="22"/>
      <c r="W66" s="22"/>
      <c r="X66" s="22"/>
      <c r="Y66" s="22"/>
      <c r="Z66" s="22"/>
    </row>
    <row r="67" spans="1:26" x14ac:dyDescent="0.2">
      <c r="A67" s="368" t="s">
        <v>301</v>
      </c>
      <c r="B67" s="368"/>
      <c r="C67" s="368"/>
      <c r="D67" s="368"/>
      <c r="E67" s="368"/>
      <c r="F67" s="368"/>
      <c r="G67" s="368"/>
      <c r="H67" s="368"/>
      <c r="I67" s="368"/>
      <c r="J67" s="368"/>
      <c r="K67" s="368"/>
      <c r="L67" s="368"/>
      <c r="N67" s="23" t="s">
        <v>96</v>
      </c>
      <c r="O67" s="22"/>
      <c r="P67" s="22"/>
      <c r="Q67" s="22"/>
      <c r="R67" s="22"/>
      <c r="S67" s="22"/>
      <c r="T67" s="22"/>
      <c r="U67" s="22"/>
      <c r="V67" s="22"/>
      <c r="W67" s="22"/>
      <c r="X67" s="22"/>
      <c r="Y67" s="22"/>
      <c r="Z67" s="22"/>
    </row>
    <row r="68" spans="1:26" x14ac:dyDescent="0.2">
      <c r="A68" s="368"/>
      <c r="B68" s="368" t="s">
        <v>35</v>
      </c>
      <c r="C68" s="368"/>
      <c r="D68" s="368"/>
      <c r="E68" s="368"/>
      <c r="F68" s="368"/>
      <c r="G68" s="368"/>
      <c r="H68" s="368"/>
      <c r="I68" s="368"/>
      <c r="J68" s="368"/>
      <c r="K68" s="368"/>
      <c r="L68" s="368"/>
      <c r="N68" s="22"/>
      <c r="O68" s="23" t="s">
        <v>35</v>
      </c>
      <c r="P68" s="22"/>
      <c r="Q68" s="22"/>
      <c r="R68" s="22"/>
      <c r="S68" s="22"/>
      <c r="T68" s="22"/>
      <c r="U68" s="22"/>
      <c r="V68" s="22"/>
      <c r="W68" s="22"/>
      <c r="X68" s="22"/>
      <c r="Y68" s="22"/>
      <c r="Z68" s="22"/>
    </row>
    <row r="69" spans="1:26" x14ac:dyDescent="0.2">
      <c r="A69" s="368"/>
      <c r="B69" s="368" t="s">
        <v>79</v>
      </c>
      <c r="C69" s="368" t="s">
        <v>79</v>
      </c>
      <c r="D69" s="368" t="s">
        <v>79</v>
      </c>
      <c r="E69" s="368" t="s">
        <v>80</v>
      </c>
      <c r="F69" s="368" t="s">
        <v>80</v>
      </c>
      <c r="G69" s="368" t="s">
        <v>80</v>
      </c>
      <c r="H69" s="368" t="s">
        <v>80</v>
      </c>
      <c r="I69" s="368" t="s">
        <v>80</v>
      </c>
      <c r="J69" s="368" t="s">
        <v>80</v>
      </c>
      <c r="K69" s="368" t="s">
        <v>80</v>
      </c>
      <c r="L69" s="368" t="s">
        <v>80</v>
      </c>
      <c r="N69" s="22"/>
      <c r="O69" s="22" t="s">
        <v>79</v>
      </c>
      <c r="P69" s="22" t="s">
        <v>79</v>
      </c>
      <c r="Q69" s="22" t="s">
        <v>79</v>
      </c>
      <c r="R69" s="22" t="s">
        <v>80</v>
      </c>
      <c r="S69" s="22" t="s">
        <v>80</v>
      </c>
      <c r="T69" s="22" t="s">
        <v>80</v>
      </c>
      <c r="U69" s="22" t="s">
        <v>80</v>
      </c>
      <c r="V69" s="22" t="s">
        <v>80</v>
      </c>
      <c r="W69" s="22" t="s">
        <v>80</v>
      </c>
      <c r="X69" s="22" t="s">
        <v>80</v>
      </c>
      <c r="Y69" s="22" t="s">
        <v>80</v>
      </c>
      <c r="Z69" s="22"/>
    </row>
    <row r="70" spans="1:26" x14ac:dyDescent="0.2">
      <c r="A70" s="368" t="s">
        <v>81</v>
      </c>
      <c r="B70" s="368" t="s">
        <v>85</v>
      </c>
      <c r="C70" s="368" t="s">
        <v>82</v>
      </c>
      <c r="D70" s="368" t="s">
        <v>84</v>
      </c>
      <c r="E70" s="368" t="s">
        <v>27</v>
      </c>
      <c r="F70" s="368" t="s">
        <v>85</v>
      </c>
      <c r="G70" s="368" t="s">
        <v>82</v>
      </c>
      <c r="H70" s="368" t="s">
        <v>83</v>
      </c>
      <c r="I70" s="368" t="s">
        <v>9</v>
      </c>
      <c r="J70" s="368" t="s">
        <v>86</v>
      </c>
      <c r="K70" s="368" t="s">
        <v>87</v>
      </c>
      <c r="L70" s="368" t="s">
        <v>88</v>
      </c>
      <c r="N70" s="22" t="s">
        <v>81</v>
      </c>
      <c r="O70" s="22" t="s">
        <v>85</v>
      </c>
      <c r="P70" s="22" t="s">
        <v>82</v>
      </c>
      <c r="Q70" s="22" t="s">
        <v>84</v>
      </c>
      <c r="R70" s="22" t="s">
        <v>27</v>
      </c>
      <c r="S70" s="22" t="s">
        <v>85</v>
      </c>
      <c r="T70" s="22" t="s">
        <v>82</v>
      </c>
      <c r="U70" s="22" t="s">
        <v>83</v>
      </c>
      <c r="V70" s="22" t="s">
        <v>9</v>
      </c>
      <c r="W70" s="22" t="s">
        <v>86</v>
      </c>
      <c r="X70" s="22" t="s">
        <v>87</v>
      </c>
      <c r="Y70" s="22" t="s">
        <v>88</v>
      </c>
      <c r="Z70" s="22"/>
    </row>
    <row r="71" spans="1:26" x14ac:dyDescent="0.2">
      <c r="A71" s="368"/>
      <c r="B71" s="368" t="s">
        <v>89</v>
      </c>
      <c r="C71" s="368" t="s">
        <v>89</v>
      </c>
      <c r="D71" s="368" t="s">
        <v>89</v>
      </c>
      <c r="E71" s="368" t="s">
        <v>89</v>
      </c>
      <c r="F71" s="368" t="s">
        <v>89</v>
      </c>
      <c r="G71" s="368" t="s">
        <v>89</v>
      </c>
      <c r="H71" s="368" t="s">
        <v>89</v>
      </c>
      <c r="I71" s="368" t="s">
        <v>90</v>
      </c>
      <c r="J71" s="368" t="s">
        <v>89</v>
      </c>
      <c r="K71" s="368" t="s">
        <v>91</v>
      </c>
      <c r="L71" s="368" t="s">
        <v>90</v>
      </c>
      <c r="N71" s="22"/>
      <c r="O71" s="22" t="s">
        <v>89</v>
      </c>
      <c r="P71" s="22" t="s">
        <v>89</v>
      </c>
      <c r="Q71" s="22" t="s">
        <v>89</v>
      </c>
      <c r="R71" s="22" t="s">
        <v>89</v>
      </c>
      <c r="S71" s="22" t="s">
        <v>89</v>
      </c>
      <c r="T71" s="22" t="s">
        <v>89</v>
      </c>
      <c r="U71" s="22" t="s">
        <v>89</v>
      </c>
      <c r="V71" s="22" t="s">
        <v>90</v>
      </c>
      <c r="W71" s="22" t="s">
        <v>89</v>
      </c>
      <c r="X71" s="22" t="s">
        <v>91</v>
      </c>
      <c r="Y71" s="22" t="s">
        <v>90</v>
      </c>
      <c r="Z71" s="22"/>
    </row>
    <row r="72" spans="1:26" x14ac:dyDescent="0.2">
      <c r="A72" s="368" t="s">
        <v>7</v>
      </c>
      <c r="B72" s="368">
        <v>4.1999999999999998E-5</v>
      </c>
      <c r="C72" s="368">
        <v>0</v>
      </c>
      <c r="D72" s="368">
        <v>3.03</v>
      </c>
      <c r="E72" s="367">
        <v>5.0000000000000004E-6</v>
      </c>
      <c r="F72" s="368">
        <v>4.8000000000000001E-5</v>
      </c>
      <c r="G72" s="368">
        <v>6.0000000000000002E-6</v>
      </c>
      <c r="H72" s="368">
        <v>5.9599999999999996E-4</v>
      </c>
      <c r="I72" s="367">
        <v>64.091886000000002</v>
      </c>
      <c r="J72" s="368">
        <v>0</v>
      </c>
      <c r="K72" s="368">
        <v>2.0288949999999999</v>
      </c>
      <c r="L72" s="368">
        <v>3.8865620000000001</v>
      </c>
      <c r="N72" s="22" t="s">
        <v>7</v>
      </c>
      <c r="O72" s="22">
        <v>0</v>
      </c>
      <c r="P72" s="22">
        <v>0</v>
      </c>
      <c r="Q72" s="22">
        <v>3.03</v>
      </c>
      <c r="R72" s="88">
        <v>0</v>
      </c>
      <c r="S72" s="22">
        <v>0</v>
      </c>
      <c r="T72" s="22">
        <v>0</v>
      </c>
      <c r="U72" s="22">
        <v>5.9999999999999995E-4</v>
      </c>
      <c r="V72" s="88">
        <v>66.270799999999994</v>
      </c>
      <c r="W72" s="22">
        <v>0</v>
      </c>
      <c r="X72" s="22">
        <v>2.3589500000000001</v>
      </c>
      <c r="Y72" s="22">
        <v>2.4060999999999999</v>
      </c>
      <c r="Z72" s="22"/>
    </row>
    <row r="73" spans="1:26" x14ac:dyDescent="0.2">
      <c r="A73" s="368" t="s">
        <v>11</v>
      </c>
      <c r="B73" s="368">
        <v>1.65E-4</v>
      </c>
      <c r="C73" s="368">
        <v>0</v>
      </c>
      <c r="D73" s="368">
        <v>3.03</v>
      </c>
      <c r="E73" s="367">
        <v>8.7999999999999998E-5</v>
      </c>
      <c r="F73" s="368">
        <v>2.7599999999999999E-4</v>
      </c>
      <c r="G73" s="368">
        <v>6.0000000000000002E-6</v>
      </c>
      <c r="H73" s="368">
        <v>7.6199999999999998E-4</v>
      </c>
      <c r="I73" s="367">
        <v>55.898117999999997</v>
      </c>
      <c r="J73" s="368">
        <v>0</v>
      </c>
      <c r="K73" s="368">
        <v>3.052978</v>
      </c>
      <c r="L73" s="368">
        <v>12.659378</v>
      </c>
      <c r="N73" s="22" t="s">
        <v>11</v>
      </c>
      <c r="O73" s="22">
        <v>0</v>
      </c>
      <c r="P73" s="22">
        <v>0</v>
      </c>
      <c r="Q73" s="22">
        <v>3.03</v>
      </c>
      <c r="R73" s="88">
        <v>8.0000000000000007E-5</v>
      </c>
      <c r="S73" s="22">
        <v>9.0000000000000006E-5</v>
      </c>
      <c r="T73" s="22">
        <v>0</v>
      </c>
      <c r="U73" s="22">
        <v>8.4000000000000003E-4</v>
      </c>
      <c r="V73" s="88">
        <v>55.607889999999998</v>
      </c>
      <c r="W73" s="22">
        <v>0</v>
      </c>
      <c r="X73" s="22">
        <v>3.0395099999999999</v>
      </c>
      <c r="Y73" s="22">
        <v>13.96335</v>
      </c>
      <c r="Z73" s="22"/>
    </row>
    <row r="74" spans="1:26" x14ac:dyDescent="0.2">
      <c r="A74" s="368" t="s">
        <v>12</v>
      </c>
      <c r="B74" s="368">
        <v>2.7799999999999998E-2</v>
      </c>
      <c r="C74" s="368">
        <v>0</v>
      </c>
      <c r="D74" s="368">
        <v>3.03</v>
      </c>
      <c r="E74" s="367">
        <v>3.042E-3</v>
      </c>
      <c r="F74" s="368">
        <v>2.4115000000000001E-2</v>
      </c>
      <c r="G74" s="368">
        <v>2.3E-5</v>
      </c>
      <c r="H74" s="368">
        <v>1.523E-3</v>
      </c>
      <c r="I74" s="367">
        <v>47.189256999999998</v>
      </c>
      <c r="J74" s="368">
        <v>3.6999999999999998E-5</v>
      </c>
      <c r="K74" s="368">
        <v>3.1753049999999998</v>
      </c>
      <c r="L74" s="368">
        <v>22.077010000000001</v>
      </c>
      <c r="N74" s="22" t="s">
        <v>12</v>
      </c>
      <c r="O74" s="22">
        <v>2.7799999999999998E-2</v>
      </c>
      <c r="P74" s="22">
        <v>0</v>
      </c>
      <c r="Q74" s="22">
        <v>3.03</v>
      </c>
      <c r="R74" s="88">
        <v>3.0400000000000002E-3</v>
      </c>
      <c r="S74" s="22">
        <v>2.402E-2</v>
      </c>
      <c r="T74" s="22">
        <v>1.0000000000000001E-5</v>
      </c>
      <c r="U74" s="22">
        <v>1.4300000000000001E-3</v>
      </c>
      <c r="V74" s="88">
        <v>48.139270000000003</v>
      </c>
      <c r="W74" s="22">
        <v>3.0000000000000001E-5</v>
      </c>
      <c r="X74" s="22">
        <v>3.0389599999999999</v>
      </c>
      <c r="Y74" s="22">
        <v>22.058499999999999</v>
      </c>
      <c r="Z74" s="22"/>
    </row>
    <row r="75" spans="1:26" x14ac:dyDescent="0.2">
      <c r="A75" s="368" t="s">
        <v>13</v>
      </c>
      <c r="B75" s="368">
        <v>5.62E-2</v>
      </c>
      <c r="C75" s="368">
        <v>0</v>
      </c>
      <c r="D75" s="368">
        <v>3.03</v>
      </c>
      <c r="E75" s="367">
        <v>2.7330000000000002E-3</v>
      </c>
      <c r="F75" s="368">
        <v>6.0908999999999998E-2</v>
      </c>
      <c r="G75" s="368">
        <v>9.0000000000000002E-6</v>
      </c>
      <c r="H75" s="368">
        <v>3.4480000000000001E-3</v>
      </c>
      <c r="I75" s="367">
        <v>32.744303000000002</v>
      </c>
      <c r="J75" s="368">
        <v>2.1000000000000001E-4</v>
      </c>
      <c r="K75" s="368">
        <v>3.0337670000000001</v>
      </c>
      <c r="L75" s="368">
        <v>38.474907999999999</v>
      </c>
      <c r="N75" s="22" t="s">
        <v>13</v>
      </c>
      <c r="O75" s="22">
        <v>5.62E-2</v>
      </c>
      <c r="P75" s="22">
        <v>0</v>
      </c>
      <c r="Q75" s="22">
        <v>3.03</v>
      </c>
      <c r="R75" s="88">
        <v>2.7499999999999998E-3</v>
      </c>
      <c r="S75" s="22">
        <v>6.0819999999999999E-2</v>
      </c>
      <c r="T75" s="22">
        <v>1.0000000000000001E-5</v>
      </c>
      <c r="U75" s="22">
        <v>3.3700000000000002E-3</v>
      </c>
      <c r="V75" s="88">
        <v>33.641480000000001</v>
      </c>
      <c r="W75" s="22">
        <v>2.0000000000000001E-4</v>
      </c>
      <c r="X75" s="22">
        <v>2.9852699999999999</v>
      </c>
      <c r="Y75" s="22">
        <v>38.501930000000002</v>
      </c>
      <c r="Z75" s="22"/>
    </row>
    <row r="76" spans="1:26" x14ac:dyDescent="0.2">
      <c r="A76" s="368" t="s">
        <v>14</v>
      </c>
      <c r="B76" s="368">
        <v>0.12330000000000001</v>
      </c>
      <c r="C76" s="368">
        <v>0</v>
      </c>
      <c r="D76" s="368">
        <v>3.153</v>
      </c>
      <c r="E76" s="367">
        <v>6.404E-3</v>
      </c>
      <c r="F76" s="368">
        <v>0.114583</v>
      </c>
      <c r="G76" s="368">
        <v>6.0000000000000002E-6</v>
      </c>
      <c r="H76" s="368">
        <v>9.8180000000000003E-3</v>
      </c>
      <c r="I76" s="367">
        <v>22.17709</v>
      </c>
      <c r="J76" s="368">
        <v>1.1249999999999999E-3</v>
      </c>
      <c r="K76" s="368">
        <v>3.0645009999999999</v>
      </c>
      <c r="L76" s="368">
        <v>51.835413000000003</v>
      </c>
      <c r="N76" s="22" t="s">
        <v>14</v>
      </c>
      <c r="O76" s="22">
        <v>0.12330000000000001</v>
      </c>
      <c r="P76" s="22">
        <v>0</v>
      </c>
      <c r="Q76" s="22">
        <v>3.153</v>
      </c>
      <c r="R76" s="88">
        <v>6.3400000000000001E-3</v>
      </c>
      <c r="S76" s="22">
        <v>0.11454</v>
      </c>
      <c r="T76" s="22">
        <v>1.0000000000000001E-5</v>
      </c>
      <c r="U76" s="22">
        <v>9.58E-3</v>
      </c>
      <c r="V76" s="88">
        <v>23.18732</v>
      </c>
      <c r="W76" s="22">
        <v>1.1000000000000001E-3</v>
      </c>
      <c r="X76" s="22">
        <v>3.01308</v>
      </c>
      <c r="Y76" s="22">
        <v>51.816249999999997</v>
      </c>
      <c r="Z76" s="22"/>
    </row>
    <row r="77" spans="1:26" x14ac:dyDescent="0.2">
      <c r="A77" s="368" t="s">
        <v>15</v>
      </c>
      <c r="B77" s="368">
        <v>0.21859999999999999</v>
      </c>
      <c r="C77" s="368">
        <v>0</v>
      </c>
      <c r="D77" s="368">
        <v>2.5499999999999998</v>
      </c>
      <c r="E77" s="367">
        <v>1.6922E-2</v>
      </c>
      <c r="F77" s="368">
        <v>0.20566400000000001</v>
      </c>
      <c r="G77" s="368">
        <v>6.0000000000000002E-6</v>
      </c>
      <c r="H77" s="368">
        <v>2.1416000000000001E-2</v>
      </c>
      <c r="I77" s="367">
        <v>13.955360000000001</v>
      </c>
      <c r="J77" s="368">
        <v>4.4050000000000001E-3</v>
      </c>
      <c r="K77" s="368">
        <v>2.742845</v>
      </c>
      <c r="L77" s="368">
        <v>63.837212000000001</v>
      </c>
      <c r="N77" s="22" t="s">
        <v>15</v>
      </c>
      <c r="O77" s="22">
        <v>0.21859999999999999</v>
      </c>
      <c r="P77" s="22">
        <v>0</v>
      </c>
      <c r="Q77" s="22">
        <v>2.5499999999999998</v>
      </c>
      <c r="R77" s="88">
        <v>1.6840000000000001E-2</v>
      </c>
      <c r="S77" s="22">
        <v>0.20668</v>
      </c>
      <c r="T77" s="22">
        <v>1.0000000000000001E-5</v>
      </c>
      <c r="U77" s="22">
        <v>1.8540000000000001E-2</v>
      </c>
      <c r="V77" s="88">
        <v>15.09309</v>
      </c>
      <c r="W77" s="22">
        <v>3.8300000000000001E-3</v>
      </c>
      <c r="X77" s="22">
        <v>2.5139100000000001</v>
      </c>
      <c r="Y77" s="22">
        <v>63.801609999999997</v>
      </c>
      <c r="Z77" s="22"/>
    </row>
    <row r="78" spans="1:26" x14ac:dyDescent="0.2">
      <c r="A78" s="368" t="s">
        <v>16</v>
      </c>
      <c r="B78" s="368">
        <v>0.21809999999999999</v>
      </c>
      <c r="C78" s="368">
        <v>0</v>
      </c>
      <c r="D78" s="368">
        <v>2.2000000000000002</v>
      </c>
      <c r="E78" s="367">
        <v>2.8300000000000001E-3</v>
      </c>
      <c r="F78" s="368">
        <v>0.218055</v>
      </c>
      <c r="G78" s="368">
        <v>6.0000000000000002E-6</v>
      </c>
      <c r="H78" s="368">
        <v>5.1720000000000002E-2</v>
      </c>
      <c r="I78" s="367">
        <v>7.9026259999999997</v>
      </c>
      <c r="J78" s="368">
        <v>1.1273999999999999E-2</v>
      </c>
      <c r="K78" s="368">
        <v>2.685568</v>
      </c>
      <c r="L78" s="368">
        <v>74.704417000000007</v>
      </c>
      <c r="N78" s="22" t="s">
        <v>16</v>
      </c>
      <c r="O78" s="22">
        <v>0.21809999999999999</v>
      </c>
      <c r="P78" s="22">
        <v>0</v>
      </c>
      <c r="Q78" s="22">
        <v>2.2000000000000002</v>
      </c>
      <c r="R78" s="88">
        <v>1.5200000000000001E-3</v>
      </c>
      <c r="S78" s="22">
        <v>0.22364000000000001</v>
      </c>
      <c r="T78" s="22">
        <v>1.0000000000000001E-5</v>
      </c>
      <c r="U78" s="22">
        <v>3.8730000000000001E-2</v>
      </c>
      <c r="V78" s="88">
        <v>9.3197100000000006</v>
      </c>
      <c r="W78" s="22">
        <v>8.6599999999999993E-3</v>
      </c>
      <c r="X78" s="22">
        <v>2.2321399999999998</v>
      </c>
      <c r="Y78" s="22">
        <v>74.159009999999995</v>
      </c>
      <c r="Z78" s="22"/>
    </row>
    <row r="79" spans="1:26" x14ac:dyDescent="0.2">
      <c r="A79" s="368" t="s">
        <v>17</v>
      </c>
      <c r="B79" s="368">
        <v>0.1134</v>
      </c>
      <c r="C79" s="368">
        <v>0</v>
      </c>
      <c r="D79" s="368">
        <v>1.9</v>
      </c>
      <c r="E79" s="367">
        <v>6.8060000000000004E-3</v>
      </c>
      <c r="F79" s="368">
        <v>0.12884000000000001</v>
      </c>
      <c r="G79" s="368">
        <v>6.9999999999999999E-6</v>
      </c>
      <c r="H79" s="368">
        <v>0.109997</v>
      </c>
      <c r="I79" s="367">
        <v>4.723509</v>
      </c>
      <c r="J79" s="368">
        <v>1.4164E-2</v>
      </c>
      <c r="K79" s="368">
        <v>2.4997929999999999</v>
      </c>
      <c r="L79" s="368">
        <v>94.558993000000001</v>
      </c>
      <c r="N79" s="22" t="s">
        <v>17</v>
      </c>
      <c r="O79" s="22">
        <v>0.1134</v>
      </c>
      <c r="P79" s="22">
        <v>0</v>
      </c>
      <c r="Q79" s="22">
        <v>1.9</v>
      </c>
      <c r="R79" s="88">
        <v>4.0899999999999999E-3</v>
      </c>
      <c r="S79" s="22">
        <v>0.14332</v>
      </c>
      <c r="T79" s="22">
        <v>1.0000000000000001E-5</v>
      </c>
      <c r="U79" s="22">
        <v>7.9689999999999997E-2</v>
      </c>
      <c r="V79" s="88">
        <v>4.2988400000000002</v>
      </c>
      <c r="W79" s="22">
        <v>1.142E-2</v>
      </c>
      <c r="X79" s="22">
        <v>2.0078399999999998</v>
      </c>
      <c r="Y79" s="22">
        <v>98.313500000000005</v>
      </c>
      <c r="Z79" s="22"/>
    </row>
    <row r="80" spans="1:26" x14ac:dyDescent="0.2">
      <c r="A80" s="368" t="s">
        <v>92</v>
      </c>
      <c r="B80" s="368">
        <v>7.7126E-2</v>
      </c>
      <c r="C80" s="368" t="s">
        <v>93</v>
      </c>
      <c r="D80" s="368" t="s">
        <v>93</v>
      </c>
      <c r="E80" s="367">
        <v>4.4039999999999999E-3</v>
      </c>
      <c r="F80" s="368">
        <v>7.4899999999999994E-2</v>
      </c>
      <c r="G80" s="368">
        <v>7.9999999999999996E-6</v>
      </c>
      <c r="H80" s="368">
        <v>2.0309000000000001E-2</v>
      </c>
      <c r="I80" s="367">
        <v>23.845058999999999</v>
      </c>
      <c r="J80" s="368">
        <v>1.521E-3</v>
      </c>
      <c r="K80" s="368">
        <v>2.7332260000000002</v>
      </c>
      <c r="L80" s="368">
        <v>50.831403999999999</v>
      </c>
      <c r="N80" s="22" t="s">
        <v>92</v>
      </c>
      <c r="O80" s="22">
        <v>7.7100000000000002E-2</v>
      </c>
      <c r="P80" s="22" t="s">
        <v>93</v>
      </c>
      <c r="Q80" s="22" t="s">
        <v>93</v>
      </c>
      <c r="R80" s="88">
        <v>4.2599999999999999E-3</v>
      </c>
      <c r="S80" s="22">
        <v>7.5509999999999994E-2</v>
      </c>
      <c r="T80" s="22">
        <v>1.0000000000000001E-5</v>
      </c>
      <c r="U80" s="22">
        <v>1.6959999999999999E-2</v>
      </c>
      <c r="V80" s="88">
        <v>25.36872</v>
      </c>
      <c r="W80" s="22">
        <v>1.2800000000000001E-3</v>
      </c>
      <c r="X80" s="22">
        <v>2.4335100000000001</v>
      </c>
      <c r="Y80" s="22">
        <v>49.882420000000003</v>
      </c>
      <c r="Z80" s="22"/>
    </row>
    <row r="81" spans="1:26" x14ac:dyDescent="0.2">
      <c r="A81" s="22"/>
      <c r="B81" s="22"/>
      <c r="C81" s="22"/>
      <c r="D81" s="22"/>
      <c r="E81" s="22"/>
      <c r="F81" s="22"/>
      <c r="G81" s="22"/>
      <c r="H81" s="22"/>
      <c r="I81" s="22"/>
      <c r="J81" s="22"/>
      <c r="K81" s="22"/>
      <c r="L81" s="22"/>
      <c r="N81" s="22"/>
      <c r="O81" s="22"/>
      <c r="P81" s="22"/>
      <c r="Q81" s="22"/>
      <c r="R81" s="22"/>
      <c r="S81" s="22"/>
      <c r="T81" s="22"/>
      <c r="U81" s="22"/>
      <c r="V81" s="22"/>
      <c r="W81" s="22"/>
      <c r="X81" s="22"/>
      <c r="Y81" s="22"/>
      <c r="Z81" s="22"/>
    </row>
    <row r="82" spans="1:26" x14ac:dyDescent="0.2">
      <c r="A82" s="368" t="s">
        <v>301</v>
      </c>
      <c r="B82" s="368"/>
      <c r="C82" s="368"/>
      <c r="D82" s="368"/>
      <c r="E82" s="368"/>
      <c r="F82" s="368"/>
      <c r="G82" s="368"/>
      <c r="H82" s="368"/>
      <c r="I82" s="368"/>
      <c r="J82" s="368"/>
      <c r="K82" s="368"/>
      <c r="L82" s="368"/>
      <c r="N82" s="22" t="s">
        <v>96</v>
      </c>
      <c r="O82" s="22"/>
      <c r="P82" s="22"/>
      <c r="Q82" s="22"/>
      <c r="R82" s="22"/>
      <c r="S82" s="22"/>
      <c r="T82" s="22"/>
      <c r="U82" s="22"/>
      <c r="V82" s="22"/>
      <c r="W82" s="22"/>
      <c r="X82" s="22"/>
      <c r="Y82" s="22"/>
      <c r="Z82" s="22"/>
    </row>
    <row r="83" spans="1:26" x14ac:dyDescent="0.2">
      <c r="A83" s="368"/>
      <c r="B83" s="368" t="s">
        <v>35</v>
      </c>
      <c r="C83" s="368"/>
      <c r="D83" s="368"/>
      <c r="E83" s="368"/>
      <c r="F83" s="368"/>
      <c r="G83" s="368"/>
      <c r="H83" s="368"/>
      <c r="I83" s="368"/>
      <c r="J83" s="368"/>
      <c r="K83" s="368"/>
      <c r="L83" s="368"/>
      <c r="N83" s="22"/>
      <c r="O83" s="22" t="s">
        <v>35</v>
      </c>
      <c r="P83" s="22"/>
      <c r="Q83" s="22"/>
      <c r="R83" s="22"/>
      <c r="S83" s="22"/>
      <c r="T83" s="22"/>
      <c r="U83" s="22"/>
      <c r="V83" s="22"/>
      <c r="W83" s="22"/>
      <c r="X83" s="22"/>
      <c r="Y83" s="22"/>
      <c r="Z83" s="22"/>
    </row>
    <row r="84" spans="1:26" x14ac:dyDescent="0.2">
      <c r="A84" s="368"/>
      <c r="B84" s="368" t="s">
        <v>79</v>
      </c>
      <c r="C84" s="368" t="s">
        <v>79</v>
      </c>
      <c r="D84" s="368" t="s">
        <v>79</v>
      </c>
      <c r="E84" s="368" t="s">
        <v>80</v>
      </c>
      <c r="F84" s="368" t="s">
        <v>80</v>
      </c>
      <c r="G84" s="368" t="s">
        <v>80</v>
      </c>
      <c r="H84" s="368" t="s">
        <v>80</v>
      </c>
      <c r="I84" s="368" t="s">
        <v>80</v>
      </c>
      <c r="J84" s="368" t="s">
        <v>80</v>
      </c>
      <c r="K84" s="368" t="s">
        <v>80</v>
      </c>
      <c r="L84" s="368" t="s">
        <v>80</v>
      </c>
      <c r="N84" s="22"/>
      <c r="O84" s="22" t="s">
        <v>79</v>
      </c>
      <c r="P84" s="22" t="s">
        <v>79</v>
      </c>
      <c r="Q84" s="22" t="s">
        <v>79</v>
      </c>
      <c r="R84" s="22" t="s">
        <v>80</v>
      </c>
      <c r="S84" s="22" t="s">
        <v>80</v>
      </c>
      <c r="T84" s="22" t="s">
        <v>80</v>
      </c>
      <c r="U84" s="22" t="s">
        <v>80</v>
      </c>
      <c r="V84" s="22" t="s">
        <v>80</v>
      </c>
      <c r="W84" s="22" t="s">
        <v>80</v>
      </c>
      <c r="X84" s="22" t="s">
        <v>80</v>
      </c>
      <c r="Y84" s="22" t="s">
        <v>80</v>
      </c>
      <c r="Z84" s="22"/>
    </row>
    <row r="85" spans="1:26" x14ac:dyDescent="0.2">
      <c r="A85" s="368" t="s">
        <v>81</v>
      </c>
      <c r="B85" s="368" t="s">
        <v>85</v>
      </c>
      <c r="C85" s="368" t="s">
        <v>82</v>
      </c>
      <c r="D85" s="368" t="s">
        <v>84</v>
      </c>
      <c r="E85" s="368" t="s">
        <v>27</v>
      </c>
      <c r="F85" s="368" t="s">
        <v>85</v>
      </c>
      <c r="G85" s="368" t="s">
        <v>82</v>
      </c>
      <c r="H85" s="368" t="s">
        <v>83</v>
      </c>
      <c r="I85" s="368" t="s">
        <v>9</v>
      </c>
      <c r="J85" s="368" t="s">
        <v>86</v>
      </c>
      <c r="K85" s="368" t="s">
        <v>87</v>
      </c>
      <c r="L85" s="368" t="s">
        <v>88</v>
      </c>
      <c r="N85" s="22" t="s">
        <v>81</v>
      </c>
      <c r="O85" s="22" t="s">
        <v>85</v>
      </c>
      <c r="P85" s="22" t="s">
        <v>82</v>
      </c>
      <c r="Q85" s="22" t="s">
        <v>84</v>
      </c>
      <c r="R85" s="22" t="s">
        <v>27</v>
      </c>
      <c r="S85" s="22" t="s">
        <v>85</v>
      </c>
      <c r="T85" s="22" t="s">
        <v>82</v>
      </c>
      <c r="U85" s="22" t="s">
        <v>83</v>
      </c>
      <c r="V85" s="22" t="s">
        <v>9</v>
      </c>
      <c r="W85" s="22" t="s">
        <v>86</v>
      </c>
      <c r="X85" s="22" t="s">
        <v>87</v>
      </c>
      <c r="Y85" s="22" t="s">
        <v>88</v>
      </c>
      <c r="Z85" s="22"/>
    </row>
    <row r="86" spans="1:26" x14ac:dyDescent="0.2">
      <c r="A86" s="368"/>
      <c r="B86" s="368" t="s">
        <v>94</v>
      </c>
      <c r="C86" s="368" t="s">
        <v>89</v>
      </c>
      <c r="D86" s="368" t="s">
        <v>89</v>
      </c>
      <c r="E86" s="368" t="s">
        <v>94</v>
      </c>
      <c r="F86" s="368" t="s">
        <v>94</v>
      </c>
      <c r="G86" s="368" t="s">
        <v>94</v>
      </c>
      <c r="H86" s="368" t="s">
        <v>94</v>
      </c>
      <c r="I86" s="368" t="s">
        <v>90</v>
      </c>
      <c r="J86" s="368" t="s">
        <v>94</v>
      </c>
      <c r="K86" s="368" t="s">
        <v>91</v>
      </c>
      <c r="L86" s="368" t="s">
        <v>90</v>
      </c>
      <c r="N86" s="22"/>
      <c r="O86" s="22" t="s">
        <v>94</v>
      </c>
      <c r="P86" s="22" t="s">
        <v>89</v>
      </c>
      <c r="Q86" s="22" t="s">
        <v>89</v>
      </c>
      <c r="R86" s="22" t="s">
        <v>94</v>
      </c>
      <c r="S86" s="22" t="s">
        <v>94</v>
      </c>
      <c r="T86" s="22" t="s">
        <v>94</v>
      </c>
      <c r="U86" s="22" t="s">
        <v>94</v>
      </c>
      <c r="V86" s="22" t="s">
        <v>90</v>
      </c>
      <c r="W86" s="22" t="s">
        <v>94</v>
      </c>
      <c r="X86" s="22" t="s">
        <v>91</v>
      </c>
      <c r="Y86" s="22" t="s">
        <v>90</v>
      </c>
      <c r="Z86" s="22"/>
    </row>
    <row r="87" spans="1:26" x14ac:dyDescent="0.2">
      <c r="A87" s="368" t="s">
        <v>7</v>
      </c>
      <c r="B87" s="368">
        <v>77</v>
      </c>
      <c r="C87" s="368">
        <v>0</v>
      </c>
      <c r="D87" s="368">
        <v>3.03</v>
      </c>
      <c r="E87" s="368">
        <v>10</v>
      </c>
      <c r="F87" s="368">
        <v>89</v>
      </c>
      <c r="G87" s="368">
        <v>0</v>
      </c>
      <c r="H87" s="368">
        <v>0</v>
      </c>
      <c r="I87" s="368">
        <v>64.091886000000002</v>
      </c>
      <c r="J87" s="368">
        <v>0</v>
      </c>
      <c r="K87" s="368">
        <v>2.0288949999999999</v>
      </c>
      <c r="L87" s="368">
        <v>3.8865620000000001</v>
      </c>
      <c r="N87" s="22" t="s">
        <v>7</v>
      </c>
      <c r="O87" s="22">
        <v>0</v>
      </c>
      <c r="P87" s="22">
        <v>0</v>
      </c>
      <c r="Q87" s="22">
        <v>3.03</v>
      </c>
      <c r="R87" s="22">
        <v>0</v>
      </c>
      <c r="S87" s="88">
        <v>0</v>
      </c>
      <c r="T87" s="22">
        <v>0</v>
      </c>
      <c r="U87" s="22">
        <v>0</v>
      </c>
      <c r="V87" s="22">
        <v>66.270799999999994</v>
      </c>
      <c r="W87" s="22">
        <v>0</v>
      </c>
      <c r="X87" s="22">
        <v>2.3589500000000001</v>
      </c>
      <c r="Y87" s="22">
        <v>2.4060999999999999</v>
      </c>
      <c r="Z87" s="22"/>
    </row>
    <row r="88" spans="1:26" x14ac:dyDescent="0.2">
      <c r="A88" s="368" t="s">
        <v>11</v>
      </c>
      <c r="B88" s="368">
        <v>651</v>
      </c>
      <c r="C88" s="368">
        <v>0</v>
      </c>
      <c r="D88" s="368">
        <v>3.03</v>
      </c>
      <c r="E88" s="368">
        <v>346</v>
      </c>
      <c r="F88" s="368">
        <v>1086</v>
      </c>
      <c r="G88" s="368">
        <v>0</v>
      </c>
      <c r="H88" s="368">
        <v>1</v>
      </c>
      <c r="I88" s="368">
        <v>55.898117999999997</v>
      </c>
      <c r="J88" s="368">
        <v>1</v>
      </c>
      <c r="K88" s="368">
        <v>3.052978</v>
      </c>
      <c r="L88" s="368">
        <v>12.659378</v>
      </c>
      <c r="N88" s="22" t="s">
        <v>11</v>
      </c>
      <c r="O88" s="22">
        <v>0</v>
      </c>
      <c r="P88" s="22">
        <v>0</v>
      </c>
      <c r="Q88" s="22">
        <v>3.03</v>
      </c>
      <c r="R88" s="22">
        <v>326</v>
      </c>
      <c r="S88" s="88">
        <v>338</v>
      </c>
      <c r="T88" s="22">
        <v>0</v>
      </c>
      <c r="U88" s="22">
        <v>0</v>
      </c>
      <c r="V88" s="22">
        <v>55.607889999999998</v>
      </c>
      <c r="W88" s="22">
        <v>0</v>
      </c>
      <c r="X88" s="22">
        <v>3.0395099999999999</v>
      </c>
      <c r="Y88" s="22">
        <v>13.96335</v>
      </c>
      <c r="Z88" s="22"/>
    </row>
    <row r="89" spans="1:26" x14ac:dyDescent="0.2">
      <c r="A89" s="368" t="s">
        <v>12</v>
      </c>
      <c r="B89" s="368">
        <v>195327</v>
      </c>
      <c r="C89" s="368">
        <v>0</v>
      </c>
      <c r="D89" s="368">
        <v>3.03</v>
      </c>
      <c r="E89" s="368">
        <v>20877</v>
      </c>
      <c r="F89" s="368">
        <v>169438</v>
      </c>
      <c r="G89" s="368">
        <v>4</v>
      </c>
      <c r="H89" s="368">
        <v>258</v>
      </c>
      <c r="I89" s="368">
        <v>47.189256999999998</v>
      </c>
      <c r="J89" s="368">
        <v>258</v>
      </c>
      <c r="K89" s="368">
        <v>3.1753049999999998</v>
      </c>
      <c r="L89" s="368">
        <v>22.077010000000001</v>
      </c>
      <c r="N89" s="22" t="s">
        <v>12</v>
      </c>
      <c r="O89" s="22">
        <v>195327</v>
      </c>
      <c r="P89" s="22">
        <v>0</v>
      </c>
      <c r="Q89" s="22">
        <v>3.03</v>
      </c>
      <c r="R89" s="22">
        <v>20843</v>
      </c>
      <c r="S89" s="88">
        <v>168756</v>
      </c>
      <c r="T89" s="22">
        <v>1</v>
      </c>
      <c r="U89" s="22">
        <v>242</v>
      </c>
      <c r="V89" s="22">
        <v>48.139270000000003</v>
      </c>
      <c r="W89" s="22">
        <v>242</v>
      </c>
      <c r="X89" s="22">
        <v>3.0389599999999999</v>
      </c>
      <c r="Y89" s="22">
        <v>22.058499999999999</v>
      </c>
      <c r="Z89" s="22"/>
    </row>
    <row r="90" spans="1:26" x14ac:dyDescent="0.2">
      <c r="A90" s="368" t="s">
        <v>13</v>
      </c>
      <c r="B90" s="368">
        <v>450601</v>
      </c>
      <c r="C90" s="368">
        <v>0</v>
      </c>
      <c r="D90" s="368">
        <v>3.03</v>
      </c>
      <c r="E90" s="368">
        <v>20529</v>
      </c>
      <c r="F90" s="368">
        <v>488354</v>
      </c>
      <c r="G90" s="368">
        <v>4</v>
      </c>
      <c r="H90" s="368">
        <v>1684</v>
      </c>
      <c r="I90" s="368">
        <v>32.744303000000002</v>
      </c>
      <c r="J90" s="368">
        <v>1684</v>
      </c>
      <c r="K90" s="368">
        <v>3.0337670000000001</v>
      </c>
      <c r="L90" s="368">
        <v>38.474907999999999</v>
      </c>
      <c r="N90" s="22" t="s">
        <v>13</v>
      </c>
      <c r="O90" s="22">
        <v>450601</v>
      </c>
      <c r="P90" s="22">
        <v>0</v>
      </c>
      <c r="Q90" s="22">
        <v>3.03</v>
      </c>
      <c r="R90" s="22">
        <v>20654</v>
      </c>
      <c r="S90" s="88">
        <v>487627</v>
      </c>
      <c r="T90" s="22">
        <v>3</v>
      </c>
      <c r="U90" s="22">
        <v>1641</v>
      </c>
      <c r="V90" s="22">
        <v>33.641480000000001</v>
      </c>
      <c r="W90" s="22">
        <v>1641</v>
      </c>
      <c r="X90" s="22">
        <v>2.9852699999999999</v>
      </c>
      <c r="Y90" s="22">
        <v>38.501930000000002</v>
      </c>
      <c r="Z90" s="22"/>
    </row>
    <row r="91" spans="1:26" x14ac:dyDescent="0.2">
      <c r="A91" s="368" t="s">
        <v>14</v>
      </c>
      <c r="B91" s="368">
        <v>883100</v>
      </c>
      <c r="C91" s="368">
        <v>0</v>
      </c>
      <c r="D91" s="368">
        <v>3.153</v>
      </c>
      <c r="E91" s="368">
        <v>40623</v>
      </c>
      <c r="F91" s="368">
        <v>820666</v>
      </c>
      <c r="G91" s="368">
        <v>5</v>
      </c>
      <c r="H91" s="368">
        <v>8057</v>
      </c>
      <c r="I91" s="368">
        <v>22.17709</v>
      </c>
      <c r="J91" s="368">
        <v>8058</v>
      </c>
      <c r="K91" s="368">
        <v>3.0645009999999999</v>
      </c>
      <c r="L91" s="368">
        <v>51.835413000000003</v>
      </c>
      <c r="N91" s="22" t="s">
        <v>14</v>
      </c>
      <c r="O91" s="22">
        <v>883100</v>
      </c>
      <c r="P91" s="22">
        <v>0</v>
      </c>
      <c r="Q91" s="22">
        <v>3.153</v>
      </c>
      <c r="R91" s="22">
        <v>40243</v>
      </c>
      <c r="S91" s="88">
        <v>820336</v>
      </c>
      <c r="T91" s="22">
        <v>5</v>
      </c>
      <c r="U91" s="22">
        <v>7857</v>
      </c>
      <c r="V91" s="22">
        <v>23.18732</v>
      </c>
      <c r="W91" s="22">
        <v>7857</v>
      </c>
      <c r="X91" s="22">
        <v>3.01308</v>
      </c>
      <c r="Y91" s="22">
        <v>51.816249999999997</v>
      </c>
      <c r="Z91" s="22"/>
    </row>
    <row r="92" spans="1:26" x14ac:dyDescent="0.2">
      <c r="A92" s="368" t="s">
        <v>15</v>
      </c>
      <c r="B92" s="368">
        <v>598958</v>
      </c>
      <c r="C92" s="368">
        <v>0</v>
      </c>
      <c r="D92" s="368">
        <v>2.5499999999999998</v>
      </c>
      <c r="E92" s="368">
        <v>37091</v>
      </c>
      <c r="F92" s="368">
        <v>563513</v>
      </c>
      <c r="G92" s="368">
        <v>3</v>
      </c>
      <c r="H92" s="368">
        <v>12068</v>
      </c>
      <c r="I92" s="368">
        <v>13.955360000000001</v>
      </c>
      <c r="J92" s="368">
        <v>12070</v>
      </c>
      <c r="K92" s="368">
        <v>2.742845</v>
      </c>
      <c r="L92" s="368">
        <v>63.837212000000001</v>
      </c>
      <c r="N92" s="22" t="s">
        <v>15</v>
      </c>
      <c r="O92" s="22">
        <v>598958</v>
      </c>
      <c r="P92" s="22">
        <v>0</v>
      </c>
      <c r="Q92" s="22">
        <v>2.5499999999999998</v>
      </c>
      <c r="R92" s="22">
        <v>36907</v>
      </c>
      <c r="S92" s="88">
        <v>566304</v>
      </c>
      <c r="T92" s="22">
        <v>3</v>
      </c>
      <c r="U92" s="22">
        <v>10501</v>
      </c>
      <c r="V92" s="22">
        <v>15.09309</v>
      </c>
      <c r="W92" s="22">
        <v>10503</v>
      </c>
      <c r="X92" s="22">
        <v>2.5139100000000001</v>
      </c>
      <c r="Y92" s="22">
        <v>63.801609999999997</v>
      </c>
      <c r="Z92" s="22"/>
    </row>
    <row r="93" spans="1:26" x14ac:dyDescent="0.2">
      <c r="A93" s="368" t="s">
        <v>16</v>
      </c>
      <c r="B93" s="368">
        <v>330039</v>
      </c>
      <c r="C93" s="368">
        <v>0</v>
      </c>
      <c r="D93" s="368">
        <v>2.2000000000000002</v>
      </c>
      <c r="E93" s="368">
        <v>3346</v>
      </c>
      <c r="F93" s="368">
        <v>329971</v>
      </c>
      <c r="G93" s="368">
        <v>2</v>
      </c>
      <c r="H93" s="368">
        <v>17066</v>
      </c>
      <c r="I93" s="368">
        <v>7.9026259999999997</v>
      </c>
      <c r="J93" s="368">
        <v>17061</v>
      </c>
      <c r="K93" s="368">
        <v>2.685568</v>
      </c>
      <c r="L93" s="368">
        <v>74.704417000000007</v>
      </c>
      <c r="N93" s="22" t="s">
        <v>16</v>
      </c>
      <c r="O93" s="22">
        <v>330039</v>
      </c>
      <c r="P93" s="22">
        <v>0</v>
      </c>
      <c r="Q93" s="22">
        <v>2.2000000000000002</v>
      </c>
      <c r="R93" s="22">
        <v>1783</v>
      </c>
      <c r="S93" s="88">
        <v>338424</v>
      </c>
      <c r="T93" s="22">
        <v>2</v>
      </c>
      <c r="U93" s="22">
        <v>13107</v>
      </c>
      <c r="V93" s="22">
        <v>9.3197100000000006</v>
      </c>
      <c r="W93" s="22">
        <v>13105</v>
      </c>
      <c r="X93" s="22">
        <v>2.2321399999999998</v>
      </c>
      <c r="Y93" s="22">
        <v>74.159009999999995</v>
      </c>
      <c r="Z93" s="22"/>
    </row>
    <row r="94" spans="1:26" x14ac:dyDescent="0.2">
      <c r="A94" s="368" t="s">
        <v>17</v>
      </c>
      <c r="B94" s="368">
        <v>88928</v>
      </c>
      <c r="C94" s="368">
        <v>0</v>
      </c>
      <c r="D94" s="368">
        <v>1.9</v>
      </c>
      <c r="E94" s="368">
        <v>4702</v>
      </c>
      <c r="F94" s="368">
        <v>101035</v>
      </c>
      <c r="G94" s="368">
        <v>1</v>
      </c>
      <c r="H94" s="368">
        <v>11114</v>
      </c>
      <c r="I94" s="368">
        <v>4.723509</v>
      </c>
      <c r="J94" s="368">
        <v>11107</v>
      </c>
      <c r="K94" s="368">
        <v>2.4997929999999999</v>
      </c>
      <c r="L94" s="368">
        <v>94.558993000000001</v>
      </c>
      <c r="N94" s="22" t="s">
        <v>17</v>
      </c>
      <c r="O94" s="22">
        <v>88928</v>
      </c>
      <c r="P94" s="22">
        <v>0</v>
      </c>
      <c r="Q94" s="22">
        <v>1.9</v>
      </c>
      <c r="R94" s="22">
        <v>2841</v>
      </c>
      <c r="S94" s="88">
        <v>112390</v>
      </c>
      <c r="T94" s="22">
        <v>1</v>
      </c>
      <c r="U94" s="22">
        <v>8956</v>
      </c>
      <c r="V94" s="22">
        <v>4.2988400000000002</v>
      </c>
      <c r="W94" s="22">
        <v>8954</v>
      </c>
      <c r="X94" s="22">
        <v>2.0078399999999998</v>
      </c>
      <c r="Y94" s="22">
        <v>98.313500000000005</v>
      </c>
      <c r="Z94" s="22"/>
    </row>
    <row r="95" spans="1:26" x14ac:dyDescent="0.2">
      <c r="A95" s="368" t="s">
        <v>92</v>
      </c>
      <c r="B95" s="368">
        <v>2547680</v>
      </c>
      <c r="C95" s="368" t="s">
        <v>93</v>
      </c>
      <c r="D95" s="368" t="s">
        <v>93</v>
      </c>
      <c r="E95" s="368">
        <v>127523</v>
      </c>
      <c r="F95" s="368">
        <v>2474152</v>
      </c>
      <c r="G95" s="368">
        <v>20</v>
      </c>
      <c r="H95" s="368">
        <v>50248</v>
      </c>
      <c r="I95" s="368">
        <v>23.845058999999999</v>
      </c>
      <c r="J95" s="368">
        <v>50238</v>
      </c>
      <c r="K95" s="368">
        <v>2.7332260000000002</v>
      </c>
      <c r="L95" s="368">
        <v>50.831403999999999</v>
      </c>
      <c r="N95" s="22" t="s">
        <v>92</v>
      </c>
      <c r="O95" s="22">
        <v>2546952</v>
      </c>
      <c r="P95" s="22" t="s">
        <v>93</v>
      </c>
      <c r="Q95" s="22" t="s">
        <v>93</v>
      </c>
      <c r="R95" s="22">
        <v>123597</v>
      </c>
      <c r="S95" s="88">
        <v>2494175</v>
      </c>
      <c r="T95" s="22">
        <v>15</v>
      </c>
      <c r="U95" s="22">
        <v>42305</v>
      </c>
      <c r="V95" s="22">
        <v>25.36872</v>
      </c>
      <c r="W95" s="22">
        <v>42302</v>
      </c>
      <c r="X95" s="22">
        <v>2.4335100000000001</v>
      </c>
      <c r="Y95" s="22">
        <v>49.882420000000003</v>
      </c>
      <c r="Z95" s="22"/>
    </row>
    <row r="96" spans="1:26" x14ac:dyDescent="0.2">
      <c r="A96" s="22"/>
      <c r="B96" s="22"/>
      <c r="C96" s="22"/>
      <c r="D96" s="22"/>
      <c r="E96" s="22"/>
      <c r="F96" s="22"/>
      <c r="G96" s="22"/>
      <c r="H96" s="22"/>
      <c r="I96" s="22"/>
      <c r="J96" s="22"/>
      <c r="K96" s="22"/>
      <c r="L96" s="22"/>
    </row>
  </sheetData>
  <mergeCells count="4">
    <mergeCell ref="B5:C5"/>
    <mergeCell ref="A21:A22"/>
    <mergeCell ref="B21:C21"/>
    <mergeCell ref="A5:A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150"/>
  <sheetViews>
    <sheetView topLeftCell="C47" zoomScale="90" zoomScaleNormal="90" workbookViewId="0">
      <selection activeCell="J101" sqref="J101:J119"/>
    </sheetView>
  </sheetViews>
  <sheetFormatPr baseColWidth="10" defaultColWidth="9" defaultRowHeight="15" x14ac:dyDescent="0.2"/>
  <cols>
    <col min="1" max="1" width="17.83203125" style="22" customWidth="1"/>
    <col min="2" max="2" width="19.5" style="22" customWidth="1"/>
    <col min="3" max="3" width="12.33203125" style="22" customWidth="1"/>
    <col min="4" max="4" width="12.6640625" style="22" customWidth="1"/>
    <col min="5" max="5" width="10.6640625" style="22" customWidth="1"/>
    <col min="6" max="6" width="11.83203125" style="22" customWidth="1"/>
    <col min="7" max="7" width="14.33203125" style="22" customWidth="1"/>
    <col min="8" max="8" width="8.5" style="22" customWidth="1"/>
    <col min="9" max="10" width="9" style="22"/>
    <col min="11" max="11" width="17.33203125" style="22" customWidth="1"/>
    <col min="12" max="12" width="17.5" style="22" customWidth="1"/>
    <col min="13" max="16384" width="9" style="22"/>
  </cols>
  <sheetData>
    <row r="1" spans="1:10" x14ac:dyDescent="0.2">
      <c r="A1" s="420" t="s">
        <v>111</v>
      </c>
      <c r="B1" s="420"/>
      <c r="C1" s="420"/>
      <c r="D1" s="420"/>
      <c r="E1" s="420"/>
    </row>
    <row r="2" spans="1:10" x14ac:dyDescent="0.2">
      <c r="A2" s="420" t="s">
        <v>0</v>
      </c>
      <c r="B2" s="420"/>
      <c r="C2" s="420"/>
      <c r="D2" s="420"/>
      <c r="E2" s="420"/>
    </row>
    <row r="3" spans="1:10" x14ac:dyDescent="0.2">
      <c r="A3" s="420" t="s">
        <v>50</v>
      </c>
      <c r="B3" s="420"/>
      <c r="C3" s="420"/>
      <c r="D3" s="420"/>
      <c r="E3" s="420"/>
    </row>
    <row r="4" spans="1:10" x14ac:dyDescent="0.2">
      <c r="A4" s="420" t="s">
        <v>48</v>
      </c>
      <c r="B4" s="420"/>
      <c r="C4" s="420"/>
      <c r="D4" s="420"/>
      <c r="E4" s="420"/>
    </row>
    <row r="5" spans="1:10" x14ac:dyDescent="0.2">
      <c r="A5" s="420" t="s">
        <v>46</v>
      </c>
      <c r="B5" s="420"/>
      <c r="C5" s="420"/>
      <c r="D5" s="420"/>
      <c r="E5" s="420"/>
    </row>
    <row r="6" spans="1:10" x14ac:dyDescent="0.2">
      <c r="A6" s="420" t="s">
        <v>1</v>
      </c>
      <c r="B6" s="420"/>
      <c r="C6" s="420"/>
      <c r="D6" s="420"/>
      <c r="E6" s="420"/>
    </row>
    <row r="7" spans="1:10" x14ac:dyDescent="0.2">
      <c r="A7" s="2"/>
      <c r="B7" s="2"/>
      <c r="C7" s="2"/>
      <c r="D7" s="2"/>
      <c r="E7" s="2"/>
    </row>
    <row r="8" spans="1:10" x14ac:dyDescent="0.2">
      <c r="A8" s="23" t="s">
        <v>2</v>
      </c>
    </row>
    <row r="10" spans="1:10" x14ac:dyDescent="0.2">
      <c r="A10" s="44" t="s">
        <v>3</v>
      </c>
      <c r="B10" s="65" t="s">
        <v>4</v>
      </c>
      <c r="C10" s="415" t="s">
        <v>41</v>
      </c>
      <c r="D10" s="416"/>
      <c r="E10" s="417"/>
      <c r="F10" s="49"/>
      <c r="G10" s="49"/>
    </row>
    <row r="11" spans="1:10" x14ac:dyDescent="0.2">
      <c r="A11" s="52" t="s">
        <v>72</v>
      </c>
      <c r="B11" s="66" t="s">
        <v>72</v>
      </c>
      <c r="C11" s="50"/>
      <c r="D11" s="49"/>
      <c r="E11" s="51"/>
      <c r="F11" s="49"/>
      <c r="G11" s="49"/>
    </row>
    <row r="12" spans="1:10" x14ac:dyDescent="0.2">
      <c r="A12" s="30"/>
      <c r="B12" s="68"/>
      <c r="C12" s="30"/>
      <c r="D12" s="31"/>
      <c r="E12" s="32"/>
      <c r="F12" s="28"/>
      <c r="G12" s="28"/>
    </row>
    <row r="14" spans="1:10" x14ac:dyDescent="0.2">
      <c r="A14" s="23" t="s">
        <v>5</v>
      </c>
      <c r="E14" s="28"/>
    </row>
    <row r="15" spans="1:10" x14ac:dyDescent="0.2">
      <c r="A15" s="23"/>
      <c r="B15" s="23"/>
      <c r="E15" s="28"/>
      <c r="F15" s="28"/>
      <c r="G15" s="28"/>
      <c r="H15" s="28"/>
      <c r="I15" s="28"/>
      <c r="J15" s="28"/>
    </row>
    <row r="16" spans="1:10" x14ac:dyDescent="0.2">
      <c r="A16" s="65" t="s">
        <v>4</v>
      </c>
      <c r="B16" s="43" t="s">
        <v>30</v>
      </c>
      <c r="C16" s="54" t="s">
        <v>6</v>
      </c>
    </row>
    <row r="17" spans="1:5" x14ac:dyDescent="0.2">
      <c r="A17" s="66" t="s">
        <v>72</v>
      </c>
      <c r="B17" s="55">
        <v>0.254</v>
      </c>
      <c r="C17" s="418" t="s">
        <v>115</v>
      </c>
    </row>
    <row r="18" spans="1:5" x14ac:dyDescent="0.2">
      <c r="A18" s="67"/>
      <c r="B18" s="41"/>
      <c r="C18" s="419"/>
      <c r="E18" s="22" t="s">
        <v>23</v>
      </c>
    </row>
    <row r="19" spans="1:5" x14ac:dyDescent="0.2">
      <c r="A19" s="53"/>
      <c r="B19" s="5"/>
      <c r="C19" s="32"/>
    </row>
    <row r="20" spans="1:5" x14ac:dyDescent="0.2">
      <c r="A20" s="92"/>
      <c r="B20" s="28"/>
      <c r="C20" s="28"/>
    </row>
    <row r="21" spans="1:5" x14ac:dyDescent="0.2">
      <c r="A21" s="92"/>
      <c r="B21" s="28"/>
      <c r="C21" s="28"/>
    </row>
    <row r="22" spans="1:5" x14ac:dyDescent="0.2">
      <c r="A22" s="92"/>
      <c r="B22" s="28"/>
      <c r="C22" s="28"/>
    </row>
    <row r="23" spans="1:5" x14ac:dyDescent="0.2">
      <c r="A23" s="92"/>
      <c r="B23" s="28"/>
      <c r="C23" s="28"/>
    </row>
    <row r="24" spans="1:5" x14ac:dyDescent="0.2">
      <c r="A24" s="92"/>
      <c r="B24" s="28"/>
      <c r="C24" s="28"/>
    </row>
    <row r="25" spans="1:5" x14ac:dyDescent="0.2">
      <c r="A25" s="92"/>
      <c r="B25" s="28"/>
      <c r="C25" s="28"/>
    </row>
    <row r="26" spans="1:5" x14ac:dyDescent="0.2">
      <c r="A26" s="92"/>
      <c r="B26" s="28"/>
      <c r="C26" s="28"/>
    </row>
    <row r="28" spans="1:5" x14ac:dyDescent="0.2">
      <c r="A28" s="23" t="s">
        <v>8</v>
      </c>
    </row>
    <row r="29" spans="1:5" x14ac:dyDescent="0.2">
      <c r="A29" s="23"/>
    </row>
    <row r="30" spans="1:5" x14ac:dyDescent="0.2">
      <c r="A30" s="436" t="s">
        <v>4</v>
      </c>
      <c r="B30" s="411" t="s">
        <v>81</v>
      </c>
      <c r="C30" s="429" t="s">
        <v>9</v>
      </c>
      <c r="D30" s="430"/>
      <c r="E30" s="421" t="s">
        <v>6</v>
      </c>
    </row>
    <row r="31" spans="1:5" x14ac:dyDescent="0.2">
      <c r="A31" s="437"/>
      <c r="B31" s="412"/>
      <c r="C31" s="94" t="s">
        <v>108</v>
      </c>
      <c r="D31" s="94" t="s">
        <v>109</v>
      </c>
      <c r="E31" s="422"/>
    </row>
    <row r="32" spans="1:5" x14ac:dyDescent="0.2">
      <c r="A32" s="431" t="s">
        <v>116</v>
      </c>
      <c r="B32" s="96" t="s">
        <v>7</v>
      </c>
      <c r="C32" s="95">
        <f>'2.Reti IDDM_DISMOD'!I42</f>
        <v>0</v>
      </c>
      <c r="D32" s="95">
        <f>'2.Reti IDDM_DISMOD'!I72</f>
        <v>0</v>
      </c>
      <c r="E32" s="423" t="s">
        <v>110</v>
      </c>
    </row>
    <row r="33" spans="1:9" x14ac:dyDescent="0.2">
      <c r="A33" s="432"/>
      <c r="B33" s="33" t="s">
        <v>11</v>
      </c>
      <c r="C33" s="95">
        <f>'2.Reti IDDM_DISMOD'!I43</f>
        <v>50.778170000000003</v>
      </c>
      <c r="D33" s="95">
        <f>'2.Reti IDDM_DISMOD'!I73</f>
        <v>54.871659999999999</v>
      </c>
      <c r="E33" s="424"/>
    </row>
    <row r="34" spans="1:9" x14ac:dyDescent="0.2">
      <c r="A34" s="432"/>
      <c r="B34" s="33" t="s">
        <v>12</v>
      </c>
      <c r="C34" s="95">
        <f>'2.Reti IDDM_DISMOD'!I44</f>
        <v>43.62818</v>
      </c>
      <c r="D34" s="95">
        <f>'2.Reti IDDM_DISMOD'!I74</f>
        <v>47.183759999999999</v>
      </c>
      <c r="E34" s="424"/>
    </row>
    <row r="35" spans="1:9" x14ac:dyDescent="0.2">
      <c r="A35" s="432"/>
      <c r="B35" s="33" t="s">
        <v>13</v>
      </c>
      <c r="C35" s="95">
        <f>'2.Reti IDDM_DISMOD'!I45</f>
        <v>31.651700000000002</v>
      </c>
      <c r="D35" s="95">
        <f>'2.Reti IDDM_DISMOD'!I75</f>
        <v>34.861629999999998</v>
      </c>
      <c r="E35" s="424"/>
    </row>
    <row r="36" spans="1:9" x14ac:dyDescent="0.2">
      <c r="A36" s="432"/>
      <c r="B36" s="33" t="s">
        <v>14</v>
      </c>
      <c r="C36" s="95">
        <f>'2.Reti IDDM_DISMOD'!I46</f>
        <v>21.482669999999999</v>
      </c>
      <c r="D36" s="95">
        <f>'2.Reti IDDM_DISMOD'!I76</f>
        <v>22.095269999999999</v>
      </c>
      <c r="E36" s="424"/>
    </row>
    <row r="37" spans="1:9" x14ac:dyDescent="0.2">
      <c r="A37" s="432"/>
      <c r="B37" s="33" t="s">
        <v>15</v>
      </c>
      <c r="C37" s="95">
        <f>'2.Reti IDDM_DISMOD'!I47</f>
        <v>12.89526</v>
      </c>
      <c r="D37" s="95">
        <f>'2.Reti IDDM_DISMOD'!I77</f>
        <v>12.523860000000001</v>
      </c>
      <c r="E37" s="424"/>
    </row>
    <row r="38" spans="1:9" x14ac:dyDescent="0.2">
      <c r="A38" s="432"/>
      <c r="B38" s="33" t="s">
        <v>16</v>
      </c>
      <c r="C38" s="95">
        <f>'2.Reti IDDM_DISMOD'!I48</f>
        <v>7.8971600000000004</v>
      </c>
      <c r="D38" s="95">
        <f>'2.Reti IDDM_DISMOD'!I78</f>
        <v>8.3456299999999999</v>
      </c>
      <c r="E38" s="424"/>
    </row>
    <row r="39" spans="1:9" x14ac:dyDescent="0.2">
      <c r="A39" s="433"/>
      <c r="B39" s="53" t="s">
        <v>17</v>
      </c>
      <c r="C39" s="95">
        <f>'2.Reti IDDM_DISMOD'!I49</f>
        <v>4.7093800000000003</v>
      </c>
      <c r="D39" s="95">
        <f>'2.Reti IDDM_DISMOD'!I79</f>
        <v>5.5281000000000002</v>
      </c>
      <c r="E39" s="425"/>
    </row>
    <row r="40" spans="1:9" ht="14.25" customHeight="1" x14ac:dyDescent="0.2">
      <c r="A40" s="445" t="s">
        <v>117</v>
      </c>
      <c r="B40" s="92" t="s">
        <v>7</v>
      </c>
      <c r="C40" s="56">
        <f>'2.Reti NIDDM_DISMOD'!I42</f>
        <v>0</v>
      </c>
      <c r="D40" s="56">
        <f>'2.Reti NIDDM_DISMOD'!I72</f>
        <v>0</v>
      </c>
      <c r="E40" s="426" t="s">
        <v>110</v>
      </c>
      <c r="G40" s="22" t="s">
        <v>23</v>
      </c>
    </row>
    <row r="41" spans="1:9" ht="14.25" customHeight="1" x14ac:dyDescent="0.2">
      <c r="A41" s="446"/>
      <c r="B41" s="92" t="s">
        <v>11</v>
      </c>
      <c r="C41" s="57">
        <f>'2.Reti NIDDM_DISMOD'!I43</f>
        <v>51.135930000000002</v>
      </c>
      <c r="D41" s="57">
        <f>'2.Reti NIDDM_DISMOD'!I73</f>
        <v>55.215119999999999</v>
      </c>
      <c r="E41" s="427"/>
    </row>
    <row r="42" spans="1:9" ht="14.25" customHeight="1" x14ac:dyDescent="0.2">
      <c r="A42" s="446"/>
      <c r="B42" s="92" t="s">
        <v>12</v>
      </c>
      <c r="C42" s="57">
        <f>'2.Reti NIDDM_DISMOD'!I44</f>
        <v>41.09995</v>
      </c>
      <c r="D42" s="57">
        <f>'2.Reti NIDDM_DISMOD'!I74</f>
        <v>44.641649999999998</v>
      </c>
      <c r="E42" s="427"/>
    </row>
    <row r="43" spans="1:9" ht="14.25" customHeight="1" x14ac:dyDescent="0.2">
      <c r="A43" s="446"/>
      <c r="B43" s="92" t="s">
        <v>13</v>
      </c>
      <c r="C43" s="57">
        <f>'2.Reti NIDDM_DISMOD'!I45</f>
        <v>31.859390000000001</v>
      </c>
      <c r="D43" s="57">
        <f>'2.Reti NIDDM_DISMOD'!I75</f>
        <v>34.49691</v>
      </c>
      <c r="E43" s="427"/>
    </row>
    <row r="44" spans="1:9" ht="14.25" customHeight="1" x14ac:dyDescent="0.2">
      <c r="A44" s="446"/>
      <c r="B44" s="92" t="s">
        <v>14</v>
      </c>
      <c r="C44" s="57">
        <f>'2.Reti NIDDM_DISMOD'!I46</f>
        <v>21.090900000000001</v>
      </c>
      <c r="D44" s="57">
        <f>'2.Reti NIDDM_DISMOD'!I76</f>
        <v>21.349119999999999</v>
      </c>
      <c r="E44" s="427"/>
      <c r="I44" s="22" t="s">
        <v>23</v>
      </c>
    </row>
    <row r="45" spans="1:9" ht="14.25" customHeight="1" x14ac:dyDescent="0.2">
      <c r="A45" s="446"/>
      <c r="B45" s="92" t="s">
        <v>15</v>
      </c>
      <c r="C45" s="57">
        <f>'2.Reti NIDDM_DISMOD'!I47</f>
        <v>13.328720000000001</v>
      </c>
      <c r="D45" s="57">
        <f>'2.Reti NIDDM_DISMOD'!I77</f>
        <v>13.210190000000001</v>
      </c>
      <c r="E45" s="427"/>
    </row>
    <row r="46" spans="1:9" ht="14.25" customHeight="1" x14ac:dyDescent="0.2">
      <c r="A46" s="446"/>
      <c r="B46" s="92" t="s">
        <v>16</v>
      </c>
      <c r="C46" s="63">
        <f>'2.Reti NIDDM_DISMOD'!I48</f>
        <v>8.0820100000000004</v>
      </c>
      <c r="D46" s="63">
        <f>'2.Reti NIDDM_DISMOD'!I78</f>
        <v>8.2596299999999996</v>
      </c>
      <c r="E46" s="427"/>
    </row>
    <row r="47" spans="1:9" ht="14.25" customHeight="1" x14ac:dyDescent="0.2">
      <c r="A47" s="446"/>
      <c r="B47" s="92" t="s">
        <v>17</v>
      </c>
      <c r="C47" s="63">
        <f>'2.Reti NIDDM_DISMOD'!I49</f>
        <v>5.00495</v>
      </c>
      <c r="D47" s="63">
        <f>'2.Reti NIDDM_DISMOD'!I79</f>
        <v>5.7243599999999999</v>
      </c>
      <c r="E47" s="427"/>
    </row>
    <row r="48" spans="1:9" x14ac:dyDescent="0.2">
      <c r="A48" s="447"/>
      <c r="B48" s="93"/>
      <c r="C48" s="5"/>
      <c r="D48" s="5"/>
      <c r="E48" s="428"/>
    </row>
    <row r="49" spans="1:10" x14ac:dyDescent="0.2">
      <c r="A49" s="23"/>
    </row>
    <row r="51" spans="1:10" x14ac:dyDescent="0.2">
      <c r="A51" s="9" t="s">
        <v>10</v>
      </c>
    </row>
    <row r="53" spans="1:10" x14ac:dyDescent="0.2">
      <c r="A53" s="24"/>
      <c r="B53" s="25" t="s">
        <v>7</v>
      </c>
      <c r="C53" s="25" t="s">
        <v>11</v>
      </c>
      <c r="D53" s="25" t="s">
        <v>12</v>
      </c>
      <c r="E53" s="25" t="s">
        <v>13</v>
      </c>
      <c r="F53" s="25" t="s">
        <v>14</v>
      </c>
      <c r="G53" s="25" t="s">
        <v>15</v>
      </c>
      <c r="H53" s="25" t="s">
        <v>16</v>
      </c>
      <c r="I53" s="25" t="s">
        <v>17</v>
      </c>
      <c r="J53" s="26" t="s">
        <v>18</v>
      </c>
    </row>
    <row r="54" spans="1:10" x14ac:dyDescent="0.2">
      <c r="A54" s="27" t="s">
        <v>19</v>
      </c>
      <c r="B54" s="28"/>
      <c r="C54" s="28"/>
      <c r="D54" s="28"/>
      <c r="E54" s="28"/>
      <c r="F54" s="28"/>
      <c r="G54" s="28"/>
      <c r="H54" s="28"/>
      <c r="I54" s="28"/>
      <c r="J54" s="29"/>
    </row>
    <row r="55" spans="1:10" x14ac:dyDescent="0.2">
      <c r="A55" s="21" t="s">
        <v>20</v>
      </c>
      <c r="B55" s="28"/>
      <c r="C55" s="28"/>
      <c r="D55" s="28"/>
      <c r="E55" s="28"/>
      <c r="F55" s="28"/>
      <c r="G55" s="28"/>
      <c r="H55" s="28"/>
      <c r="I55" s="28"/>
      <c r="J55" s="29"/>
    </row>
    <row r="56" spans="1:10" x14ac:dyDescent="0.2">
      <c r="A56" s="21" t="s">
        <v>21</v>
      </c>
      <c r="B56" s="28"/>
      <c r="C56" s="28"/>
      <c r="D56" s="28"/>
      <c r="E56" s="28"/>
      <c r="F56" s="28"/>
      <c r="G56" s="28"/>
      <c r="H56" s="28"/>
      <c r="I56" s="28"/>
      <c r="J56" s="29"/>
    </row>
    <row r="57" spans="1:10" x14ac:dyDescent="0.2">
      <c r="A57" s="27" t="s">
        <v>22</v>
      </c>
      <c r="B57" s="28"/>
      <c r="C57" s="28"/>
      <c r="D57" s="28"/>
      <c r="E57" s="28"/>
      <c r="F57" s="28"/>
      <c r="G57" s="28"/>
      <c r="H57" s="28"/>
      <c r="I57" s="28"/>
      <c r="J57" s="29"/>
    </row>
    <row r="58" spans="1:10" x14ac:dyDescent="0.2">
      <c r="A58" s="21" t="s">
        <v>20</v>
      </c>
      <c r="B58" s="28"/>
      <c r="C58" s="28"/>
      <c r="D58" s="28"/>
      <c r="E58" s="28"/>
      <c r="F58" s="28"/>
      <c r="G58" s="28"/>
      <c r="H58" s="28"/>
      <c r="I58" s="28"/>
      <c r="J58" s="29"/>
    </row>
    <row r="59" spans="1:10" x14ac:dyDescent="0.2">
      <c r="A59" s="21" t="s">
        <v>21</v>
      </c>
      <c r="B59" s="28"/>
      <c r="C59" s="28"/>
      <c r="D59" s="28"/>
      <c r="E59" s="28"/>
      <c r="F59" s="28"/>
      <c r="G59" s="28"/>
      <c r="H59" s="28"/>
      <c r="I59" s="28"/>
      <c r="J59" s="29"/>
    </row>
    <row r="60" spans="1:10" x14ac:dyDescent="0.2">
      <c r="A60" s="27"/>
      <c r="B60" s="28"/>
      <c r="C60" s="28"/>
      <c r="D60" s="28" t="s">
        <v>23</v>
      </c>
      <c r="E60" s="28"/>
      <c r="F60" s="28"/>
      <c r="G60" s="28"/>
      <c r="H60" s="28"/>
      <c r="I60" s="28"/>
      <c r="J60" s="29"/>
    </row>
    <row r="61" spans="1:10" x14ac:dyDescent="0.2">
      <c r="A61" s="30"/>
      <c r="B61" s="31"/>
      <c r="C61" s="31"/>
      <c r="D61" s="31"/>
      <c r="E61" s="31"/>
      <c r="F61" s="31"/>
      <c r="G61" s="31"/>
      <c r="H61" s="31"/>
      <c r="I61" s="31"/>
      <c r="J61" s="32"/>
    </row>
    <row r="63" spans="1:10" x14ac:dyDescent="0.2">
      <c r="A63" s="64" t="s">
        <v>24</v>
      </c>
    </row>
    <row r="65" spans="1:12" x14ac:dyDescent="0.2">
      <c r="A65" s="23" t="s">
        <v>36</v>
      </c>
      <c r="H65" s="22" t="s">
        <v>23</v>
      </c>
    </row>
    <row r="66" spans="1:12" x14ac:dyDescent="0.2">
      <c r="A66" s="23" t="s">
        <v>113</v>
      </c>
    </row>
    <row r="67" spans="1:12" x14ac:dyDescent="0.2">
      <c r="A67" s="23"/>
    </row>
    <row r="68" spans="1:12" x14ac:dyDescent="0.2">
      <c r="A68" s="24" t="s">
        <v>25</v>
      </c>
      <c r="B68" s="25" t="s">
        <v>26</v>
      </c>
      <c r="C68" s="25" t="s">
        <v>27</v>
      </c>
      <c r="D68" s="25" t="s">
        <v>28</v>
      </c>
      <c r="E68" s="25" t="s">
        <v>9</v>
      </c>
      <c r="F68" s="25" t="s">
        <v>29</v>
      </c>
      <c r="G68" s="25" t="s">
        <v>30</v>
      </c>
      <c r="H68" s="35" t="s">
        <v>31</v>
      </c>
      <c r="I68" s="26" t="s">
        <v>31</v>
      </c>
      <c r="K68" s="37" t="s">
        <v>37</v>
      </c>
      <c r="L68" s="38" t="s">
        <v>38</v>
      </c>
    </row>
    <row r="69" spans="1:12" x14ac:dyDescent="0.2">
      <c r="A69" s="30"/>
      <c r="B69" s="31">
        <v>2014</v>
      </c>
      <c r="C69" s="31"/>
      <c r="D69" s="31" t="s">
        <v>105</v>
      </c>
      <c r="E69" s="31"/>
      <c r="F69" s="31"/>
      <c r="G69" s="31"/>
      <c r="H69" s="36" t="s">
        <v>32</v>
      </c>
      <c r="I69" s="32" t="s">
        <v>33</v>
      </c>
      <c r="K69" s="39" t="s">
        <v>32</v>
      </c>
      <c r="L69" s="40" t="s">
        <v>39</v>
      </c>
    </row>
    <row r="70" spans="1:12" x14ac:dyDescent="0.2">
      <c r="A70" s="27"/>
      <c r="B70" s="28"/>
      <c r="C70" s="28"/>
      <c r="D70" s="28"/>
      <c r="E70" s="28"/>
      <c r="F70" s="28"/>
      <c r="G70" s="28"/>
      <c r="H70" s="58"/>
      <c r="I70" s="29"/>
      <c r="K70" s="27"/>
      <c r="L70" s="41"/>
    </row>
    <row r="71" spans="1:12" x14ac:dyDescent="0.2">
      <c r="A71" s="48" t="s">
        <v>34</v>
      </c>
      <c r="B71" s="28"/>
      <c r="C71" s="28"/>
      <c r="D71" s="28"/>
      <c r="E71" s="42"/>
      <c r="F71" s="47"/>
      <c r="G71" s="45"/>
      <c r="H71" s="58"/>
      <c r="I71" s="29"/>
      <c r="K71" s="27"/>
      <c r="L71" s="41"/>
    </row>
    <row r="72" spans="1:12" x14ac:dyDescent="0.2">
      <c r="A72" s="33" t="s">
        <v>7</v>
      </c>
      <c r="B72" s="28">
        <f>SUM('[2]Pop 57'!$C$5:$C$6)</f>
        <v>1966319</v>
      </c>
      <c r="C72" s="46">
        <f>D72*B72</f>
        <v>0</v>
      </c>
      <c r="D72" s="102">
        <f>'2.Reti IDDM_DISMOD'!E42</f>
        <v>0</v>
      </c>
      <c r="E72" s="42">
        <f t="shared" ref="E72:E79" si="0">C32</f>
        <v>0</v>
      </c>
      <c r="F72" s="42">
        <f>'2.Reti IDDM_DISMOD'!L42</f>
        <v>2.49634</v>
      </c>
      <c r="G72" s="45">
        <f>$B$17</f>
        <v>0.254</v>
      </c>
      <c r="H72" s="60">
        <f>C72*E72*G72</f>
        <v>0</v>
      </c>
      <c r="I72" s="98">
        <f>C72*G72*(1-EXP(-0.03*E72))/0.03</f>
        <v>0</v>
      </c>
      <c r="J72" s="406">
        <f>D72*100000</f>
        <v>0</v>
      </c>
      <c r="K72" s="99">
        <f>L72*G72</f>
        <v>0</v>
      </c>
      <c r="L72" s="100">
        <f>C72*E72</f>
        <v>0</v>
      </c>
    </row>
    <row r="73" spans="1:12" x14ac:dyDescent="0.2">
      <c r="A73" s="33" t="s">
        <v>11</v>
      </c>
      <c r="B73" s="28">
        <f>SUM('[2]Pop 57'!$C$7:$C$8)</f>
        <v>4179206</v>
      </c>
      <c r="C73" s="46">
        <f t="shared" ref="C73:C79" si="1">D73*B73</f>
        <v>41.792060000000006</v>
      </c>
      <c r="D73" s="102">
        <f>'2.Reti IDDM_DISMOD'!E43</f>
        <v>1.0000000000000001E-5</v>
      </c>
      <c r="E73" s="42">
        <f t="shared" si="0"/>
        <v>50.778170000000003</v>
      </c>
      <c r="F73" s="42">
        <f>'2.Reti IDDM_DISMOD'!L43</f>
        <v>12.638450000000001</v>
      </c>
      <c r="G73" s="45">
        <f t="shared" ref="G73:G79" si="2">$B$17</f>
        <v>0.254</v>
      </c>
      <c r="H73" s="60">
        <f t="shared" ref="H73:H79" si="3">C73*E73*G73</f>
        <v>539.01957914187085</v>
      </c>
      <c r="I73" s="98">
        <f t="shared" ref="I73:I78" si="4">C73*G73*(1-EXP(-0.03*E73))/0.03</f>
        <v>276.70899052684348</v>
      </c>
      <c r="J73" s="406">
        <f t="shared" ref="J73:J79" si="5">D73*100000</f>
        <v>1</v>
      </c>
      <c r="K73" s="99">
        <f t="shared" ref="K73:K79" si="6">L73*G73</f>
        <v>539.01957914187085</v>
      </c>
      <c r="L73" s="100">
        <f t="shared" ref="L73:L79" si="7">C73*E73</f>
        <v>2122.1243273302002</v>
      </c>
    </row>
    <row r="74" spans="1:12" x14ac:dyDescent="0.2">
      <c r="A74" s="33" t="s">
        <v>12</v>
      </c>
      <c r="B74" s="28">
        <f>SUM('[2]Pop 57'!$C$9:$C$11)</f>
        <v>7301822</v>
      </c>
      <c r="C74" s="46">
        <f t="shared" si="1"/>
        <v>146.03644</v>
      </c>
      <c r="D74" s="102">
        <f>'2.Reti IDDM_DISMOD'!E44</f>
        <v>2.0000000000000002E-5</v>
      </c>
      <c r="E74" s="42">
        <f t="shared" si="0"/>
        <v>43.62818</v>
      </c>
      <c r="F74" s="42">
        <f>'2.Reti IDDM_DISMOD'!L44</f>
        <v>20.832039999999999</v>
      </c>
      <c r="G74" s="45">
        <f t="shared" si="2"/>
        <v>0.254</v>
      </c>
      <c r="H74" s="60">
        <f t="shared" si="3"/>
        <v>1618.3112390833169</v>
      </c>
      <c r="I74" s="98">
        <f t="shared" si="4"/>
        <v>902.43963021559114</v>
      </c>
      <c r="J74" s="406">
        <f t="shared" si="5"/>
        <v>2</v>
      </c>
      <c r="K74" s="99">
        <f t="shared" si="6"/>
        <v>1618.3112390833169</v>
      </c>
      <c r="L74" s="100">
        <f t="shared" si="7"/>
        <v>6371.3040908792</v>
      </c>
    </row>
    <row r="75" spans="1:12" x14ac:dyDescent="0.2">
      <c r="A75" s="33" t="s">
        <v>13</v>
      </c>
      <c r="B75" s="28">
        <f>SUM('[2]Pop 57'!$C$12:$C$14)</f>
        <v>7896765</v>
      </c>
      <c r="C75" s="46">
        <f t="shared" si="1"/>
        <v>157.93530000000001</v>
      </c>
      <c r="D75" s="102">
        <f>'2.Reti IDDM_DISMOD'!E45</f>
        <v>2.0000000000000002E-5</v>
      </c>
      <c r="E75" s="42">
        <f t="shared" si="0"/>
        <v>31.651700000000002</v>
      </c>
      <c r="F75" s="42">
        <f>'2.Reti IDDM_DISMOD'!L45</f>
        <v>35.985700000000001</v>
      </c>
      <c r="G75" s="45">
        <f t="shared" si="2"/>
        <v>0.254</v>
      </c>
      <c r="H75" s="60">
        <f t="shared" si="3"/>
        <v>1269.7258666925402</v>
      </c>
      <c r="I75" s="98">
        <f t="shared" si="4"/>
        <v>819.80878569318747</v>
      </c>
      <c r="J75" s="406">
        <f t="shared" si="5"/>
        <v>2</v>
      </c>
      <c r="K75" s="99">
        <f t="shared" si="6"/>
        <v>1269.7258666925402</v>
      </c>
      <c r="L75" s="100">
        <f t="shared" si="7"/>
        <v>4998.9207350100005</v>
      </c>
    </row>
    <row r="76" spans="1:12" x14ac:dyDescent="0.2">
      <c r="A76" s="33" t="s">
        <v>14</v>
      </c>
      <c r="B76" s="28">
        <f>SUM('[2]Pop 57'!$C$15:$C$17)</f>
        <v>6554289</v>
      </c>
      <c r="C76" s="46">
        <f t="shared" si="1"/>
        <v>131.08578</v>
      </c>
      <c r="D76" s="102">
        <f>'2.Reti IDDM_DISMOD'!E46</f>
        <v>2.0000000000000002E-5</v>
      </c>
      <c r="E76" s="42">
        <f t="shared" si="0"/>
        <v>21.482669999999999</v>
      </c>
      <c r="F76" s="42">
        <f>'2.Reti IDDM_DISMOD'!L46</f>
        <v>50.878010000000003</v>
      </c>
      <c r="G76" s="45">
        <f t="shared" si="2"/>
        <v>0.254</v>
      </c>
      <c r="H76" s="60">
        <f t="shared" si="3"/>
        <v>715.28242857188036</v>
      </c>
      <c r="I76" s="98">
        <f t="shared" si="4"/>
        <v>527.25502538772582</v>
      </c>
      <c r="J76" s="406">
        <f t="shared" si="5"/>
        <v>2</v>
      </c>
      <c r="K76" s="99">
        <f t="shared" si="6"/>
        <v>715.28242857188036</v>
      </c>
      <c r="L76" s="100">
        <f t="shared" si="7"/>
        <v>2816.0725534325998</v>
      </c>
    </row>
    <row r="77" spans="1:12" x14ac:dyDescent="0.2">
      <c r="A77" s="33" t="s">
        <v>15</v>
      </c>
      <c r="B77" s="28">
        <f>SUM('[2]Pop 57'!$C$18:$C$19)</f>
        <v>2344057</v>
      </c>
      <c r="C77" s="46">
        <f t="shared" si="1"/>
        <v>23.440570000000001</v>
      </c>
      <c r="D77" s="102">
        <f>'2.Reti IDDM_DISMOD'!E47</f>
        <v>1.0000000000000001E-5</v>
      </c>
      <c r="E77" s="42">
        <f t="shared" si="0"/>
        <v>12.89526</v>
      </c>
      <c r="F77" s="42">
        <f>'2.Reti IDDM_DISMOD'!L47</f>
        <v>64.625579999999999</v>
      </c>
      <c r="G77" s="45">
        <f t="shared" si="2"/>
        <v>0.254</v>
      </c>
      <c r="H77" s="60">
        <f t="shared" si="3"/>
        <v>76.777150153342816</v>
      </c>
      <c r="I77" s="98">
        <f t="shared" si="4"/>
        <v>63.669535790786625</v>
      </c>
      <c r="J77" s="406">
        <f t="shared" si="5"/>
        <v>1</v>
      </c>
      <c r="K77" s="99">
        <f t="shared" si="6"/>
        <v>76.777150153342816</v>
      </c>
      <c r="L77" s="100">
        <f t="shared" si="7"/>
        <v>302.27224469820004</v>
      </c>
    </row>
    <row r="78" spans="1:12" x14ac:dyDescent="0.2">
      <c r="A78" s="33" t="s">
        <v>16</v>
      </c>
      <c r="B78" s="28">
        <f>SUM('[2]Pop 57'!$C$20:$C$21)</f>
        <v>1173067</v>
      </c>
      <c r="C78" s="46">
        <f t="shared" si="1"/>
        <v>11.730670000000002</v>
      </c>
      <c r="D78" s="102">
        <f>'2.Reti IDDM_DISMOD'!E48</f>
        <v>1.0000000000000001E-5</v>
      </c>
      <c r="E78" s="42">
        <f t="shared" si="0"/>
        <v>7.8971600000000004</v>
      </c>
      <c r="F78" s="42">
        <f>'2.Reti IDDM_DISMOD'!L48</f>
        <v>75.282150000000001</v>
      </c>
      <c r="G78" s="45">
        <f t="shared" si="2"/>
        <v>0.254</v>
      </c>
      <c r="H78" s="60">
        <f t="shared" si="3"/>
        <v>23.530300385888808</v>
      </c>
      <c r="I78" s="98">
        <f t="shared" si="4"/>
        <v>20.950639446709509</v>
      </c>
      <c r="J78" s="406">
        <f>D78*100000</f>
        <v>1</v>
      </c>
      <c r="K78" s="99">
        <f t="shared" si="6"/>
        <v>23.530300385888808</v>
      </c>
      <c r="L78" s="100">
        <f t="shared" si="7"/>
        <v>92.638977897200022</v>
      </c>
    </row>
    <row r="79" spans="1:12" x14ac:dyDescent="0.2">
      <c r="A79" s="33" t="s">
        <v>17</v>
      </c>
      <c r="B79" s="28">
        <f>SUM('[2]Pop 57'!$C$22:$C$26)</f>
        <v>506965</v>
      </c>
      <c r="C79" s="46">
        <f t="shared" si="1"/>
        <v>15.20895</v>
      </c>
      <c r="D79" s="102">
        <f>'2.Reti IDDM_DISMOD'!E49</f>
        <v>3.0000000000000001E-5</v>
      </c>
      <c r="E79" s="42">
        <f t="shared" si="0"/>
        <v>4.7093800000000003</v>
      </c>
      <c r="F79" s="42">
        <f>'2.Reti IDDM_DISMOD'!L49</f>
        <v>89.415469999999999</v>
      </c>
      <c r="G79" s="45">
        <f t="shared" si="2"/>
        <v>0.254</v>
      </c>
      <c r="H79" s="60">
        <f t="shared" si="3"/>
        <v>18.192680137554003</v>
      </c>
      <c r="I79" s="98">
        <f>C79*G79*(1-EXP(-0.03*E79))/0.03</f>
        <v>16.965980115962417</v>
      </c>
      <c r="J79" s="406">
        <f t="shared" si="5"/>
        <v>3</v>
      </c>
      <c r="K79" s="99">
        <f t="shared" si="6"/>
        <v>18.192680137554003</v>
      </c>
      <c r="L79" s="100">
        <f t="shared" si="7"/>
        <v>71.624724951000005</v>
      </c>
    </row>
    <row r="80" spans="1:12" x14ac:dyDescent="0.2">
      <c r="A80" s="34" t="s">
        <v>18</v>
      </c>
      <c r="B80" s="28">
        <f>SUM(B72:B79)</f>
        <v>31922490</v>
      </c>
      <c r="C80" s="46">
        <f>SUM(C72:C79)</f>
        <v>527.22977000000003</v>
      </c>
      <c r="D80" s="28"/>
      <c r="E80" s="42"/>
      <c r="F80" s="42"/>
      <c r="G80" s="28"/>
      <c r="H80" s="60">
        <f>SUM(H72:H79)</f>
        <v>4260.8392441663937</v>
      </c>
      <c r="I80" s="98">
        <f>SUM(I72:I79)</f>
        <v>2627.798587176806</v>
      </c>
      <c r="K80" s="99">
        <f>SUM(K72:K79)</f>
        <v>4260.8392441663937</v>
      </c>
      <c r="L80" s="100">
        <f>SUM(L72:L79)</f>
        <v>16774.957654198402</v>
      </c>
    </row>
    <row r="81" spans="1:12" x14ac:dyDescent="0.2">
      <c r="A81" s="27"/>
      <c r="B81" s="28"/>
      <c r="C81" s="28"/>
      <c r="D81" s="28"/>
      <c r="E81" s="42"/>
      <c r="F81" s="42"/>
      <c r="G81" s="45"/>
      <c r="H81" s="58"/>
      <c r="I81" s="29"/>
      <c r="K81" s="99"/>
      <c r="L81" s="100"/>
    </row>
    <row r="82" spans="1:12" x14ac:dyDescent="0.2">
      <c r="A82" s="48" t="s">
        <v>35</v>
      </c>
      <c r="B82" s="28"/>
      <c r="C82" s="28"/>
      <c r="D82" s="28"/>
      <c r="E82" s="42"/>
      <c r="F82" s="42"/>
      <c r="G82" s="45"/>
      <c r="H82" s="58"/>
      <c r="I82" s="29"/>
      <c r="K82" s="99"/>
      <c r="L82" s="100"/>
    </row>
    <row r="83" spans="1:12" x14ac:dyDescent="0.2">
      <c r="A83" s="33" t="s">
        <v>7</v>
      </c>
      <c r="B83" s="28">
        <f>SUM('[2]Pop 57'!$D$5:$D$6)</f>
        <v>1849075</v>
      </c>
      <c r="C83" s="46">
        <f>D83*B83</f>
        <v>0</v>
      </c>
      <c r="D83" s="102">
        <f>'2.Reti IDDM_DISMOD'!E72</f>
        <v>0</v>
      </c>
      <c r="E83" s="42">
        <f t="shared" ref="E83:E90" si="8">D32</f>
        <v>0</v>
      </c>
      <c r="F83" s="42">
        <f>'2.Reti IDDM_DISMOD'!L72</f>
        <v>2.4969000000000001</v>
      </c>
      <c r="G83" s="45">
        <f>$B$17</f>
        <v>0.254</v>
      </c>
      <c r="H83" s="60">
        <f>C83*E83*G83</f>
        <v>0</v>
      </c>
      <c r="I83" s="98">
        <f>C83*G83*(1-EXP(-0.03*E83))/0.03</f>
        <v>0</v>
      </c>
      <c r="J83" s="406">
        <f>D83*100000</f>
        <v>0</v>
      </c>
      <c r="K83" s="99">
        <f>L83*G83</f>
        <v>0</v>
      </c>
      <c r="L83" s="100">
        <f>C83*E83</f>
        <v>0</v>
      </c>
    </row>
    <row r="84" spans="1:12" x14ac:dyDescent="0.2">
      <c r="A84" s="33" t="s">
        <v>11</v>
      </c>
      <c r="B84" s="28">
        <f>SUM('[2]Pop 57'!$D$7:$D$8)</f>
        <v>3940160</v>
      </c>
      <c r="C84" s="46">
        <f t="shared" ref="C84:C90" si="9">D84*B84</f>
        <v>39.401600000000002</v>
      </c>
      <c r="D84" s="102">
        <f>'2.Reti IDDM_DISMOD'!E73</f>
        <v>1.0000000000000001E-5</v>
      </c>
      <c r="E84" s="42">
        <f t="shared" si="8"/>
        <v>54.871659999999999</v>
      </c>
      <c r="F84" s="42">
        <f>'2.Reti IDDM_DISMOD'!L73</f>
        <v>12.63903</v>
      </c>
      <c r="G84" s="45">
        <f t="shared" ref="G84:G90" si="10">$B$17</f>
        <v>0.254</v>
      </c>
      <c r="H84" s="60">
        <f t="shared" ref="H84:H90" si="11">C84*E84*G84</f>
        <v>549.15592445862399</v>
      </c>
      <c r="I84" s="98">
        <f t="shared" ref="I84:I89" si="12">C84*G84*(1-EXP(-0.03*E84))/0.03</f>
        <v>269.28517317232604</v>
      </c>
      <c r="J84" s="406">
        <f t="shared" ref="J84:J90" si="13">D84*100000</f>
        <v>1</v>
      </c>
      <c r="K84" s="99">
        <f t="shared" ref="K84:K90" si="14">L84*G84</f>
        <v>549.15592445862399</v>
      </c>
      <c r="L84" s="100">
        <f t="shared" ref="L84:L90" si="15">C84*E84</f>
        <v>2162.031198656</v>
      </c>
    </row>
    <row r="85" spans="1:12" x14ac:dyDescent="0.2">
      <c r="A85" s="33" t="s">
        <v>12</v>
      </c>
      <c r="B85" s="46">
        <f>SUM('[2]Pop 57'!$D$9:$D$11)</f>
        <v>7026158.1752900956</v>
      </c>
      <c r="C85" s="46">
        <f t="shared" si="9"/>
        <v>140.52316350580193</v>
      </c>
      <c r="D85" s="102">
        <f>'2.Reti IDDM_DISMOD'!E74</f>
        <v>2.0000000000000002E-5</v>
      </c>
      <c r="E85" s="42">
        <f t="shared" si="8"/>
        <v>47.183759999999999</v>
      </c>
      <c r="F85" s="42">
        <f>'2.Reti IDDM_DISMOD'!L74</f>
        <v>21.148720000000001</v>
      </c>
      <c r="G85" s="45">
        <f t="shared" si="10"/>
        <v>0.254</v>
      </c>
      <c r="H85" s="60">
        <f t="shared" si="11"/>
        <v>1684.1244502098232</v>
      </c>
      <c r="I85" s="98">
        <f t="shared" si="12"/>
        <v>900.88710354016973</v>
      </c>
      <c r="J85" s="406">
        <f t="shared" si="13"/>
        <v>2</v>
      </c>
      <c r="K85" s="99">
        <f t="shared" si="14"/>
        <v>1684.1244502098232</v>
      </c>
      <c r="L85" s="100">
        <f t="shared" si="15"/>
        <v>6630.4112212985165</v>
      </c>
    </row>
    <row r="86" spans="1:12" x14ac:dyDescent="0.2">
      <c r="A86" s="33" t="s">
        <v>13</v>
      </c>
      <c r="B86" s="28">
        <f>SUM('[2]Pop 57'!$D$12:$D$14)</f>
        <v>8017814</v>
      </c>
      <c r="C86" s="46">
        <f t="shared" si="9"/>
        <v>240.53442000000001</v>
      </c>
      <c r="D86" s="102">
        <f>'2.Reti IDDM_DISMOD'!E75</f>
        <v>3.0000000000000001E-5</v>
      </c>
      <c r="E86" s="42">
        <f t="shared" si="8"/>
        <v>34.861629999999998</v>
      </c>
      <c r="F86" s="42">
        <f>'2.Reti IDDM_DISMOD'!L75</f>
        <v>35.394069999999999</v>
      </c>
      <c r="G86" s="45">
        <f t="shared" si="10"/>
        <v>0.254</v>
      </c>
      <c r="H86" s="60">
        <f t="shared" si="11"/>
        <v>2129.8971758853681</v>
      </c>
      <c r="I86" s="98">
        <f t="shared" si="12"/>
        <v>1320.9034082385183</v>
      </c>
      <c r="J86" s="406">
        <f t="shared" si="13"/>
        <v>3</v>
      </c>
      <c r="K86" s="99">
        <f t="shared" si="14"/>
        <v>2129.8971758853681</v>
      </c>
      <c r="L86" s="100">
        <f t="shared" si="15"/>
        <v>8385.4219523045995</v>
      </c>
    </row>
    <row r="87" spans="1:12" x14ac:dyDescent="0.2">
      <c r="A87" s="33" t="s">
        <v>14</v>
      </c>
      <c r="B87" s="28">
        <f>SUM('[2]Pop 57'!$D$15:$D$17)</f>
        <v>7162204</v>
      </c>
      <c r="C87" s="46">
        <f t="shared" si="9"/>
        <v>143.24408000000003</v>
      </c>
      <c r="D87" s="102">
        <f>'2.Reti IDDM_DISMOD'!E76</f>
        <v>2.0000000000000002E-5</v>
      </c>
      <c r="E87" s="42">
        <f t="shared" si="8"/>
        <v>22.095269999999999</v>
      </c>
      <c r="F87" s="42">
        <f>'2.Reti IDDM_DISMOD'!L76</f>
        <v>51.328229999999998</v>
      </c>
      <c r="G87" s="45">
        <f t="shared" si="10"/>
        <v>0.254</v>
      </c>
      <c r="H87" s="60">
        <f t="shared" si="11"/>
        <v>803.9142223694065</v>
      </c>
      <c r="I87" s="98">
        <f t="shared" si="12"/>
        <v>587.75164796735885</v>
      </c>
      <c r="J87" s="406">
        <f t="shared" si="13"/>
        <v>2</v>
      </c>
      <c r="K87" s="99">
        <f t="shared" si="14"/>
        <v>803.9142223694065</v>
      </c>
      <c r="L87" s="100">
        <f t="shared" si="15"/>
        <v>3165.0166235016004</v>
      </c>
    </row>
    <row r="88" spans="1:12" x14ac:dyDescent="0.2">
      <c r="A88" s="33" t="s">
        <v>15</v>
      </c>
      <c r="B88" s="46">
        <f>SUM('[2]Pop 57'!$D$18:$D$19)</f>
        <v>2739970.5356088658</v>
      </c>
      <c r="C88" s="46">
        <f t="shared" si="9"/>
        <v>27.39970535608866</v>
      </c>
      <c r="D88" s="102">
        <f>'2.Reti IDDM_DISMOD'!E77</f>
        <v>1.0000000000000001E-5</v>
      </c>
      <c r="E88" s="42">
        <f t="shared" si="8"/>
        <v>12.523860000000001</v>
      </c>
      <c r="F88" s="42">
        <f>'2.Reti IDDM_DISMOD'!L77</f>
        <v>65.5017</v>
      </c>
      <c r="G88" s="45">
        <f t="shared" si="10"/>
        <v>0.254</v>
      </c>
      <c r="H88" s="60">
        <f t="shared" si="11"/>
        <v>87.160118775909766</v>
      </c>
      <c r="I88" s="98">
        <f t="shared" si="12"/>
        <v>72.658024223124045</v>
      </c>
      <c r="J88" s="406">
        <f t="shared" si="13"/>
        <v>1</v>
      </c>
      <c r="K88" s="99">
        <f t="shared" si="14"/>
        <v>87.160118775909766</v>
      </c>
      <c r="L88" s="100">
        <f t="shared" si="15"/>
        <v>343.15007392090456</v>
      </c>
    </row>
    <row r="89" spans="1:12" x14ac:dyDescent="0.2">
      <c r="A89" s="33" t="s">
        <v>16</v>
      </c>
      <c r="B89" s="46">
        <f>SUM('[2]Pop 57'!$D$20:$D$21)</f>
        <v>1513246</v>
      </c>
      <c r="C89" s="46">
        <f t="shared" si="9"/>
        <v>30.264920000000004</v>
      </c>
      <c r="D89" s="102">
        <f>'2.Reti IDDM_DISMOD'!E78</f>
        <v>2.0000000000000002E-5</v>
      </c>
      <c r="E89" s="42">
        <f t="shared" si="8"/>
        <v>8.3456299999999999</v>
      </c>
      <c r="F89" s="42">
        <f>'2.Reti IDDM_DISMOD'!L78</f>
        <v>74.964259999999996</v>
      </c>
      <c r="G89" s="45">
        <f t="shared" si="10"/>
        <v>0.254</v>
      </c>
      <c r="H89" s="60">
        <f t="shared" si="11"/>
        <v>64.155275372098416</v>
      </c>
      <c r="I89" s="98">
        <f t="shared" si="12"/>
        <v>56.754353517323445</v>
      </c>
      <c r="J89" s="406">
        <f>D89*100000</f>
        <v>2</v>
      </c>
      <c r="K89" s="99">
        <f t="shared" si="14"/>
        <v>64.155275372098416</v>
      </c>
      <c r="L89" s="100">
        <f t="shared" si="15"/>
        <v>252.57982429960003</v>
      </c>
    </row>
    <row r="90" spans="1:12" x14ac:dyDescent="0.2">
      <c r="A90" s="33" t="s">
        <v>17</v>
      </c>
      <c r="B90" s="46">
        <f>SUM('[2]Pop 57'!$D$22:$D$26)</f>
        <v>784195.44620730029</v>
      </c>
      <c r="C90" s="46">
        <f t="shared" si="9"/>
        <v>31.367817848292013</v>
      </c>
      <c r="D90" s="102">
        <f>'2.Reti IDDM_DISMOD'!E79</f>
        <v>4.0000000000000003E-5</v>
      </c>
      <c r="E90" s="42">
        <f t="shared" si="8"/>
        <v>5.5281000000000002</v>
      </c>
      <c r="F90" s="42">
        <f>'2.Reti IDDM_DISMOD'!L79</f>
        <v>91.290270000000007</v>
      </c>
      <c r="G90" s="45">
        <f t="shared" si="10"/>
        <v>0.254</v>
      </c>
      <c r="H90" s="60">
        <f t="shared" si="11"/>
        <v>44.044726197174342</v>
      </c>
      <c r="I90" s="98">
        <f>C90*G90*(1-EXP(-0.03*E90))/0.03</f>
        <v>40.586270947665504</v>
      </c>
      <c r="J90" s="406">
        <f t="shared" si="13"/>
        <v>4</v>
      </c>
      <c r="K90" s="99">
        <f t="shared" si="14"/>
        <v>44.044726197174342</v>
      </c>
      <c r="L90" s="100">
        <f t="shared" si="15"/>
        <v>173.40443384714308</v>
      </c>
    </row>
    <row r="91" spans="1:12" x14ac:dyDescent="0.2">
      <c r="A91" s="34" t="s">
        <v>18</v>
      </c>
      <c r="B91" s="46">
        <f>SUM(B83:B90)</f>
        <v>33032823.157106262</v>
      </c>
      <c r="C91" s="46">
        <f>SUM(C83:C90)</f>
        <v>652.73570671018263</v>
      </c>
      <c r="D91" s="28"/>
      <c r="E91" s="42"/>
      <c r="F91" s="28"/>
      <c r="G91" s="28"/>
      <c r="H91" s="60">
        <f>SUM(H83:H90)</f>
        <v>5362.4518932684032</v>
      </c>
      <c r="I91" s="98">
        <f>SUM(I83:I90)</f>
        <v>3248.825981606486</v>
      </c>
      <c r="K91" s="99">
        <f>SUM(K83:K90)</f>
        <v>5362.4518932684032</v>
      </c>
      <c r="L91" s="100">
        <f>SUM(L83:L90)</f>
        <v>21112.015327828361</v>
      </c>
    </row>
    <row r="92" spans="1:12" x14ac:dyDescent="0.2">
      <c r="A92" s="30"/>
      <c r="B92" s="31"/>
      <c r="C92" s="31"/>
      <c r="D92" s="31"/>
      <c r="E92" s="31"/>
      <c r="F92" s="31"/>
      <c r="G92" s="31"/>
      <c r="H92" s="59"/>
      <c r="I92" s="32"/>
      <c r="K92" s="30"/>
      <c r="L92" s="5"/>
    </row>
    <row r="95" spans="1:12" x14ac:dyDescent="0.2">
      <c r="A95" s="23" t="s">
        <v>112</v>
      </c>
    </row>
    <row r="96" spans="1:12" x14ac:dyDescent="0.2">
      <c r="A96" s="23"/>
    </row>
    <row r="97" spans="1:12" x14ac:dyDescent="0.2">
      <c r="A97" s="24" t="s">
        <v>25</v>
      </c>
      <c r="B97" s="25" t="s">
        <v>26</v>
      </c>
      <c r="C97" s="25" t="s">
        <v>27</v>
      </c>
      <c r="D97" s="25" t="s">
        <v>28</v>
      </c>
      <c r="E97" s="25" t="s">
        <v>9</v>
      </c>
      <c r="F97" s="25" t="s">
        <v>29</v>
      </c>
      <c r="G97" s="25" t="s">
        <v>30</v>
      </c>
      <c r="H97" s="35" t="s">
        <v>31</v>
      </c>
      <c r="I97" s="26" t="s">
        <v>31</v>
      </c>
      <c r="K97" s="37" t="s">
        <v>37</v>
      </c>
      <c r="L97" s="38" t="s">
        <v>38</v>
      </c>
    </row>
    <row r="98" spans="1:12" x14ac:dyDescent="0.2">
      <c r="A98" s="30"/>
      <c r="B98" s="31">
        <v>2014</v>
      </c>
      <c r="C98" s="31"/>
      <c r="D98" s="31" t="s">
        <v>105</v>
      </c>
      <c r="E98" s="31"/>
      <c r="F98" s="31"/>
      <c r="G98" s="31"/>
      <c r="H98" s="36" t="s">
        <v>32</v>
      </c>
      <c r="I98" s="32" t="s">
        <v>33</v>
      </c>
      <c r="K98" s="39" t="s">
        <v>32</v>
      </c>
      <c r="L98" s="40" t="s">
        <v>39</v>
      </c>
    </row>
    <row r="99" spans="1:12" x14ac:dyDescent="0.2">
      <c r="A99" s="27"/>
      <c r="B99" s="28"/>
      <c r="C99" s="28"/>
      <c r="D99" s="28"/>
      <c r="E99" s="28"/>
      <c r="F99" s="28"/>
      <c r="G99" s="28"/>
      <c r="H99" s="58"/>
      <c r="I99" s="29"/>
      <c r="K99" s="27"/>
      <c r="L99" s="41"/>
    </row>
    <row r="100" spans="1:12" x14ac:dyDescent="0.2">
      <c r="A100" s="48" t="s">
        <v>34</v>
      </c>
      <c r="B100" s="28"/>
      <c r="C100" s="28"/>
      <c r="D100" s="28"/>
      <c r="E100" s="42"/>
      <c r="F100" s="47"/>
      <c r="G100" s="45"/>
      <c r="H100" s="58"/>
      <c r="I100" s="29"/>
      <c r="K100" s="27"/>
      <c r="L100" s="41"/>
    </row>
    <row r="101" spans="1:12" x14ac:dyDescent="0.2">
      <c r="A101" s="33" t="s">
        <v>7</v>
      </c>
      <c r="B101" s="28">
        <f>SUM('[2]Pop 57'!$C$5:$C$6)</f>
        <v>1966319</v>
      </c>
      <c r="C101" s="46">
        <f>D101*B101</f>
        <v>0</v>
      </c>
      <c r="D101" s="91">
        <f>'2.Reti NIDDM_DISMOD'!E42</f>
        <v>0</v>
      </c>
      <c r="E101" s="42">
        <f t="shared" ref="E101:E108" si="16">C40</f>
        <v>0</v>
      </c>
      <c r="F101" s="42">
        <f>'2.Reti NIDDM_DISMOD'!L42</f>
        <v>0</v>
      </c>
      <c r="G101" s="45">
        <f>$B$17</f>
        <v>0.254</v>
      </c>
      <c r="H101" s="60">
        <f>C101*E101*G101</f>
        <v>0</v>
      </c>
      <c r="I101" s="98">
        <f>C101*G101*(1-EXP(-0.03*E101))/0.03</f>
        <v>0</v>
      </c>
      <c r="J101" s="406">
        <f>D101*100000</f>
        <v>0</v>
      </c>
      <c r="K101" s="99">
        <f>L101*G101</f>
        <v>0</v>
      </c>
      <c r="L101" s="100">
        <f>C101*E101</f>
        <v>0</v>
      </c>
    </row>
    <row r="102" spans="1:12" x14ac:dyDescent="0.2">
      <c r="A102" s="33" t="s">
        <v>11</v>
      </c>
      <c r="B102" s="28">
        <f>SUM('[2]Pop 57'!$C$7:$C$8)</f>
        <v>4179206</v>
      </c>
      <c r="C102" s="46">
        <f t="shared" ref="C102:C108" si="17">D102*B102</f>
        <v>125.37618000000001</v>
      </c>
      <c r="D102" s="91">
        <f>'2.Reti NIDDM_DISMOD'!E43</f>
        <v>3.0000000000000001E-5</v>
      </c>
      <c r="E102" s="42">
        <f t="shared" si="16"/>
        <v>51.135930000000002</v>
      </c>
      <c r="F102" s="42">
        <f>'2.Reti NIDDM_DISMOD'!L43</f>
        <v>12.63519</v>
      </c>
      <c r="G102" s="45">
        <f t="shared" ref="G102:G119" si="18">$B$17</f>
        <v>0.254</v>
      </c>
      <c r="H102" s="60">
        <f t="shared" ref="H102:H108" si="19">C102*E102*G102</f>
        <v>1628.4518012934398</v>
      </c>
      <c r="I102" s="98">
        <f t="shared" ref="I102:I107" si="20">C102*G102*(1-EXP(-0.03*E102))/0.03</f>
        <v>832.59716890843038</v>
      </c>
      <c r="J102" s="406">
        <f t="shared" ref="J102:J108" si="21">D102*100000</f>
        <v>3</v>
      </c>
      <c r="K102" s="99">
        <f t="shared" ref="K102:K108" si="22">L102*G102</f>
        <v>1628.4518012934398</v>
      </c>
      <c r="L102" s="100">
        <f t="shared" ref="L102:L108" si="23">C102*E102</f>
        <v>6411.2275641474007</v>
      </c>
    </row>
    <row r="103" spans="1:12" x14ac:dyDescent="0.2">
      <c r="A103" s="33" t="s">
        <v>12</v>
      </c>
      <c r="B103" s="28">
        <f>SUM('[2]Pop 57'!$C$9:$C$11)</f>
        <v>7301822</v>
      </c>
      <c r="C103" s="46">
        <f t="shared" si="17"/>
        <v>438.10932000000003</v>
      </c>
      <c r="D103" s="91">
        <f>'2.Reti NIDDM_DISMOD'!E44</f>
        <v>6.0000000000000002E-5</v>
      </c>
      <c r="E103" s="42">
        <f t="shared" si="16"/>
        <v>41.09995</v>
      </c>
      <c r="F103" s="42">
        <f>'2.Reti NIDDM_DISMOD'!L44</f>
        <v>23.940480000000001</v>
      </c>
      <c r="G103" s="45">
        <f t="shared" si="18"/>
        <v>0.254</v>
      </c>
      <c r="H103" s="60">
        <f t="shared" si="19"/>
        <v>4573.5928712196364</v>
      </c>
      <c r="I103" s="98">
        <f t="shared" si="20"/>
        <v>2628.3633714313078</v>
      </c>
      <c r="J103" s="406">
        <f t="shared" si="21"/>
        <v>6</v>
      </c>
      <c r="K103" s="99">
        <f t="shared" si="22"/>
        <v>4573.5928712196364</v>
      </c>
      <c r="L103" s="100">
        <f t="shared" si="23"/>
        <v>18006.271146534</v>
      </c>
    </row>
    <row r="104" spans="1:12" x14ac:dyDescent="0.2">
      <c r="A104" s="33" t="s">
        <v>13</v>
      </c>
      <c r="B104" s="28">
        <f>SUM('[2]Pop 57'!$C$12:$C$14)</f>
        <v>7896765</v>
      </c>
      <c r="C104" s="46">
        <f t="shared" si="17"/>
        <v>1974.1912500000001</v>
      </c>
      <c r="D104" s="91">
        <f>'2.Reti NIDDM_DISMOD'!E45</f>
        <v>2.5000000000000001E-4</v>
      </c>
      <c r="E104" s="42">
        <f t="shared" si="16"/>
        <v>31.859390000000001</v>
      </c>
      <c r="F104" s="42">
        <f>'2.Reti NIDDM_DISMOD'!L45</f>
        <v>35.782760000000003</v>
      </c>
      <c r="G104" s="45">
        <f t="shared" si="18"/>
        <v>0.254</v>
      </c>
      <c r="H104" s="60">
        <f t="shared" si="19"/>
        <v>15975.718357957727</v>
      </c>
      <c r="I104" s="98">
        <f t="shared" si="20"/>
        <v>10287.77978948708</v>
      </c>
      <c r="J104" s="406">
        <f t="shared" si="21"/>
        <v>25</v>
      </c>
      <c r="K104" s="99">
        <f t="shared" si="22"/>
        <v>15975.718357957727</v>
      </c>
      <c r="L104" s="100">
        <f t="shared" si="23"/>
        <v>62896.528968337509</v>
      </c>
    </row>
    <row r="105" spans="1:12" x14ac:dyDescent="0.2">
      <c r="A105" s="33" t="s">
        <v>14</v>
      </c>
      <c r="B105" s="28">
        <f>SUM('[2]Pop 57'!$C$15:$C$17)</f>
        <v>6554289</v>
      </c>
      <c r="C105" s="46">
        <f t="shared" si="17"/>
        <v>3473.7731699999999</v>
      </c>
      <c r="D105" s="91">
        <f>'2.Reti NIDDM_DISMOD'!E46</f>
        <v>5.2999999999999998E-4</v>
      </c>
      <c r="E105" s="42">
        <f t="shared" si="16"/>
        <v>21.090900000000001</v>
      </c>
      <c r="F105" s="42">
        <f>'2.Reti NIDDM_DISMOD'!L46</f>
        <v>51.641759999999998</v>
      </c>
      <c r="G105" s="45">
        <f t="shared" si="18"/>
        <v>0.254</v>
      </c>
      <c r="H105" s="60">
        <f t="shared" si="19"/>
        <v>18609.310647992861</v>
      </c>
      <c r="I105" s="98">
        <f t="shared" si="20"/>
        <v>13789.731283867486</v>
      </c>
      <c r="J105" s="406">
        <f t="shared" si="21"/>
        <v>53</v>
      </c>
      <c r="K105" s="99">
        <f t="shared" si="22"/>
        <v>18609.310647992861</v>
      </c>
      <c r="L105" s="100">
        <f t="shared" si="23"/>
        <v>73265.002551152997</v>
      </c>
    </row>
    <row r="106" spans="1:12" x14ac:dyDescent="0.2">
      <c r="A106" s="33" t="s">
        <v>15</v>
      </c>
      <c r="B106" s="28">
        <f>SUM('[2]Pop 57'!$C$18:$C$19)</f>
        <v>2344057</v>
      </c>
      <c r="C106" s="46">
        <f t="shared" si="17"/>
        <v>1406.4341999999999</v>
      </c>
      <c r="D106" s="91">
        <f>'2.Reti NIDDM_DISMOD'!E47</f>
        <v>5.9999999999999995E-4</v>
      </c>
      <c r="E106" s="42">
        <f t="shared" si="16"/>
        <v>13.328720000000001</v>
      </c>
      <c r="F106" s="42">
        <f>'2.Reti NIDDM_DISMOD'!L47</f>
        <v>64.005790000000005</v>
      </c>
      <c r="G106" s="45">
        <f t="shared" si="18"/>
        <v>0.254</v>
      </c>
      <c r="H106" s="60">
        <f t="shared" si="19"/>
        <v>4761.4757831568959</v>
      </c>
      <c r="I106" s="98">
        <f t="shared" si="20"/>
        <v>3924.6613162935637</v>
      </c>
      <c r="J106" s="406">
        <f t="shared" si="21"/>
        <v>59.999999999999993</v>
      </c>
      <c r="K106" s="99">
        <f t="shared" si="22"/>
        <v>4761.4757831568959</v>
      </c>
      <c r="L106" s="100">
        <f t="shared" si="23"/>
        <v>18745.967650224</v>
      </c>
    </row>
    <row r="107" spans="1:12" x14ac:dyDescent="0.2">
      <c r="A107" s="33" t="s">
        <v>16</v>
      </c>
      <c r="B107" s="28">
        <f>SUM('[2]Pop 57'!$C$20:$C$21)</f>
        <v>1173067</v>
      </c>
      <c r="C107" s="46">
        <f t="shared" si="17"/>
        <v>633.45618000000002</v>
      </c>
      <c r="D107" s="91">
        <f>'2.Reti NIDDM_DISMOD'!E48</f>
        <v>5.4000000000000001E-4</v>
      </c>
      <c r="E107" s="42">
        <f t="shared" si="16"/>
        <v>8.0820100000000004</v>
      </c>
      <c r="F107" s="42">
        <f>'2.Reti NIDDM_DISMOD'!L48</f>
        <v>75.203519999999997</v>
      </c>
      <c r="G107" s="45">
        <f t="shared" si="18"/>
        <v>0.254</v>
      </c>
      <c r="H107" s="60">
        <f t="shared" si="19"/>
        <v>1300.3781920557374</v>
      </c>
      <c r="I107" s="98">
        <f t="shared" si="20"/>
        <v>1154.7377344926513</v>
      </c>
      <c r="J107" s="406">
        <f>D107*100000</f>
        <v>54</v>
      </c>
      <c r="K107" s="99">
        <f t="shared" si="22"/>
        <v>1300.3781920557374</v>
      </c>
      <c r="L107" s="100">
        <f t="shared" si="23"/>
        <v>5119.5991813218006</v>
      </c>
    </row>
    <row r="108" spans="1:12" x14ac:dyDescent="0.2">
      <c r="A108" s="33" t="s">
        <v>17</v>
      </c>
      <c r="B108" s="28">
        <f>SUM('[2]Pop 57'!$C$22:$C$26)</f>
        <v>506965</v>
      </c>
      <c r="C108" s="46">
        <f t="shared" si="17"/>
        <v>334.59690000000001</v>
      </c>
      <c r="D108" s="91">
        <f>'2.Reti NIDDM_DISMOD'!E49</f>
        <v>6.6E-4</v>
      </c>
      <c r="E108" s="42">
        <f t="shared" si="16"/>
        <v>5.00495</v>
      </c>
      <c r="F108" s="42">
        <f>'2.Reti NIDDM_DISMOD'!L49</f>
        <v>88.832080000000005</v>
      </c>
      <c r="G108" s="45">
        <f t="shared" si="18"/>
        <v>0.254</v>
      </c>
      <c r="H108" s="60">
        <f t="shared" si="19"/>
        <v>425.35875168237004</v>
      </c>
      <c r="I108" s="98">
        <f>C108*G108*(1-EXP(-0.03*E108))/0.03</f>
        <v>394.96528114922342</v>
      </c>
      <c r="J108" s="406">
        <f t="shared" si="21"/>
        <v>66</v>
      </c>
      <c r="K108" s="99">
        <f t="shared" si="22"/>
        <v>425.35875168237004</v>
      </c>
      <c r="L108" s="100">
        <f t="shared" si="23"/>
        <v>1674.6407546550001</v>
      </c>
    </row>
    <row r="109" spans="1:12" x14ac:dyDescent="0.2">
      <c r="A109" s="34" t="s">
        <v>18</v>
      </c>
      <c r="B109" s="28">
        <f>SUM(B101:B108)</f>
        <v>31922490</v>
      </c>
      <c r="C109" s="46">
        <f>SUM(C101:C108)</f>
        <v>8385.9372000000003</v>
      </c>
      <c r="D109" s="28"/>
      <c r="E109" s="42"/>
      <c r="F109" s="42"/>
      <c r="G109" s="45"/>
      <c r="H109" s="60">
        <f>SUM(H101:H108)</f>
        <v>47274.286405358667</v>
      </c>
      <c r="I109" s="98">
        <f>SUM(I101:I108)</f>
        <v>33012.83594562974</v>
      </c>
      <c r="K109" s="99">
        <f>SUM(K101:K108)</f>
        <v>47274.286405358667</v>
      </c>
      <c r="L109" s="100">
        <f>SUM(L101:L108)</f>
        <v>186119.23781637271</v>
      </c>
    </row>
    <row r="110" spans="1:12" x14ac:dyDescent="0.2">
      <c r="A110" s="27"/>
      <c r="B110" s="28"/>
      <c r="C110" s="28"/>
      <c r="D110" s="28"/>
      <c r="E110" s="42"/>
      <c r="F110" s="42"/>
      <c r="G110" s="45"/>
      <c r="H110" s="58"/>
      <c r="I110" s="29"/>
      <c r="K110" s="99"/>
      <c r="L110" s="100"/>
    </row>
    <row r="111" spans="1:12" x14ac:dyDescent="0.2">
      <c r="A111" s="48" t="s">
        <v>35</v>
      </c>
      <c r="B111" s="28"/>
      <c r="C111" s="28"/>
      <c r="D111" s="28"/>
      <c r="E111" s="42"/>
      <c r="F111" s="42"/>
      <c r="G111" s="45"/>
      <c r="H111" s="58"/>
      <c r="I111" s="29"/>
      <c r="K111" s="99"/>
      <c r="L111" s="100"/>
    </row>
    <row r="112" spans="1:12" x14ac:dyDescent="0.2">
      <c r="A112" s="33" t="s">
        <v>7</v>
      </c>
      <c r="B112" s="28">
        <f>SUM('[2]Pop 57'!$D$5:$D$6)</f>
        <v>1849075</v>
      </c>
      <c r="C112" s="46">
        <f>D112*B112</f>
        <v>0</v>
      </c>
      <c r="D112" s="91">
        <f>'2.Reti NIDDM_DISMOD'!E72</f>
        <v>0</v>
      </c>
      <c r="E112" s="42">
        <f t="shared" ref="E112:E119" si="24">D40</f>
        <v>0</v>
      </c>
      <c r="F112" s="42">
        <f>'2.Reti NIDDM_DISMOD'!L72</f>
        <v>0</v>
      </c>
      <c r="G112" s="45">
        <f t="shared" si="18"/>
        <v>0.254</v>
      </c>
      <c r="H112" s="60">
        <f>C112*E112*G112</f>
        <v>0</v>
      </c>
      <c r="I112" s="98">
        <f>C112*G112*(1-EXP(-0.03*E112))/0.03</f>
        <v>0</v>
      </c>
      <c r="J112" s="406">
        <f>D112*100000</f>
        <v>0</v>
      </c>
      <c r="K112" s="99">
        <f>L112*G112</f>
        <v>0</v>
      </c>
      <c r="L112" s="100">
        <f>C112*E112</f>
        <v>0</v>
      </c>
    </row>
    <row r="113" spans="1:12" x14ac:dyDescent="0.2">
      <c r="A113" s="33" t="s">
        <v>11</v>
      </c>
      <c r="B113" s="28">
        <f>SUM('[2]Pop 57'!$D$7:$D$8)</f>
        <v>3940160</v>
      </c>
      <c r="C113" s="46">
        <f t="shared" ref="C113:C118" si="25">D113*B113</f>
        <v>78.803200000000004</v>
      </c>
      <c r="D113" s="91">
        <f>'2.Reti NIDDM_DISMOD'!E73</f>
        <v>2.0000000000000002E-5</v>
      </c>
      <c r="E113" s="42">
        <f t="shared" si="24"/>
        <v>55.215119999999999</v>
      </c>
      <c r="F113" s="42">
        <f>'2.Reti NIDDM_DISMOD'!L73</f>
        <v>12.637589999999999</v>
      </c>
      <c r="G113" s="45">
        <f t="shared" si="18"/>
        <v>0.254</v>
      </c>
      <c r="H113" s="60">
        <f t="shared" ref="H113:H119" si="26">C113*E113*G113</f>
        <v>1105.186548673536</v>
      </c>
      <c r="I113" s="98">
        <f t="shared" ref="I113:I118" si="27">C113*G113*(1-EXP(-0.03*E113))/0.03</f>
        <v>539.88892014006376</v>
      </c>
      <c r="J113" s="406">
        <f t="shared" ref="J113:J119" si="28">D113*100000</f>
        <v>2</v>
      </c>
      <c r="K113" s="99">
        <f t="shared" ref="K113:K119" si="29">L113*G113</f>
        <v>1105.186548673536</v>
      </c>
      <c r="L113" s="100">
        <f t="shared" ref="L113:L119" si="30">C113*E113</f>
        <v>4351.1281443839998</v>
      </c>
    </row>
    <row r="114" spans="1:12" x14ac:dyDescent="0.2">
      <c r="A114" s="33" t="s">
        <v>12</v>
      </c>
      <c r="B114" s="46">
        <f>SUM('[2]Pop 57'!$D$9:$D$11)</f>
        <v>7026158.1752900956</v>
      </c>
      <c r="C114" s="46">
        <f t="shared" si="25"/>
        <v>281.04632701160386</v>
      </c>
      <c r="D114" s="91">
        <f>'2.Reti NIDDM_DISMOD'!E74</f>
        <v>4.0000000000000003E-5</v>
      </c>
      <c r="E114" s="42">
        <f t="shared" si="24"/>
        <v>44.641649999999998</v>
      </c>
      <c r="F114" s="42">
        <f>'2.Reti NIDDM_DISMOD'!L74</f>
        <v>24.04738</v>
      </c>
      <c r="G114" s="45">
        <f t="shared" si="18"/>
        <v>0.254</v>
      </c>
      <c r="H114" s="60">
        <f t="shared" si="26"/>
        <v>3186.7784281163417</v>
      </c>
      <c r="I114" s="98">
        <f t="shared" si="27"/>
        <v>1755.9893168610226</v>
      </c>
      <c r="J114" s="406">
        <f t="shared" si="28"/>
        <v>4</v>
      </c>
      <c r="K114" s="99">
        <f t="shared" si="29"/>
        <v>3186.7784281163417</v>
      </c>
      <c r="L114" s="100">
        <f t="shared" si="30"/>
        <v>12546.371764237565</v>
      </c>
    </row>
    <row r="115" spans="1:12" x14ac:dyDescent="0.2">
      <c r="A115" s="33" t="s">
        <v>13</v>
      </c>
      <c r="B115" s="28">
        <f>SUM('[2]Pop 57'!$D$12:$D$14)</f>
        <v>8017814</v>
      </c>
      <c r="C115" s="46">
        <f t="shared" si="25"/>
        <v>1202.6721</v>
      </c>
      <c r="D115" s="91">
        <f>'2.Reti NIDDM_DISMOD'!E75</f>
        <v>1.4999999999999999E-4</v>
      </c>
      <c r="E115" s="42">
        <f t="shared" si="24"/>
        <v>34.49691</v>
      </c>
      <c r="F115" s="42">
        <f>'2.Reti NIDDM_DISMOD'!L75</f>
        <v>35.81729</v>
      </c>
      <c r="G115" s="45">
        <f t="shared" si="18"/>
        <v>0.254</v>
      </c>
      <c r="H115" s="60">
        <f t="shared" si="26"/>
        <v>10538.071683075594</v>
      </c>
      <c r="I115" s="98">
        <f t="shared" si="27"/>
        <v>6565.1518622059839</v>
      </c>
      <c r="J115" s="406">
        <f t="shared" si="28"/>
        <v>14.999999999999998</v>
      </c>
      <c r="K115" s="99">
        <f t="shared" si="29"/>
        <v>10538.071683075594</v>
      </c>
      <c r="L115" s="100">
        <f t="shared" si="30"/>
        <v>41488.471193211</v>
      </c>
    </row>
    <row r="116" spans="1:12" x14ac:dyDescent="0.2">
      <c r="A116" s="33" t="s">
        <v>14</v>
      </c>
      <c r="B116" s="28">
        <f>SUM('[2]Pop 57'!$D$15:$D$17)</f>
        <v>7162204</v>
      </c>
      <c r="C116" s="46">
        <f t="shared" si="25"/>
        <v>4154.0783199999996</v>
      </c>
      <c r="D116" s="91">
        <f>'2.Reti NIDDM_DISMOD'!E76</f>
        <v>5.8E-4</v>
      </c>
      <c r="E116" s="42">
        <f t="shared" si="24"/>
        <v>21.349119999999999</v>
      </c>
      <c r="F116" s="42">
        <f>'2.Reti NIDDM_DISMOD'!L76</f>
        <v>52.335149999999999</v>
      </c>
      <c r="G116" s="45">
        <f t="shared" si="18"/>
        <v>0.254</v>
      </c>
      <c r="H116" s="60">
        <f t="shared" si="26"/>
        <v>22526.222801941913</v>
      </c>
      <c r="I116" s="98">
        <f t="shared" si="27"/>
        <v>16634.472085767822</v>
      </c>
      <c r="J116" s="406">
        <f t="shared" si="28"/>
        <v>58</v>
      </c>
      <c r="K116" s="99">
        <f t="shared" si="29"/>
        <v>22526.222801941913</v>
      </c>
      <c r="L116" s="100">
        <f t="shared" si="30"/>
        <v>88685.916543078391</v>
      </c>
    </row>
    <row r="117" spans="1:12" x14ac:dyDescent="0.2">
      <c r="A117" s="33" t="s">
        <v>15</v>
      </c>
      <c r="B117" s="46">
        <f>SUM('[2]Pop 57'!$D$18:$D$19)</f>
        <v>2739970.5356088658</v>
      </c>
      <c r="C117" s="46">
        <f t="shared" si="25"/>
        <v>3260.5649373745505</v>
      </c>
      <c r="D117" s="91">
        <f>'2.Reti NIDDM_DISMOD'!E77</f>
        <v>1.1900000000000001E-3</v>
      </c>
      <c r="E117" s="42">
        <f t="shared" si="24"/>
        <v>13.210190000000001</v>
      </c>
      <c r="F117" s="42">
        <f>'2.Reti NIDDM_DISMOD'!L77</f>
        <v>64.281000000000006</v>
      </c>
      <c r="G117" s="45">
        <f t="shared" si="18"/>
        <v>0.254</v>
      </c>
      <c r="H117" s="60">
        <f t="shared" si="26"/>
        <v>10940.461311834204</v>
      </c>
      <c r="I117" s="98">
        <f t="shared" si="27"/>
        <v>9032.6939999915576</v>
      </c>
      <c r="J117" s="406">
        <f t="shared" si="28"/>
        <v>119.00000000000001</v>
      </c>
      <c r="K117" s="99">
        <f t="shared" si="29"/>
        <v>10940.461311834204</v>
      </c>
      <c r="L117" s="100">
        <f t="shared" si="30"/>
        <v>43072.682330055919</v>
      </c>
    </row>
    <row r="118" spans="1:12" x14ac:dyDescent="0.2">
      <c r="A118" s="33" t="s">
        <v>16</v>
      </c>
      <c r="B118" s="46">
        <f>SUM('[2]Pop 57'!$D$20:$D$21)</f>
        <v>1513246</v>
      </c>
      <c r="C118" s="46">
        <f t="shared" si="25"/>
        <v>2239.6040800000001</v>
      </c>
      <c r="D118" s="91">
        <f>'2.Reti NIDDM_DISMOD'!E78</f>
        <v>1.48E-3</v>
      </c>
      <c r="E118" s="42">
        <f t="shared" si="24"/>
        <v>8.2596299999999996</v>
      </c>
      <c r="F118" s="42">
        <f>'2.Reti NIDDM_DISMOD'!L78</f>
        <v>75.363519999999994</v>
      </c>
      <c r="G118" s="45">
        <f t="shared" si="18"/>
        <v>0.254</v>
      </c>
      <c r="H118" s="60">
        <f t="shared" si="26"/>
        <v>4698.5684660117613</v>
      </c>
      <c r="I118" s="98">
        <f t="shared" si="27"/>
        <v>4161.6866162339047</v>
      </c>
      <c r="J118" s="406">
        <f>D118*100000</f>
        <v>148</v>
      </c>
      <c r="K118" s="99">
        <f t="shared" si="29"/>
        <v>4698.5684660117613</v>
      </c>
      <c r="L118" s="100">
        <f t="shared" si="30"/>
        <v>18498.301047290399</v>
      </c>
    </row>
    <row r="119" spans="1:12" x14ac:dyDescent="0.2">
      <c r="A119" s="33" t="s">
        <v>17</v>
      </c>
      <c r="B119" s="46">
        <f>SUM('[2]Pop 57'!$D$22:$D$26)</f>
        <v>784195.44620730029</v>
      </c>
      <c r="C119" s="46">
        <f>D119*B119</f>
        <v>1372.3420308627756</v>
      </c>
      <c r="D119" s="91">
        <f>'2.Reti NIDDM_DISMOD'!E79</f>
        <v>1.75E-3</v>
      </c>
      <c r="E119" s="42">
        <f t="shared" si="24"/>
        <v>5.7243599999999999</v>
      </c>
      <c r="F119" s="42">
        <f>'2.Reti NIDDM_DISMOD'!L79</f>
        <v>89.704650000000001</v>
      </c>
      <c r="G119" s="45">
        <f t="shared" si="18"/>
        <v>0.254</v>
      </c>
      <c r="H119" s="60">
        <f t="shared" si="26"/>
        <v>1995.3680762585682</v>
      </c>
      <c r="I119" s="98">
        <f>C119*G119*(1-EXP(-0.03*E119))/0.03</f>
        <v>1833.435706646681</v>
      </c>
      <c r="J119" s="406">
        <f t="shared" si="28"/>
        <v>175</v>
      </c>
      <c r="K119" s="99">
        <f t="shared" si="29"/>
        <v>1995.3680762585682</v>
      </c>
      <c r="L119" s="100">
        <f t="shared" si="30"/>
        <v>7855.7798277896381</v>
      </c>
    </row>
    <row r="120" spans="1:12" x14ac:dyDescent="0.2">
      <c r="A120" s="34" t="s">
        <v>18</v>
      </c>
      <c r="B120" s="46">
        <f>SUM(B112:B119)</f>
        <v>33032823.157106262</v>
      </c>
      <c r="C120" s="46">
        <f>SUM(C112:C119)</f>
        <v>12589.110995248931</v>
      </c>
      <c r="D120" s="28"/>
      <c r="E120" s="42"/>
      <c r="F120" s="28"/>
      <c r="G120" s="28"/>
      <c r="H120" s="60">
        <f>SUM(H112:H119)</f>
        <v>54990.657315911914</v>
      </c>
      <c r="I120" s="98">
        <f>SUM(I112:I119)</f>
        <v>40523.318507847041</v>
      </c>
      <c r="K120" s="99">
        <f>SUM(K112:K119)</f>
        <v>54990.657315911914</v>
      </c>
      <c r="L120" s="100">
        <f>SUM(L112:L119)</f>
        <v>216498.65085004689</v>
      </c>
    </row>
    <row r="121" spans="1:12" x14ac:dyDescent="0.2">
      <c r="A121" s="30"/>
      <c r="B121" s="31"/>
      <c r="C121" s="31"/>
      <c r="D121" s="31"/>
      <c r="E121" s="31"/>
      <c r="F121" s="31"/>
      <c r="G121" s="31"/>
      <c r="H121" s="59"/>
      <c r="I121" s="32"/>
      <c r="K121" s="30"/>
      <c r="L121" s="5"/>
    </row>
    <row r="124" spans="1:12" x14ac:dyDescent="0.2">
      <c r="A124" s="23" t="s">
        <v>114</v>
      </c>
    </row>
    <row r="125" spans="1:12" x14ac:dyDescent="0.2">
      <c r="A125" s="23"/>
      <c r="I125" s="22" t="s">
        <v>23</v>
      </c>
    </row>
    <row r="126" spans="1:12" x14ac:dyDescent="0.2">
      <c r="A126" s="24" t="s">
        <v>25</v>
      </c>
      <c r="B126" s="35" t="s">
        <v>31</v>
      </c>
      <c r="C126" s="26" t="s">
        <v>31</v>
      </c>
      <c r="L126" s="22" t="s">
        <v>23</v>
      </c>
    </row>
    <row r="127" spans="1:12" x14ac:dyDescent="0.2">
      <c r="A127" s="30"/>
      <c r="B127" s="36" t="s">
        <v>32</v>
      </c>
      <c r="C127" s="32" t="s">
        <v>33</v>
      </c>
    </row>
    <row r="128" spans="1:12" x14ac:dyDescent="0.2">
      <c r="A128" s="27"/>
      <c r="B128" s="58"/>
      <c r="C128" s="29"/>
    </row>
    <row r="129" spans="1:3" x14ac:dyDescent="0.2">
      <c r="A129" s="48" t="s">
        <v>34</v>
      </c>
      <c r="B129" s="58"/>
      <c r="C129" s="103"/>
    </row>
    <row r="130" spans="1:3" x14ac:dyDescent="0.2">
      <c r="A130" s="33" t="s">
        <v>7</v>
      </c>
      <c r="B130" s="60">
        <f>H72+H101</f>
        <v>0</v>
      </c>
      <c r="C130" s="62">
        <f>I72+I101</f>
        <v>0</v>
      </c>
    </row>
    <row r="131" spans="1:3" x14ac:dyDescent="0.2">
      <c r="A131" s="33" t="s">
        <v>11</v>
      </c>
      <c r="B131" s="60">
        <f t="shared" ref="B131:C131" si="31">H73+H102</f>
        <v>2167.4713804353105</v>
      </c>
      <c r="C131" s="62">
        <f t="shared" si="31"/>
        <v>1109.3061594352739</v>
      </c>
    </row>
    <row r="132" spans="1:3" x14ac:dyDescent="0.2">
      <c r="A132" s="33" t="s">
        <v>12</v>
      </c>
      <c r="B132" s="60">
        <f t="shared" ref="B132:C132" si="32">H74+H103</f>
        <v>6191.9041103029531</v>
      </c>
      <c r="C132" s="62">
        <f t="shared" si="32"/>
        <v>3530.8030016468988</v>
      </c>
    </row>
    <row r="133" spans="1:3" x14ac:dyDescent="0.2">
      <c r="A133" s="33" t="s">
        <v>13</v>
      </c>
      <c r="B133" s="60">
        <f t="shared" ref="B133:C133" si="33">H75+H104</f>
        <v>17245.444224650266</v>
      </c>
      <c r="C133" s="62">
        <f t="shared" si="33"/>
        <v>11107.588575180267</v>
      </c>
    </row>
    <row r="134" spans="1:3" x14ac:dyDescent="0.2">
      <c r="A134" s="33" t="s">
        <v>14</v>
      </c>
      <c r="B134" s="60">
        <f t="shared" ref="B134:C134" si="34">H76+H105</f>
        <v>19324.593076564743</v>
      </c>
      <c r="C134" s="62">
        <f t="shared" si="34"/>
        <v>14316.986309255211</v>
      </c>
    </row>
    <row r="135" spans="1:3" x14ac:dyDescent="0.2">
      <c r="A135" s="33" t="s">
        <v>15</v>
      </c>
      <c r="B135" s="60">
        <f t="shared" ref="B135:C135" si="35">H77+H106</f>
        <v>4838.2529333102384</v>
      </c>
      <c r="C135" s="62">
        <f t="shared" si="35"/>
        <v>3988.3308520843502</v>
      </c>
    </row>
    <row r="136" spans="1:3" x14ac:dyDescent="0.2">
      <c r="A136" s="33" t="s">
        <v>16</v>
      </c>
      <c r="B136" s="60">
        <f t="shared" ref="B136:C136" si="36">H78+H107</f>
        <v>1323.9084924416261</v>
      </c>
      <c r="C136" s="62">
        <f t="shared" si="36"/>
        <v>1175.6883739393609</v>
      </c>
    </row>
    <row r="137" spans="1:3" x14ac:dyDescent="0.2">
      <c r="A137" s="33" t="s">
        <v>17</v>
      </c>
      <c r="B137" s="60">
        <f t="shared" ref="B137:C137" si="37">H79+H108</f>
        <v>443.55143181992406</v>
      </c>
      <c r="C137" s="62">
        <f t="shared" si="37"/>
        <v>411.93126126518581</v>
      </c>
    </row>
    <row r="138" spans="1:3" x14ac:dyDescent="0.2">
      <c r="A138" s="34" t="s">
        <v>18</v>
      </c>
      <c r="B138" s="60">
        <f t="shared" ref="B138:C138" si="38">H80+H109</f>
        <v>51535.125649525064</v>
      </c>
      <c r="C138" s="62">
        <f t="shared" si="38"/>
        <v>35640.634532806544</v>
      </c>
    </row>
    <row r="139" spans="1:3" x14ac:dyDescent="0.2">
      <c r="A139" s="27"/>
      <c r="B139" s="58"/>
      <c r="C139" s="103"/>
    </row>
    <row r="140" spans="1:3" x14ac:dyDescent="0.2">
      <c r="A140" s="48" t="s">
        <v>35</v>
      </c>
      <c r="B140" s="58"/>
      <c r="C140" s="103"/>
    </row>
    <row r="141" spans="1:3" x14ac:dyDescent="0.2">
      <c r="A141" s="33" t="s">
        <v>7</v>
      </c>
      <c r="B141" s="60">
        <f>H83+H112</f>
        <v>0</v>
      </c>
      <c r="C141" s="62">
        <f>I83+I112</f>
        <v>0</v>
      </c>
    </row>
    <row r="142" spans="1:3" x14ac:dyDescent="0.2">
      <c r="A142" s="33" t="s">
        <v>11</v>
      </c>
      <c r="B142" s="60">
        <f t="shared" ref="B142:C142" si="39">H84+H113</f>
        <v>1654.34247313216</v>
      </c>
      <c r="C142" s="62">
        <f t="shared" si="39"/>
        <v>809.1740933123898</v>
      </c>
    </row>
    <row r="143" spans="1:3" x14ac:dyDescent="0.2">
      <c r="A143" s="33" t="s">
        <v>12</v>
      </c>
      <c r="B143" s="60">
        <f t="shared" ref="B143:C143" si="40">H85+H114</f>
        <v>4870.9028783261647</v>
      </c>
      <c r="C143" s="62">
        <f t="shared" si="40"/>
        <v>2656.8764204011923</v>
      </c>
    </row>
    <row r="144" spans="1:3" x14ac:dyDescent="0.2">
      <c r="A144" s="33" t="s">
        <v>13</v>
      </c>
      <c r="B144" s="60">
        <f t="shared" ref="B144:C144" si="41">H86+H115</f>
        <v>12667.968858960961</v>
      </c>
      <c r="C144" s="62">
        <f t="shared" si="41"/>
        <v>7886.0552704445017</v>
      </c>
    </row>
    <row r="145" spans="1:3" x14ac:dyDescent="0.2">
      <c r="A145" s="33" t="s">
        <v>14</v>
      </c>
      <c r="B145" s="60">
        <f t="shared" ref="B145:C145" si="42">H87+H116</f>
        <v>23330.13702431132</v>
      </c>
      <c r="C145" s="62">
        <f t="shared" si="42"/>
        <v>17222.22373373518</v>
      </c>
    </row>
    <row r="146" spans="1:3" x14ac:dyDescent="0.2">
      <c r="A146" s="33" t="s">
        <v>15</v>
      </c>
      <c r="B146" s="60">
        <f t="shared" ref="B146:C146" si="43">H88+H117</f>
        <v>11027.621430610114</v>
      </c>
      <c r="C146" s="62">
        <f t="shared" si="43"/>
        <v>9105.3520242146824</v>
      </c>
    </row>
    <row r="147" spans="1:3" x14ac:dyDescent="0.2">
      <c r="A147" s="33" t="s">
        <v>16</v>
      </c>
      <c r="B147" s="60">
        <f t="shared" ref="B147:C147" si="44">H89+H118</f>
        <v>4762.7237413838593</v>
      </c>
      <c r="C147" s="62">
        <f t="shared" si="44"/>
        <v>4218.4409697512283</v>
      </c>
    </row>
    <row r="148" spans="1:3" x14ac:dyDescent="0.2">
      <c r="A148" s="33" t="s">
        <v>17</v>
      </c>
      <c r="B148" s="60">
        <f t="shared" ref="B148:C148" si="45">H90+H119</f>
        <v>2039.4128024557426</v>
      </c>
      <c r="C148" s="62">
        <f t="shared" si="45"/>
        <v>1874.0219775943465</v>
      </c>
    </row>
    <row r="149" spans="1:3" x14ac:dyDescent="0.2">
      <c r="A149" s="34" t="s">
        <v>18</v>
      </c>
      <c r="B149" s="60">
        <f t="shared" ref="B149:C149" si="46">H91+H120</f>
        <v>60353.109209180315</v>
      </c>
      <c r="C149" s="62">
        <f t="shared" si="46"/>
        <v>43772.144489453531</v>
      </c>
    </row>
    <row r="150" spans="1:3" x14ac:dyDescent="0.2">
      <c r="A150" s="30"/>
      <c r="B150" s="59"/>
      <c r="C150" s="61"/>
    </row>
  </sheetData>
  <mergeCells count="16">
    <mergeCell ref="A32:A39"/>
    <mergeCell ref="E32:E39"/>
    <mergeCell ref="E40:E48"/>
    <mergeCell ref="A40:A48"/>
    <mergeCell ref="A30:A31"/>
    <mergeCell ref="B30:B31"/>
    <mergeCell ref="C30:D30"/>
    <mergeCell ref="E30:E31"/>
    <mergeCell ref="C10:E10"/>
    <mergeCell ref="C17:C18"/>
    <mergeCell ref="A1:E1"/>
    <mergeCell ref="A2:E2"/>
    <mergeCell ref="A3:E3"/>
    <mergeCell ref="A4:E4"/>
    <mergeCell ref="A5:E5"/>
    <mergeCell ref="A6:E6"/>
  </mergeCell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96"/>
  <sheetViews>
    <sheetView topLeftCell="A65" workbookViewId="0">
      <selection activeCell="N92" sqref="N92"/>
    </sheetView>
  </sheetViews>
  <sheetFormatPr baseColWidth="10" defaultColWidth="8.83203125" defaultRowHeight="15" x14ac:dyDescent="0.2"/>
  <sheetData>
    <row r="1" spans="1:11" x14ac:dyDescent="0.2">
      <c r="A1" s="22" t="s">
        <v>97</v>
      </c>
    </row>
    <row r="2" spans="1:11" x14ac:dyDescent="0.2">
      <c r="A2" s="22" t="s">
        <v>73</v>
      </c>
    </row>
    <row r="4" spans="1:11" x14ac:dyDescent="0.2">
      <c r="A4" s="443" t="s">
        <v>40</v>
      </c>
      <c r="B4" s="438" t="s">
        <v>74</v>
      </c>
      <c r="C4" s="440"/>
      <c r="F4" t="s">
        <v>302</v>
      </c>
    </row>
    <row r="5" spans="1:11" x14ac:dyDescent="0.2">
      <c r="A5" s="444"/>
      <c r="B5" s="77" t="s">
        <v>43</v>
      </c>
      <c r="C5" s="77" t="s">
        <v>44</v>
      </c>
      <c r="F5" t="s">
        <v>123</v>
      </c>
      <c r="H5" t="s">
        <v>124</v>
      </c>
    </row>
    <row r="6" spans="1:11" x14ac:dyDescent="0.2">
      <c r="A6" s="33" t="s">
        <v>7</v>
      </c>
      <c r="B6" s="91">
        <f>'[4]an5.DISMOD_IDDM retinopathy'!C8</f>
        <v>0</v>
      </c>
      <c r="C6" s="87">
        <f>'[4]an5.DISMOD_IDDM retinopathy'!C38</f>
        <v>0</v>
      </c>
      <c r="F6" t="s">
        <v>257</v>
      </c>
      <c r="G6" t="s">
        <v>258</v>
      </c>
      <c r="H6" t="s">
        <v>257</v>
      </c>
      <c r="I6" t="s">
        <v>258</v>
      </c>
      <c r="K6">
        <f>B6*1000</f>
        <v>0</v>
      </c>
    </row>
    <row r="7" spans="1:11" x14ac:dyDescent="0.2">
      <c r="A7" s="33" t="s">
        <v>11</v>
      </c>
      <c r="B7" s="91">
        <f>'[4]an5.DISMOD_IDDM retinopathy'!C9</f>
        <v>0</v>
      </c>
      <c r="C7" s="87">
        <f>'[4]an5.DISMOD_IDDM retinopathy'!C39</f>
        <v>0</v>
      </c>
      <c r="E7" t="s">
        <v>11</v>
      </c>
      <c r="F7">
        <v>0</v>
      </c>
      <c r="G7">
        <v>0</v>
      </c>
      <c r="K7" s="22">
        <f t="shared" ref="K7:K13" si="0">B7*1000</f>
        <v>0</v>
      </c>
    </row>
    <row r="8" spans="1:11" x14ac:dyDescent="0.2">
      <c r="A8" s="33" t="s">
        <v>12</v>
      </c>
      <c r="B8" s="91">
        <f>'[4]an5.DISMOD_IDDM retinopathy'!C10</f>
        <v>2.0000000000000001E-4</v>
      </c>
      <c r="C8" s="87">
        <f>'[4]an5.DISMOD_IDDM retinopathy'!C40</f>
        <v>2.1000000000000001E-4</v>
      </c>
      <c r="E8" t="s">
        <v>303</v>
      </c>
      <c r="F8">
        <v>8.0048502673796804E-2</v>
      </c>
      <c r="G8">
        <v>8.792037433155081E-2</v>
      </c>
      <c r="K8" s="22">
        <f t="shared" si="0"/>
        <v>0.2</v>
      </c>
    </row>
    <row r="9" spans="1:11" x14ac:dyDescent="0.2">
      <c r="A9" s="33" t="s">
        <v>13</v>
      </c>
      <c r="B9" s="91">
        <f>'[4]an5.DISMOD_IDDM retinopathy'!C11</f>
        <v>5.0000000000000001E-4</v>
      </c>
      <c r="C9" s="87">
        <f>'[4]an5.DISMOD_IDDM retinopathy'!C41</f>
        <v>5.6999999999999998E-4</v>
      </c>
      <c r="E9" t="s">
        <v>304</v>
      </c>
      <c r="F9">
        <v>0.37720205316366756</v>
      </c>
      <c r="G9">
        <v>0.41896594480658889</v>
      </c>
      <c r="H9">
        <v>1.3004583333333333</v>
      </c>
      <c r="I9">
        <v>0.76917111111111114</v>
      </c>
      <c r="K9" s="22">
        <f t="shared" si="0"/>
        <v>0.5</v>
      </c>
    </row>
    <row r="10" spans="1:11" x14ac:dyDescent="0.2">
      <c r="A10" s="33" t="s">
        <v>14</v>
      </c>
      <c r="B10" s="91">
        <f>'[4]an5.DISMOD_IDDM retinopathy'!C12</f>
        <v>8.0000000000000004E-4</v>
      </c>
      <c r="C10" s="87">
        <f>'[4]an5.DISMOD_IDDM retinopathy'!C42</f>
        <v>8.7000000000000001E-4</v>
      </c>
      <c r="E10" t="s">
        <v>305</v>
      </c>
      <c r="F10">
        <v>0.58931495810949797</v>
      </c>
      <c r="G10">
        <v>0.65456237313301768</v>
      </c>
      <c r="H10">
        <v>3.9065181833333336</v>
      </c>
      <c r="I10">
        <v>2.4710409582222228</v>
      </c>
      <c r="K10" s="22">
        <f t="shared" si="0"/>
        <v>0.8</v>
      </c>
    </row>
    <row r="11" spans="1:11" x14ac:dyDescent="0.2">
      <c r="A11" s="33" t="s">
        <v>15</v>
      </c>
      <c r="B11" s="91">
        <f>'[4]an5.DISMOD_IDDM retinopathy'!C13</f>
        <v>8.0000000000000004E-4</v>
      </c>
      <c r="C11" s="87">
        <f>'[4]an5.DISMOD_IDDM retinopathy'!C43</f>
        <v>8.4999999999999995E-4</v>
      </c>
      <c r="D11" s="22" t="s">
        <v>23</v>
      </c>
      <c r="E11" t="s">
        <v>306</v>
      </c>
      <c r="F11">
        <v>0.82343822408005107</v>
      </c>
      <c r="G11">
        <v>0.86523040375512761</v>
      </c>
      <c r="H11">
        <v>7.8491679789995796</v>
      </c>
      <c r="I11">
        <v>5.9181655546666683</v>
      </c>
      <c r="K11" s="22">
        <f t="shared" si="0"/>
        <v>0.8</v>
      </c>
    </row>
    <row r="12" spans="1:11" x14ac:dyDescent="0.2">
      <c r="A12" s="33" t="s">
        <v>16</v>
      </c>
      <c r="B12" s="91">
        <f>'[4]an5.DISMOD_IDDM retinopathy'!C14</f>
        <v>6.9999999999999999E-4</v>
      </c>
      <c r="C12" s="87">
        <f>'[4]an5.DISMOD_IDDM retinopathy'!C44</f>
        <v>7.5000000000000002E-4</v>
      </c>
      <c r="E12" t="s">
        <v>307</v>
      </c>
      <c r="F12">
        <v>0.84567520320949663</v>
      </c>
      <c r="G12">
        <v>0.88134907497046233</v>
      </c>
      <c r="H12">
        <v>12.623067064095764</v>
      </c>
      <c r="I12">
        <v>11.951296781185185</v>
      </c>
      <c r="K12" s="22">
        <f t="shared" si="0"/>
        <v>0.7</v>
      </c>
    </row>
    <row r="13" spans="1:11" x14ac:dyDescent="0.2">
      <c r="A13" s="33" t="s">
        <v>17</v>
      </c>
      <c r="B13" s="91">
        <f>'[4]an5.DISMOD_IDDM retinopathy'!C15</f>
        <v>5.9999999999999995E-4</v>
      </c>
      <c r="C13" s="87">
        <f>'[4]an5.DISMOD_IDDM retinopathy'!C45</f>
        <v>6.3000000000000003E-4</v>
      </c>
      <c r="E13" t="s">
        <v>308</v>
      </c>
      <c r="F13">
        <v>0.79165295450430473</v>
      </c>
      <c r="G13">
        <v>0.82411415101473062</v>
      </c>
      <c r="H13">
        <v>15.952030675745069</v>
      </c>
      <c r="I13">
        <v>19.903571457850145</v>
      </c>
      <c r="K13" s="22">
        <f t="shared" si="0"/>
        <v>0.6</v>
      </c>
    </row>
    <row r="14" spans="1:11" x14ac:dyDescent="0.2">
      <c r="A14" s="30"/>
      <c r="B14" s="31"/>
      <c r="C14" s="32"/>
      <c r="E14" t="s">
        <v>196</v>
      </c>
      <c r="F14">
        <v>0.62886896816509952</v>
      </c>
      <c r="G14">
        <v>0.63444988695287796</v>
      </c>
      <c r="H14">
        <v>14.616086259013354</v>
      </c>
      <c r="I14">
        <v>24.207313439036405</v>
      </c>
    </row>
    <row r="15" spans="1:11" x14ac:dyDescent="0.2">
      <c r="A15" s="70" t="s">
        <v>75</v>
      </c>
    </row>
    <row r="17" spans="1:7" x14ac:dyDescent="0.2">
      <c r="A17" s="70" t="s">
        <v>98</v>
      </c>
      <c r="G17" s="22" t="s">
        <v>23</v>
      </c>
    </row>
    <row r="18" spans="1:7" x14ac:dyDescent="0.2">
      <c r="D18" s="22"/>
    </row>
    <row r="19" spans="1:7" x14ac:dyDescent="0.2">
      <c r="A19" s="22" t="s">
        <v>99</v>
      </c>
      <c r="D19" s="22"/>
    </row>
    <row r="20" spans="1:7" x14ac:dyDescent="0.2">
      <c r="D20" s="22"/>
    </row>
    <row r="21" spans="1:7" x14ac:dyDescent="0.2">
      <c r="A21" s="443" t="s">
        <v>40</v>
      </c>
      <c r="B21" s="438" t="s">
        <v>100</v>
      </c>
      <c r="C21" s="440"/>
      <c r="D21" s="22"/>
    </row>
    <row r="22" spans="1:7" x14ac:dyDescent="0.2">
      <c r="A22" s="444"/>
      <c r="B22" s="76" t="s">
        <v>43</v>
      </c>
      <c r="C22" s="78" t="s">
        <v>44</v>
      </c>
      <c r="D22" s="22"/>
    </row>
    <row r="23" spans="1:7" x14ac:dyDescent="0.2">
      <c r="A23" s="33" t="s">
        <v>7</v>
      </c>
      <c r="B23" s="89">
        <f>'[4]an5.DISMOD_IDDM retinopathy'!E8</f>
        <v>0</v>
      </c>
      <c r="C23" s="90">
        <f>'[4]an5.DISMOD_IDDM retinopathy'!E38</f>
        <v>0</v>
      </c>
      <c r="D23" s="22"/>
      <c r="E23" s="22"/>
    </row>
    <row r="24" spans="1:7" x14ac:dyDescent="0.2">
      <c r="A24" s="33" t="s">
        <v>11</v>
      </c>
      <c r="B24" s="89">
        <f>'[4]an5.DISMOD_IDDM retinopathy'!E9</f>
        <v>1.6000000000000001E-3</v>
      </c>
      <c r="C24" s="90">
        <f>'[4]an5.DISMOD_IDDM retinopathy'!E39</f>
        <v>1.65E-3</v>
      </c>
      <c r="D24" s="22"/>
    </row>
    <row r="25" spans="1:7" x14ac:dyDescent="0.2">
      <c r="A25" s="33" t="s">
        <v>12</v>
      </c>
      <c r="B25" s="89">
        <f>'[4]an5.DISMOD_IDDM retinopathy'!E10</f>
        <v>1.6000000000000001E-3</v>
      </c>
      <c r="C25" s="90">
        <f>'[4]an5.DISMOD_IDDM retinopathy'!E40</f>
        <v>1.6100000000000001E-3</v>
      </c>
      <c r="D25" s="22"/>
    </row>
    <row r="26" spans="1:7" x14ac:dyDescent="0.2">
      <c r="A26" s="33" t="s">
        <v>13</v>
      </c>
      <c r="B26" s="89">
        <f>'[4]an5.DISMOD_IDDM retinopathy'!E11</f>
        <v>6.1000000000000004E-3</v>
      </c>
      <c r="C26" s="90">
        <f>'[4]an5.DISMOD_IDDM retinopathy'!E41</f>
        <v>4.1799999999999997E-3</v>
      </c>
      <c r="D26" s="22"/>
    </row>
    <row r="27" spans="1:7" x14ac:dyDescent="0.2">
      <c r="A27" s="33" t="s">
        <v>14</v>
      </c>
      <c r="B27" s="89">
        <f>'[4]an5.DISMOD_IDDM retinopathy'!E12</f>
        <v>6.6E-3</v>
      </c>
      <c r="C27" s="90">
        <f>'[4]an5.DISMOD_IDDM retinopathy'!E42</f>
        <v>5.8399999999999997E-3</v>
      </c>
      <c r="D27" s="22" t="s">
        <v>23</v>
      </c>
    </row>
    <row r="28" spans="1:7" x14ac:dyDescent="0.2">
      <c r="A28" s="33" t="s">
        <v>15</v>
      </c>
      <c r="B28" s="89">
        <f>'[4]an5.DISMOD_IDDM retinopathy'!E13</f>
        <v>1.5699999999999999E-2</v>
      </c>
      <c r="C28" s="90">
        <f>'[4]an5.DISMOD_IDDM retinopathy'!E43</f>
        <v>2.6589999999999999E-2</v>
      </c>
      <c r="D28" s="22"/>
    </row>
    <row r="29" spans="1:7" x14ac:dyDescent="0.2">
      <c r="A29" s="33" t="s">
        <v>16</v>
      </c>
      <c r="B29" s="89">
        <f>'[4]an5.DISMOD_IDDM retinopathy'!E14</f>
        <v>3.8399999999999997E-2</v>
      </c>
      <c r="C29" s="90">
        <f>'[4]an5.DISMOD_IDDM retinopathy'!E44</f>
        <v>5.0889999999999998E-2</v>
      </c>
      <c r="D29" s="22"/>
    </row>
    <row r="30" spans="1:7" x14ac:dyDescent="0.2">
      <c r="A30" s="33" t="s">
        <v>17</v>
      </c>
      <c r="B30" s="89">
        <f>'[4]an5.DISMOD_IDDM retinopathy'!E15</f>
        <v>6.5199999999999994E-2</v>
      </c>
      <c r="C30" s="90">
        <f>'[4]an5.DISMOD_IDDM retinopathy'!E45</f>
        <v>7.4569999999999997E-2</v>
      </c>
      <c r="D30" s="22"/>
    </row>
    <row r="31" spans="1:7" x14ac:dyDescent="0.2">
      <c r="A31" s="75"/>
      <c r="B31" s="30"/>
      <c r="C31" s="32"/>
      <c r="D31" s="22"/>
    </row>
    <row r="32" spans="1:7" x14ac:dyDescent="0.2">
      <c r="A32" s="22"/>
      <c r="B32" s="22"/>
      <c r="C32" s="22"/>
      <c r="D32" s="22"/>
      <c r="F32" s="22" t="s">
        <v>23</v>
      </c>
    </row>
    <row r="33" spans="1:12" x14ac:dyDescent="0.2">
      <c r="A33" s="22" t="s">
        <v>75</v>
      </c>
    </row>
    <row r="35" spans="1:12" x14ac:dyDescent="0.2">
      <c r="A35" s="23" t="s">
        <v>101</v>
      </c>
      <c r="B35" s="22"/>
      <c r="C35" s="22"/>
      <c r="D35" s="22"/>
      <c r="E35" s="22"/>
      <c r="F35" s="22"/>
      <c r="G35" s="22"/>
      <c r="H35" s="22"/>
      <c r="I35" s="22"/>
      <c r="J35" s="22"/>
      <c r="K35" s="22"/>
      <c r="L35" s="22"/>
    </row>
    <row r="36" spans="1:12" x14ac:dyDescent="0.2">
      <c r="A36" s="22"/>
      <c r="B36" s="22"/>
      <c r="C36" s="22"/>
      <c r="D36" s="22"/>
      <c r="E36" s="22"/>
      <c r="F36" s="22"/>
      <c r="G36" s="22"/>
      <c r="H36" s="22"/>
      <c r="I36" s="22"/>
      <c r="J36" s="22"/>
      <c r="K36" s="22"/>
      <c r="L36" s="22"/>
    </row>
    <row r="37" spans="1:12" x14ac:dyDescent="0.2">
      <c r="A37" s="23" t="s">
        <v>102</v>
      </c>
      <c r="B37" s="22"/>
      <c r="C37" s="22"/>
      <c r="D37" s="22"/>
      <c r="E37" s="22"/>
      <c r="F37" s="22"/>
      <c r="G37" s="22"/>
      <c r="H37" s="22"/>
      <c r="I37" s="22"/>
      <c r="J37" s="22"/>
      <c r="K37" s="22"/>
      <c r="L37" s="22"/>
    </row>
    <row r="38" spans="1:12" x14ac:dyDescent="0.2">
      <c r="A38" s="22"/>
      <c r="B38" s="23" t="s">
        <v>34</v>
      </c>
      <c r="C38" s="22"/>
      <c r="D38" s="22"/>
      <c r="E38" s="22"/>
      <c r="F38" s="22"/>
      <c r="G38" s="22"/>
      <c r="H38" s="22"/>
      <c r="I38" s="22"/>
      <c r="J38" s="22"/>
      <c r="K38" s="22"/>
      <c r="L38" s="22"/>
    </row>
    <row r="39" spans="1:12" x14ac:dyDescent="0.2">
      <c r="A39" s="22"/>
      <c r="B39" s="22" t="s">
        <v>79</v>
      </c>
      <c r="C39" s="22" t="s">
        <v>79</v>
      </c>
      <c r="D39" s="22" t="s">
        <v>79</v>
      </c>
      <c r="E39" s="22" t="s">
        <v>80</v>
      </c>
      <c r="F39" s="22" t="s">
        <v>80</v>
      </c>
      <c r="G39" s="22" t="s">
        <v>80</v>
      </c>
      <c r="H39" s="22" t="s">
        <v>80</v>
      </c>
      <c r="I39" s="22" t="s">
        <v>80</v>
      </c>
      <c r="J39" s="22" t="s">
        <v>80</v>
      </c>
      <c r="K39" s="22" t="s">
        <v>80</v>
      </c>
      <c r="L39" s="22" t="s">
        <v>80</v>
      </c>
    </row>
    <row r="40" spans="1:12" x14ac:dyDescent="0.2">
      <c r="A40" s="22" t="s">
        <v>81</v>
      </c>
      <c r="B40" s="22" t="s">
        <v>85</v>
      </c>
      <c r="C40" s="22" t="s">
        <v>82</v>
      </c>
      <c r="D40" s="22" t="s">
        <v>83</v>
      </c>
      <c r="E40" s="22" t="s">
        <v>27</v>
      </c>
      <c r="F40" s="22" t="s">
        <v>85</v>
      </c>
      <c r="G40" s="22" t="s">
        <v>82</v>
      </c>
      <c r="H40" s="22" t="s">
        <v>83</v>
      </c>
      <c r="I40" s="22" t="s">
        <v>9</v>
      </c>
      <c r="J40" s="22" t="s">
        <v>86</v>
      </c>
      <c r="K40" s="22" t="s">
        <v>87</v>
      </c>
      <c r="L40" s="22" t="s">
        <v>88</v>
      </c>
    </row>
    <row r="41" spans="1:12" x14ac:dyDescent="0.2">
      <c r="A41" s="22"/>
      <c r="B41" s="22" t="s">
        <v>89</v>
      </c>
      <c r="C41" s="22" t="s">
        <v>89</v>
      </c>
      <c r="D41" s="22" t="s">
        <v>89</v>
      </c>
      <c r="E41" s="22" t="s">
        <v>89</v>
      </c>
      <c r="F41" s="22" t="s">
        <v>89</v>
      </c>
      <c r="G41" s="22" t="s">
        <v>89</v>
      </c>
      <c r="H41" s="22" t="s">
        <v>89</v>
      </c>
      <c r="I41" s="22" t="s">
        <v>90</v>
      </c>
      <c r="J41" s="22" t="s">
        <v>89</v>
      </c>
      <c r="K41" s="22" t="s">
        <v>91</v>
      </c>
      <c r="L41" s="22" t="s">
        <v>90</v>
      </c>
    </row>
    <row r="42" spans="1:12" x14ac:dyDescent="0.2">
      <c r="A42" s="22" t="s">
        <v>7</v>
      </c>
      <c r="B42" s="22">
        <v>0</v>
      </c>
      <c r="C42" s="22">
        <v>0</v>
      </c>
      <c r="D42" s="22">
        <v>0</v>
      </c>
      <c r="E42" s="88">
        <v>0</v>
      </c>
      <c r="F42" s="22">
        <v>0</v>
      </c>
      <c r="G42" s="22">
        <v>0</v>
      </c>
      <c r="H42" s="22">
        <v>0</v>
      </c>
      <c r="I42" s="88">
        <v>0</v>
      </c>
      <c r="J42" s="22">
        <v>0</v>
      </c>
      <c r="K42" s="22">
        <v>0</v>
      </c>
      <c r="L42" s="88">
        <v>2.49634</v>
      </c>
    </row>
    <row r="43" spans="1:12" x14ac:dyDescent="0.2">
      <c r="A43" s="22" t="s">
        <v>11</v>
      </c>
      <c r="B43" s="22">
        <v>0</v>
      </c>
      <c r="C43" s="22">
        <v>0</v>
      </c>
      <c r="D43" s="22">
        <v>1.6000000000000001E-3</v>
      </c>
      <c r="E43" s="88">
        <v>1.0000000000000001E-5</v>
      </c>
      <c r="F43" s="22">
        <v>3.0000000000000001E-5</v>
      </c>
      <c r="G43" s="22">
        <v>0</v>
      </c>
      <c r="H43" s="22">
        <v>9.3999999999999997E-4</v>
      </c>
      <c r="I43" s="88">
        <v>50.778170000000003</v>
      </c>
      <c r="J43" s="22">
        <v>0</v>
      </c>
      <c r="K43" s="22">
        <v>2.38348</v>
      </c>
      <c r="L43" s="88">
        <v>12.638450000000001</v>
      </c>
    </row>
    <row r="44" spans="1:12" x14ac:dyDescent="0.2">
      <c r="A44" s="22" t="s">
        <v>12</v>
      </c>
      <c r="B44" s="22">
        <v>2.0000000000000001E-4</v>
      </c>
      <c r="C44" s="22">
        <v>0</v>
      </c>
      <c r="D44" s="22">
        <v>1.6000000000000001E-3</v>
      </c>
      <c r="E44" s="88">
        <v>2.0000000000000002E-5</v>
      </c>
      <c r="F44" s="22">
        <v>2.5000000000000001E-4</v>
      </c>
      <c r="G44" s="22">
        <v>1.0000000000000001E-5</v>
      </c>
      <c r="H44" s="22">
        <v>1.89E-3</v>
      </c>
      <c r="I44" s="88">
        <v>43.62818</v>
      </c>
      <c r="J44" s="22">
        <v>0</v>
      </c>
      <c r="K44" s="22">
        <v>1.97749</v>
      </c>
      <c r="L44" s="88">
        <v>20.832039999999999</v>
      </c>
    </row>
    <row r="45" spans="1:12" x14ac:dyDescent="0.2">
      <c r="A45" s="22" t="s">
        <v>13</v>
      </c>
      <c r="B45" s="22">
        <v>5.0000000000000001E-4</v>
      </c>
      <c r="C45" s="22">
        <v>0</v>
      </c>
      <c r="D45" s="22">
        <v>6.1000000000000004E-3</v>
      </c>
      <c r="E45" s="88">
        <v>2.0000000000000002E-5</v>
      </c>
      <c r="F45" s="22">
        <v>5.4000000000000001E-4</v>
      </c>
      <c r="G45" s="22">
        <v>1.0000000000000001E-5</v>
      </c>
      <c r="H45" s="22">
        <v>5.8700000000000002E-3</v>
      </c>
      <c r="I45" s="88">
        <v>31.651700000000002</v>
      </c>
      <c r="J45" s="22">
        <v>0</v>
      </c>
      <c r="K45" s="22">
        <v>2.37269</v>
      </c>
      <c r="L45" s="88">
        <v>35.985700000000001</v>
      </c>
    </row>
    <row r="46" spans="1:12" x14ac:dyDescent="0.2">
      <c r="A46" s="22" t="s">
        <v>14</v>
      </c>
      <c r="B46" s="22">
        <v>8.0000000000000004E-4</v>
      </c>
      <c r="C46" s="22">
        <v>0</v>
      </c>
      <c r="D46" s="22">
        <v>6.6E-3</v>
      </c>
      <c r="E46" s="88">
        <v>2.0000000000000002E-5</v>
      </c>
      <c r="F46" s="22">
        <v>7.6999999999999996E-4</v>
      </c>
      <c r="G46" s="22">
        <v>1.0000000000000001E-5</v>
      </c>
      <c r="H46" s="22">
        <v>6.9800000000000001E-3</v>
      </c>
      <c r="I46" s="88">
        <v>21.482669999999999</v>
      </c>
      <c r="J46" s="22">
        <v>1.0000000000000001E-5</v>
      </c>
      <c r="K46" s="22">
        <v>1.7336</v>
      </c>
      <c r="L46" s="88">
        <v>50.878010000000003</v>
      </c>
    </row>
    <row r="47" spans="1:12" x14ac:dyDescent="0.2">
      <c r="A47" s="22" t="s">
        <v>15</v>
      </c>
      <c r="B47" s="22">
        <v>8.0000000000000004E-4</v>
      </c>
      <c r="C47" s="22">
        <v>0</v>
      </c>
      <c r="D47" s="22">
        <v>1.5699999999999999E-2</v>
      </c>
      <c r="E47" s="88">
        <v>1.0000000000000001E-5</v>
      </c>
      <c r="F47" s="22">
        <v>8.1999999999999998E-4</v>
      </c>
      <c r="G47" s="22">
        <v>1.0000000000000001E-5</v>
      </c>
      <c r="H47" s="22">
        <v>1.521E-2</v>
      </c>
      <c r="I47" s="88">
        <v>12.89526</v>
      </c>
      <c r="J47" s="22">
        <v>1.0000000000000001E-5</v>
      </c>
      <c r="K47" s="22">
        <v>1.76102</v>
      </c>
      <c r="L47" s="88">
        <v>64.625579999999999</v>
      </c>
    </row>
    <row r="48" spans="1:12" x14ac:dyDescent="0.2">
      <c r="A48" s="22" t="s">
        <v>16</v>
      </c>
      <c r="B48" s="22">
        <v>6.9999999999999999E-4</v>
      </c>
      <c r="C48" s="22">
        <v>0</v>
      </c>
      <c r="D48" s="22">
        <v>3.8399999999999997E-2</v>
      </c>
      <c r="E48" s="88">
        <v>1.0000000000000001E-5</v>
      </c>
      <c r="F48" s="22">
        <v>7.2000000000000005E-4</v>
      </c>
      <c r="G48" s="22">
        <v>1.0000000000000001E-5</v>
      </c>
      <c r="H48" s="22">
        <v>3.3439999999999998E-2</v>
      </c>
      <c r="I48" s="88">
        <v>7.8971600000000004</v>
      </c>
      <c r="J48" s="22">
        <v>2.0000000000000002E-5</v>
      </c>
      <c r="K48" s="22">
        <v>1.75393</v>
      </c>
      <c r="L48" s="88">
        <v>75.282150000000001</v>
      </c>
    </row>
    <row r="49" spans="1:12" x14ac:dyDescent="0.2">
      <c r="A49" s="22" t="s">
        <v>17</v>
      </c>
      <c r="B49" s="22">
        <v>5.9999999999999995E-4</v>
      </c>
      <c r="C49" s="22">
        <v>0</v>
      </c>
      <c r="D49" s="22">
        <v>6.5199999999999994E-2</v>
      </c>
      <c r="E49" s="88">
        <v>3.0000000000000001E-5</v>
      </c>
      <c r="F49" s="22">
        <v>6.0999999999999997E-4</v>
      </c>
      <c r="G49" s="22">
        <v>1.0000000000000001E-5</v>
      </c>
      <c r="H49" s="22">
        <v>5.7259999999999998E-2</v>
      </c>
      <c r="I49" s="88">
        <v>4.7093800000000003</v>
      </c>
      <c r="J49" s="22">
        <v>3.0000000000000001E-5</v>
      </c>
      <c r="K49" s="22">
        <v>1.5466800000000001</v>
      </c>
      <c r="L49" s="88">
        <v>89.415469999999999</v>
      </c>
    </row>
    <row r="50" spans="1:12" x14ac:dyDescent="0.2">
      <c r="A50" s="22" t="s">
        <v>92</v>
      </c>
      <c r="B50" s="22">
        <v>4.2999999999999999E-4</v>
      </c>
      <c r="C50" s="22" t="s">
        <v>93</v>
      </c>
      <c r="D50" s="22" t="s">
        <v>93</v>
      </c>
      <c r="E50" s="88">
        <v>2.0000000000000002E-5</v>
      </c>
      <c r="F50" s="22">
        <v>4.4999999999999999E-4</v>
      </c>
      <c r="G50" s="22">
        <v>1.0000000000000001E-5</v>
      </c>
      <c r="H50" s="22">
        <v>9.7099999999999999E-3</v>
      </c>
      <c r="I50" s="88">
        <v>31.71773</v>
      </c>
      <c r="J50" s="22">
        <v>0</v>
      </c>
      <c r="K50" s="22">
        <v>1.84107</v>
      </c>
      <c r="L50" s="88">
        <v>37.48509</v>
      </c>
    </row>
    <row r="51" spans="1:12" x14ac:dyDescent="0.2">
      <c r="A51" s="22"/>
      <c r="B51" s="22"/>
      <c r="C51" s="22"/>
      <c r="D51" s="22"/>
      <c r="E51" s="22"/>
      <c r="F51" s="22"/>
      <c r="G51" s="22"/>
      <c r="H51" s="22"/>
      <c r="I51" s="22"/>
      <c r="J51" s="22"/>
      <c r="K51" s="22"/>
      <c r="L51" s="22"/>
    </row>
    <row r="52" spans="1:12" x14ac:dyDescent="0.2">
      <c r="A52" s="22" t="s">
        <v>102</v>
      </c>
      <c r="B52" s="22"/>
      <c r="C52" s="22"/>
      <c r="D52" s="22"/>
      <c r="E52" s="22"/>
      <c r="F52" s="22"/>
      <c r="G52" s="22"/>
      <c r="H52" s="22"/>
      <c r="I52" s="22"/>
      <c r="J52" s="22"/>
      <c r="K52" s="22"/>
      <c r="L52" s="22"/>
    </row>
    <row r="53" spans="1:12" x14ac:dyDescent="0.2">
      <c r="A53" s="22"/>
      <c r="B53" s="22" t="s">
        <v>34</v>
      </c>
      <c r="C53" s="22"/>
      <c r="D53" s="22"/>
      <c r="E53" s="22"/>
      <c r="F53" s="22"/>
      <c r="G53" s="22"/>
      <c r="H53" s="22"/>
      <c r="I53" s="22"/>
      <c r="J53" s="22"/>
      <c r="K53" s="22"/>
      <c r="L53" s="22"/>
    </row>
    <row r="54" spans="1:12" x14ac:dyDescent="0.2">
      <c r="A54" s="22"/>
      <c r="B54" s="22" t="s">
        <v>79</v>
      </c>
      <c r="C54" s="22" t="s">
        <v>79</v>
      </c>
      <c r="D54" s="22" t="s">
        <v>79</v>
      </c>
      <c r="E54" s="22" t="s">
        <v>80</v>
      </c>
      <c r="F54" s="22" t="s">
        <v>80</v>
      </c>
      <c r="G54" s="22" t="s">
        <v>80</v>
      </c>
      <c r="H54" s="22" t="s">
        <v>80</v>
      </c>
      <c r="I54" s="22" t="s">
        <v>80</v>
      </c>
      <c r="J54" s="22" t="s">
        <v>80</v>
      </c>
      <c r="K54" s="22" t="s">
        <v>80</v>
      </c>
      <c r="L54" s="22" t="s">
        <v>80</v>
      </c>
    </row>
    <row r="55" spans="1:12" x14ac:dyDescent="0.2">
      <c r="A55" s="22" t="s">
        <v>81</v>
      </c>
      <c r="B55" s="22" t="s">
        <v>85</v>
      </c>
      <c r="C55" s="22" t="s">
        <v>82</v>
      </c>
      <c r="D55" s="22" t="s">
        <v>83</v>
      </c>
      <c r="E55" s="22" t="s">
        <v>27</v>
      </c>
      <c r="F55" s="22" t="s">
        <v>85</v>
      </c>
      <c r="G55" s="22" t="s">
        <v>82</v>
      </c>
      <c r="H55" s="22" t="s">
        <v>83</v>
      </c>
      <c r="I55" s="22" t="s">
        <v>9</v>
      </c>
      <c r="J55" s="22" t="s">
        <v>86</v>
      </c>
      <c r="K55" s="22" t="s">
        <v>87</v>
      </c>
      <c r="L55" s="22" t="s">
        <v>88</v>
      </c>
    </row>
    <row r="56" spans="1:12" x14ac:dyDescent="0.2">
      <c r="A56" s="22"/>
      <c r="B56" s="22" t="s">
        <v>94</v>
      </c>
      <c r="C56" s="22" t="s">
        <v>89</v>
      </c>
      <c r="D56" s="22" t="s">
        <v>89</v>
      </c>
      <c r="E56" s="22" t="s">
        <v>94</v>
      </c>
      <c r="F56" s="22" t="s">
        <v>94</v>
      </c>
      <c r="G56" s="22" t="s">
        <v>94</v>
      </c>
      <c r="H56" s="22" t="s">
        <v>94</v>
      </c>
      <c r="I56" s="22" t="s">
        <v>90</v>
      </c>
      <c r="J56" s="22" t="s">
        <v>94</v>
      </c>
      <c r="K56" s="22" t="s">
        <v>91</v>
      </c>
      <c r="L56" s="22" t="s">
        <v>90</v>
      </c>
    </row>
    <row r="57" spans="1:12" x14ac:dyDescent="0.2">
      <c r="A57" s="22" t="s">
        <v>7</v>
      </c>
      <c r="B57" s="22">
        <v>0</v>
      </c>
      <c r="C57" s="22">
        <v>0</v>
      </c>
      <c r="D57" s="22">
        <v>0</v>
      </c>
      <c r="E57" s="22">
        <v>0</v>
      </c>
      <c r="F57" s="22">
        <v>0</v>
      </c>
      <c r="G57" s="22">
        <v>0</v>
      </c>
      <c r="H57" s="22">
        <v>0</v>
      </c>
      <c r="I57" s="22">
        <v>0</v>
      </c>
      <c r="J57" s="22">
        <v>0</v>
      </c>
      <c r="K57" s="22">
        <v>0</v>
      </c>
      <c r="L57" s="22">
        <v>2.49634</v>
      </c>
    </row>
    <row r="58" spans="1:12" x14ac:dyDescent="0.2">
      <c r="A58" s="22" t="s">
        <v>11</v>
      </c>
      <c r="B58" s="22">
        <v>0</v>
      </c>
      <c r="C58" s="22">
        <v>0</v>
      </c>
      <c r="D58" s="22">
        <v>1.6000000000000001E-3</v>
      </c>
      <c r="E58" s="22">
        <v>48</v>
      </c>
      <c r="F58" s="22">
        <v>114</v>
      </c>
      <c r="G58" s="22">
        <v>0</v>
      </c>
      <c r="H58" s="22">
        <v>0</v>
      </c>
      <c r="I58" s="22">
        <v>50.778170000000003</v>
      </c>
      <c r="J58" s="22">
        <v>0</v>
      </c>
      <c r="K58" s="22">
        <v>2.38348</v>
      </c>
      <c r="L58" s="22">
        <v>12.638450000000001</v>
      </c>
    </row>
    <row r="59" spans="1:12" x14ac:dyDescent="0.2">
      <c r="A59" s="22" t="s">
        <v>12</v>
      </c>
      <c r="B59" s="22">
        <v>1460</v>
      </c>
      <c r="C59" s="22">
        <v>0</v>
      </c>
      <c r="D59" s="22">
        <v>1.6000000000000001E-3</v>
      </c>
      <c r="E59" s="22">
        <v>115</v>
      </c>
      <c r="F59" s="22">
        <v>1844</v>
      </c>
      <c r="G59" s="22">
        <v>0</v>
      </c>
      <c r="H59" s="22">
        <v>3</v>
      </c>
      <c r="I59" s="22">
        <v>43.62818</v>
      </c>
      <c r="J59" s="22">
        <v>3</v>
      </c>
      <c r="K59" s="22">
        <v>1.97749</v>
      </c>
      <c r="L59" s="22">
        <v>20.832039999999999</v>
      </c>
    </row>
    <row r="60" spans="1:12" x14ac:dyDescent="0.2">
      <c r="A60" s="22" t="s">
        <v>13</v>
      </c>
      <c r="B60" s="22">
        <v>3948</v>
      </c>
      <c r="C60" s="22">
        <v>0</v>
      </c>
      <c r="D60" s="22">
        <v>6.1000000000000004E-3</v>
      </c>
      <c r="E60" s="22">
        <v>188</v>
      </c>
      <c r="F60" s="22">
        <v>4249</v>
      </c>
      <c r="G60" s="22">
        <v>0</v>
      </c>
      <c r="H60" s="22">
        <v>25</v>
      </c>
      <c r="I60" s="22">
        <v>31.651700000000002</v>
      </c>
      <c r="J60" s="22">
        <v>25</v>
      </c>
      <c r="K60" s="22">
        <v>2.37269</v>
      </c>
      <c r="L60" s="22">
        <v>35.985700000000001</v>
      </c>
    </row>
    <row r="61" spans="1:12" x14ac:dyDescent="0.2">
      <c r="A61" s="22" t="s">
        <v>14</v>
      </c>
      <c r="B61" s="22">
        <v>5243</v>
      </c>
      <c r="C61" s="22">
        <v>0</v>
      </c>
      <c r="D61" s="22">
        <v>6.6E-3</v>
      </c>
      <c r="E61" s="22">
        <v>127</v>
      </c>
      <c r="F61" s="22">
        <v>5034</v>
      </c>
      <c r="G61" s="22">
        <v>0</v>
      </c>
      <c r="H61" s="22">
        <v>35</v>
      </c>
      <c r="I61" s="22">
        <v>21.482669999999999</v>
      </c>
      <c r="J61" s="22">
        <v>35</v>
      </c>
      <c r="K61" s="22">
        <v>1.7336</v>
      </c>
      <c r="L61" s="22">
        <v>50.878010000000003</v>
      </c>
    </row>
    <row r="62" spans="1:12" x14ac:dyDescent="0.2">
      <c r="A62" s="22" t="s">
        <v>15</v>
      </c>
      <c r="B62" s="22">
        <v>1875</v>
      </c>
      <c r="C62" s="22">
        <v>0</v>
      </c>
      <c r="D62" s="22">
        <v>1.5699999999999999E-2</v>
      </c>
      <c r="E62" s="22">
        <v>14</v>
      </c>
      <c r="F62" s="22">
        <v>1928</v>
      </c>
      <c r="G62" s="22">
        <v>0</v>
      </c>
      <c r="H62" s="22">
        <v>29</v>
      </c>
      <c r="I62" s="22">
        <v>12.89526</v>
      </c>
      <c r="J62" s="22">
        <v>29</v>
      </c>
      <c r="K62" s="22">
        <v>1.76102</v>
      </c>
      <c r="L62" s="22">
        <v>64.625579999999999</v>
      </c>
    </row>
    <row r="63" spans="1:12" x14ac:dyDescent="0.2">
      <c r="A63" s="22" t="s">
        <v>16</v>
      </c>
      <c r="B63" s="22">
        <v>821</v>
      </c>
      <c r="C63" s="22">
        <v>0</v>
      </c>
      <c r="D63" s="22">
        <v>3.8399999999999997E-2</v>
      </c>
      <c r="E63" s="22">
        <v>13</v>
      </c>
      <c r="F63" s="22">
        <v>848</v>
      </c>
      <c r="G63" s="22">
        <v>0</v>
      </c>
      <c r="H63" s="22">
        <v>28</v>
      </c>
      <c r="I63" s="22">
        <v>7.8971600000000004</v>
      </c>
      <c r="J63" s="22">
        <v>28</v>
      </c>
      <c r="K63" s="22">
        <v>1.75393</v>
      </c>
      <c r="L63" s="22">
        <v>75.282150000000001</v>
      </c>
    </row>
    <row r="64" spans="1:12" x14ac:dyDescent="0.2">
      <c r="A64" s="22" t="s">
        <v>17</v>
      </c>
      <c r="B64" s="22">
        <v>304</v>
      </c>
      <c r="C64" s="22">
        <v>0</v>
      </c>
      <c r="D64" s="22">
        <v>6.5199999999999994E-2</v>
      </c>
      <c r="E64" s="22">
        <v>15</v>
      </c>
      <c r="F64" s="22">
        <v>309</v>
      </c>
      <c r="G64" s="22">
        <v>0</v>
      </c>
      <c r="H64" s="22">
        <v>18</v>
      </c>
      <c r="I64" s="22">
        <v>4.7093800000000003</v>
      </c>
      <c r="J64" s="22">
        <v>18</v>
      </c>
      <c r="K64" s="22">
        <v>1.5466800000000001</v>
      </c>
      <c r="L64" s="22">
        <v>89.415469999999999</v>
      </c>
    </row>
    <row r="65" spans="1:12" x14ac:dyDescent="0.2">
      <c r="A65" s="22" t="s">
        <v>92</v>
      </c>
      <c r="B65" s="22">
        <v>13653</v>
      </c>
      <c r="C65" s="22" t="s">
        <v>93</v>
      </c>
      <c r="D65" s="22" t="s">
        <v>93</v>
      </c>
      <c r="E65" s="22">
        <v>520</v>
      </c>
      <c r="F65" s="22">
        <v>14326</v>
      </c>
      <c r="G65" s="22">
        <v>0</v>
      </c>
      <c r="H65" s="22">
        <v>139</v>
      </c>
      <c r="I65" s="22">
        <v>31.71773</v>
      </c>
      <c r="J65" s="22">
        <v>139</v>
      </c>
      <c r="K65" s="22">
        <v>1.84107</v>
      </c>
      <c r="L65" s="22">
        <v>37.48509</v>
      </c>
    </row>
    <row r="66" spans="1:12" x14ac:dyDescent="0.2">
      <c r="A66" s="22"/>
      <c r="B66" s="22"/>
      <c r="C66" s="22"/>
      <c r="D66" s="22"/>
      <c r="E66" s="22"/>
      <c r="F66" s="22"/>
      <c r="G66" s="22"/>
      <c r="H66" s="22"/>
      <c r="I66" s="22"/>
      <c r="J66" s="22"/>
      <c r="K66" s="22"/>
      <c r="L66" s="22"/>
    </row>
    <row r="67" spans="1:12" x14ac:dyDescent="0.2">
      <c r="A67" s="22" t="s">
        <v>102</v>
      </c>
      <c r="B67" s="22"/>
      <c r="C67" s="22"/>
      <c r="D67" s="22"/>
      <c r="E67" s="22"/>
      <c r="F67" s="22"/>
      <c r="G67" s="22"/>
      <c r="H67" s="22"/>
      <c r="I67" s="22"/>
      <c r="J67" s="22"/>
      <c r="K67" s="22"/>
      <c r="L67" s="22"/>
    </row>
    <row r="68" spans="1:12" x14ac:dyDescent="0.2">
      <c r="A68" s="22"/>
      <c r="B68" s="22" t="s">
        <v>35</v>
      </c>
      <c r="C68" s="22"/>
      <c r="D68" s="22"/>
      <c r="E68" s="22"/>
      <c r="F68" s="22"/>
      <c r="G68" s="22"/>
      <c r="H68" s="22"/>
      <c r="I68" s="22"/>
      <c r="J68" s="22"/>
      <c r="K68" s="22"/>
      <c r="L68" s="22"/>
    </row>
    <row r="69" spans="1:12" x14ac:dyDescent="0.2">
      <c r="A69" s="22"/>
      <c r="B69" s="22" t="s">
        <v>79</v>
      </c>
      <c r="C69" s="22" t="s">
        <v>79</v>
      </c>
      <c r="D69" s="22" t="s">
        <v>79</v>
      </c>
      <c r="E69" s="22" t="s">
        <v>80</v>
      </c>
      <c r="F69" s="22" t="s">
        <v>80</v>
      </c>
      <c r="G69" s="22" t="s">
        <v>80</v>
      </c>
      <c r="H69" s="22" t="s">
        <v>80</v>
      </c>
      <c r="I69" s="22" t="s">
        <v>80</v>
      </c>
      <c r="J69" s="22" t="s">
        <v>80</v>
      </c>
      <c r="K69" s="22" t="s">
        <v>80</v>
      </c>
      <c r="L69" s="22" t="s">
        <v>80</v>
      </c>
    </row>
    <row r="70" spans="1:12" x14ac:dyDescent="0.2">
      <c r="A70" s="22" t="s">
        <v>81</v>
      </c>
      <c r="B70" s="22" t="s">
        <v>85</v>
      </c>
      <c r="C70" s="22" t="s">
        <v>82</v>
      </c>
      <c r="D70" s="22" t="s">
        <v>83</v>
      </c>
      <c r="E70" s="22" t="s">
        <v>27</v>
      </c>
      <c r="F70" s="22" t="s">
        <v>85</v>
      </c>
      <c r="G70" s="22" t="s">
        <v>82</v>
      </c>
      <c r="H70" s="22" t="s">
        <v>83</v>
      </c>
      <c r="I70" s="22" t="s">
        <v>9</v>
      </c>
      <c r="J70" s="22" t="s">
        <v>86</v>
      </c>
      <c r="K70" s="22" t="s">
        <v>87</v>
      </c>
      <c r="L70" s="22" t="s">
        <v>88</v>
      </c>
    </row>
    <row r="71" spans="1:12" x14ac:dyDescent="0.2">
      <c r="A71" s="22"/>
      <c r="B71" s="22" t="s">
        <v>89</v>
      </c>
      <c r="C71" s="22" t="s">
        <v>89</v>
      </c>
      <c r="D71" s="22" t="s">
        <v>89</v>
      </c>
      <c r="E71" s="22" t="s">
        <v>89</v>
      </c>
      <c r="F71" s="22" t="s">
        <v>89</v>
      </c>
      <c r="G71" s="22" t="s">
        <v>89</v>
      </c>
      <c r="H71" s="22" t="s">
        <v>89</v>
      </c>
      <c r="I71" s="22" t="s">
        <v>90</v>
      </c>
      <c r="J71" s="22" t="s">
        <v>89</v>
      </c>
      <c r="K71" s="22" t="s">
        <v>91</v>
      </c>
      <c r="L71" s="22" t="s">
        <v>90</v>
      </c>
    </row>
    <row r="72" spans="1:12" x14ac:dyDescent="0.2">
      <c r="A72" s="22" t="s">
        <v>7</v>
      </c>
      <c r="B72" s="22">
        <v>0</v>
      </c>
      <c r="C72" s="22">
        <v>0</v>
      </c>
      <c r="D72" s="22">
        <v>0</v>
      </c>
      <c r="E72" s="88">
        <v>0</v>
      </c>
      <c r="F72" s="22">
        <v>0</v>
      </c>
      <c r="G72" s="22">
        <v>0</v>
      </c>
      <c r="H72" s="22">
        <v>0</v>
      </c>
      <c r="I72" s="88">
        <v>0</v>
      </c>
      <c r="J72" s="22">
        <v>0</v>
      </c>
      <c r="K72" s="22">
        <v>0</v>
      </c>
      <c r="L72" s="88">
        <v>2.4969000000000001</v>
      </c>
    </row>
    <row r="73" spans="1:12" x14ac:dyDescent="0.2">
      <c r="A73" s="22" t="s">
        <v>11</v>
      </c>
      <c r="B73" s="22">
        <v>0</v>
      </c>
      <c r="C73" s="22">
        <v>0</v>
      </c>
      <c r="D73" s="22">
        <v>1.65E-3</v>
      </c>
      <c r="E73" s="88">
        <v>1.0000000000000001E-5</v>
      </c>
      <c r="F73" s="22">
        <v>3.0000000000000001E-5</v>
      </c>
      <c r="G73" s="22">
        <v>0</v>
      </c>
      <c r="H73" s="22">
        <v>9.6000000000000002E-4</v>
      </c>
      <c r="I73" s="88">
        <v>54.871659999999999</v>
      </c>
      <c r="J73" s="22">
        <v>0</v>
      </c>
      <c r="K73" s="22">
        <v>3.5963500000000002</v>
      </c>
      <c r="L73" s="88">
        <v>12.63903</v>
      </c>
    </row>
    <row r="74" spans="1:12" x14ac:dyDescent="0.2">
      <c r="A74" s="22" t="s">
        <v>12</v>
      </c>
      <c r="B74" s="22">
        <v>2.1000000000000001E-4</v>
      </c>
      <c r="C74" s="22">
        <v>0</v>
      </c>
      <c r="D74" s="22">
        <v>1.6100000000000001E-3</v>
      </c>
      <c r="E74" s="88">
        <v>2.0000000000000002E-5</v>
      </c>
      <c r="F74" s="22">
        <v>2.7E-4</v>
      </c>
      <c r="G74" s="22">
        <v>1.0000000000000001E-5</v>
      </c>
      <c r="H74" s="22">
        <v>1.7799999999999999E-3</v>
      </c>
      <c r="I74" s="88">
        <v>47.183759999999999</v>
      </c>
      <c r="J74" s="22">
        <v>0</v>
      </c>
      <c r="K74" s="22">
        <v>3.6768299999999998</v>
      </c>
      <c r="L74" s="88">
        <v>21.148720000000001</v>
      </c>
    </row>
    <row r="75" spans="1:12" x14ac:dyDescent="0.2">
      <c r="A75" s="22" t="s">
        <v>13</v>
      </c>
      <c r="B75" s="22">
        <v>5.6999999999999998E-4</v>
      </c>
      <c r="C75" s="22">
        <v>0</v>
      </c>
      <c r="D75" s="22">
        <v>4.1799999999999997E-3</v>
      </c>
      <c r="E75" s="88">
        <v>3.0000000000000001E-5</v>
      </c>
      <c r="F75" s="22">
        <v>6.2E-4</v>
      </c>
      <c r="G75" s="22">
        <v>1.0000000000000001E-5</v>
      </c>
      <c r="H75" s="22">
        <v>4.1599999999999996E-3</v>
      </c>
      <c r="I75" s="88">
        <v>34.861629999999998</v>
      </c>
      <c r="J75" s="22">
        <v>0</v>
      </c>
      <c r="K75" s="22">
        <v>3.5386199999999999</v>
      </c>
      <c r="L75" s="88">
        <v>35.394069999999999</v>
      </c>
    </row>
    <row r="76" spans="1:12" x14ac:dyDescent="0.2">
      <c r="A76" s="22" t="s">
        <v>14</v>
      </c>
      <c r="B76" s="22">
        <v>8.7000000000000001E-4</v>
      </c>
      <c r="C76" s="22">
        <v>0</v>
      </c>
      <c r="D76" s="22">
        <v>5.8399999999999997E-3</v>
      </c>
      <c r="E76" s="88">
        <v>2.0000000000000002E-5</v>
      </c>
      <c r="F76" s="22">
        <v>8.4000000000000003E-4</v>
      </c>
      <c r="G76" s="22">
        <v>1.0000000000000001E-5</v>
      </c>
      <c r="H76" s="22">
        <v>6.6E-3</v>
      </c>
      <c r="I76" s="88">
        <v>22.095269999999999</v>
      </c>
      <c r="J76" s="22">
        <v>1.0000000000000001E-5</v>
      </c>
      <c r="K76" s="22">
        <v>2.4506700000000001</v>
      </c>
      <c r="L76" s="88">
        <v>51.328229999999998</v>
      </c>
    </row>
    <row r="77" spans="1:12" x14ac:dyDescent="0.2">
      <c r="A77" s="22" t="s">
        <v>15</v>
      </c>
      <c r="B77" s="22">
        <v>8.4999999999999995E-4</v>
      </c>
      <c r="C77" s="22">
        <v>0</v>
      </c>
      <c r="D77" s="22">
        <v>2.6589999999999999E-2</v>
      </c>
      <c r="E77" s="88">
        <v>1.0000000000000001E-5</v>
      </c>
      <c r="F77" s="22">
        <v>8.5999999999999998E-4</v>
      </c>
      <c r="G77" s="22">
        <v>1.0000000000000001E-5</v>
      </c>
      <c r="H77" s="22">
        <v>2.4539999999999999E-2</v>
      </c>
      <c r="I77" s="88">
        <v>12.523860000000001</v>
      </c>
      <c r="J77" s="22">
        <v>2.0000000000000002E-5</v>
      </c>
      <c r="K77" s="22">
        <v>3.1184400000000001</v>
      </c>
      <c r="L77" s="88">
        <v>65.5017</v>
      </c>
    </row>
    <row r="78" spans="1:12" x14ac:dyDescent="0.2">
      <c r="A78" s="22" t="s">
        <v>16</v>
      </c>
      <c r="B78" s="22">
        <v>7.5000000000000002E-4</v>
      </c>
      <c r="C78" s="22">
        <v>0</v>
      </c>
      <c r="D78" s="22">
        <v>5.0889999999999998E-2</v>
      </c>
      <c r="E78" s="88">
        <v>2.0000000000000002E-5</v>
      </c>
      <c r="F78" s="22">
        <v>7.5000000000000002E-4</v>
      </c>
      <c r="G78" s="22">
        <v>1.0000000000000001E-5</v>
      </c>
      <c r="H78" s="22">
        <v>4.6260000000000003E-2</v>
      </c>
      <c r="I78" s="88">
        <v>8.3456299999999999</v>
      </c>
      <c r="J78" s="22">
        <v>3.0000000000000001E-5</v>
      </c>
      <c r="K78" s="22">
        <v>2.4773800000000001</v>
      </c>
      <c r="L78" s="88">
        <v>74.964259999999996</v>
      </c>
    </row>
    <row r="79" spans="1:12" x14ac:dyDescent="0.2">
      <c r="A79" s="22" t="s">
        <v>17</v>
      </c>
      <c r="B79" s="22">
        <v>6.3000000000000003E-4</v>
      </c>
      <c r="C79" s="22">
        <v>0</v>
      </c>
      <c r="D79" s="22">
        <v>7.4569999999999997E-2</v>
      </c>
      <c r="E79" s="88">
        <v>4.0000000000000003E-5</v>
      </c>
      <c r="F79" s="22">
        <v>6.4000000000000005E-4</v>
      </c>
      <c r="G79" s="22">
        <v>1.0000000000000001E-5</v>
      </c>
      <c r="H79" s="22">
        <v>6.8440000000000001E-2</v>
      </c>
      <c r="I79" s="88">
        <v>5.5281000000000002</v>
      </c>
      <c r="J79" s="22">
        <v>4.0000000000000003E-5</v>
      </c>
      <c r="K79" s="22">
        <v>1.86269</v>
      </c>
      <c r="L79" s="88">
        <v>91.290270000000007</v>
      </c>
    </row>
    <row r="80" spans="1:12" x14ac:dyDescent="0.2">
      <c r="A80" s="22" t="s">
        <v>92</v>
      </c>
      <c r="B80" s="22">
        <v>4.8999999999999998E-4</v>
      </c>
      <c r="C80" s="22" t="s">
        <v>93</v>
      </c>
      <c r="D80" s="22" t="s">
        <v>93</v>
      </c>
      <c r="E80" s="88">
        <v>2.0000000000000002E-5</v>
      </c>
      <c r="F80" s="22">
        <v>5.1000000000000004E-4</v>
      </c>
      <c r="G80" s="22">
        <v>1.0000000000000001E-5</v>
      </c>
      <c r="H80" s="22">
        <v>1.2319999999999999E-2</v>
      </c>
      <c r="I80" s="88">
        <v>32.120170000000002</v>
      </c>
      <c r="J80" s="22">
        <v>1.0000000000000001E-5</v>
      </c>
      <c r="K80" s="22">
        <v>2.6728000000000001</v>
      </c>
      <c r="L80" s="88">
        <v>41.040439999999997</v>
      </c>
    </row>
    <row r="81" spans="1:12" x14ac:dyDescent="0.2">
      <c r="A81" s="22"/>
      <c r="B81" s="22"/>
      <c r="C81" s="22"/>
      <c r="D81" s="22"/>
      <c r="E81" s="22"/>
      <c r="F81" s="22"/>
      <c r="G81" s="22"/>
      <c r="H81" s="22"/>
      <c r="I81" s="22"/>
      <c r="J81" s="22"/>
      <c r="K81" s="22"/>
      <c r="L81" s="22"/>
    </row>
    <row r="82" spans="1:12" x14ac:dyDescent="0.2">
      <c r="A82" s="22" t="s">
        <v>102</v>
      </c>
      <c r="B82" s="22"/>
      <c r="C82" s="22"/>
      <c r="D82" s="22"/>
      <c r="E82" s="22"/>
      <c r="F82" s="22"/>
      <c r="G82" s="22"/>
      <c r="H82" s="22"/>
      <c r="I82" s="22"/>
      <c r="J82" s="22"/>
      <c r="K82" s="22"/>
      <c r="L82" s="22"/>
    </row>
    <row r="83" spans="1:12" x14ac:dyDescent="0.2">
      <c r="A83" s="22"/>
      <c r="B83" s="22" t="s">
        <v>35</v>
      </c>
      <c r="C83" s="22"/>
      <c r="D83" s="22"/>
      <c r="E83" s="22"/>
      <c r="F83" s="22"/>
      <c r="G83" s="22"/>
      <c r="H83" s="22"/>
      <c r="I83" s="22"/>
      <c r="J83" s="22"/>
      <c r="K83" s="22"/>
      <c r="L83" s="22"/>
    </row>
    <row r="84" spans="1:12" x14ac:dyDescent="0.2">
      <c r="A84" s="22"/>
      <c r="B84" s="22" t="s">
        <v>79</v>
      </c>
      <c r="C84" s="22" t="s">
        <v>79</v>
      </c>
      <c r="D84" s="22" t="s">
        <v>79</v>
      </c>
      <c r="E84" s="22" t="s">
        <v>80</v>
      </c>
      <c r="F84" s="22" t="s">
        <v>80</v>
      </c>
      <c r="G84" s="22" t="s">
        <v>80</v>
      </c>
      <c r="H84" s="22" t="s">
        <v>80</v>
      </c>
      <c r="I84" s="22" t="s">
        <v>80</v>
      </c>
      <c r="J84" s="22" t="s">
        <v>80</v>
      </c>
      <c r="K84" s="22" t="s">
        <v>80</v>
      </c>
      <c r="L84" s="22" t="s">
        <v>80</v>
      </c>
    </row>
    <row r="85" spans="1:12" x14ac:dyDescent="0.2">
      <c r="A85" s="22" t="s">
        <v>81</v>
      </c>
      <c r="B85" s="22" t="s">
        <v>85</v>
      </c>
      <c r="C85" s="22" t="s">
        <v>82</v>
      </c>
      <c r="D85" s="22" t="s">
        <v>83</v>
      </c>
      <c r="E85" s="22" t="s">
        <v>27</v>
      </c>
      <c r="F85" s="22" t="s">
        <v>85</v>
      </c>
      <c r="G85" s="22" t="s">
        <v>82</v>
      </c>
      <c r="H85" s="22" t="s">
        <v>83</v>
      </c>
      <c r="I85" s="22" t="s">
        <v>9</v>
      </c>
      <c r="J85" s="22" t="s">
        <v>86</v>
      </c>
      <c r="K85" s="22" t="s">
        <v>87</v>
      </c>
      <c r="L85" s="22" t="s">
        <v>88</v>
      </c>
    </row>
    <row r="86" spans="1:12" x14ac:dyDescent="0.2">
      <c r="A86" s="22"/>
      <c r="B86" s="22" t="s">
        <v>94</v>
      </c>
      <c r="C86" s="22" t="s">
        <v>89</v>
      </c>
      <c r="D86" s="22" t="s">
        <v>89</v>
      </c>
      <c r="E86" s="22" t="s">
        <v>94</v>
      </c>
      <c r="F86" s="22" t="s">
        <v>94</v>
      </c>
      <c r="G86" s="22" t="s">
        <v>94</v>
      </c>
      <c r="H86" s="22" t="s">
        <v>94</v>
      </c>
      <c r="I86" s="22" t="s">
        <v>90</v>
      </c>
      <c r="J86" s="22" t="s">
        <v>94</v>
      </c>
      <c r="K86" s="22" t="s">
        <v>91</v>
      </c>
      <c r="L86" s="22" t="s">
        <v>90</v>
      </c>
    </row>
    <row r="87" spans="1:12" x14ac:dyDescent="0.2">
      <c r="A87" s="22" t="s">
        <v>7</v>
      </c>
      <c r="B87" s="22">
        <v>0</v>
      </c>
      <c r="C87" s="22">
        <v>0</v>
      </c>
      <c r="D87" s="22">
        <v>0</v>
      </c>
      <c r="E87" s="22">
        <v>0</v>
      </c>
      <c r="F87" s="22">
        <v>0</v>
      </c>
      <c r="G87" s="22">
        <v>0</v>
      </c>
      <c r="H87" s="22">
        <v>0</v>
      </c>
      <c r="I87" s="22">
        <v>0</v>
      </c>
      <c r="J87" s="22">
        <v>0</v>
      </c>
      <c r="K87" s="22">
        <v>0</v>
      </c>
      <c r="L87" s="22">
        <v>2.4969000000000001</v>
      </c>
    </row>
    <row r="88" spans="1:12" x14ac:dyDescent="0.2">
      <c r="A88" s="22" t="s">
        <v>11</v>
      </c>
      <c r="B88" s="22">
        <v>0</v>
      </c>
      <c r="C88" s="22">
        <v>0</v>
      </c>
      <c r="D88" s="22">
        <v>1.65E-3</v>
      </c>
      <c r="E88" s="22">
        <v>48</v>
      </c>
      <c r="F88" s="22">
        <v>113</v>
      </c>
      <c r="G88" s="22">
        <v>0</v>
      </c>
      <c r="H88" s="22">
        <v>0</v>
      </c>
      <c r="I88" s="22">
        <v>54.871659999999999</v>
      </c>
      <c r="J88" s="22">
        <v>0</v>
      </c>
      <c r="K88" s="22">
        <v>3.5963500000000002</v>
      </c>
      <c r="L88" s="22">
        <v>12.63903</v>
      </c>
    </row>
    <row r="89" spans="1:12" x14ac:dyDescent="0.2">
      <c r="A89" s="22" t="s">
        <v>12</v>
      </c>
      <c r="B89" s="22">
        <v>1475</v>
      </c>
      <c r="C89" s="22">
        <v>0</v>
      </c>
      <c r="D89" s="22">
        <v>1.6100000000000001E-3</v>
      </c>
      <c r="E89" s="22">
        <v>119</v>
      </c>
      <c r="F89" s="22">
        <v>1868</v>
      </c>
      <c r="G89" s="22">
        <v>0</v>
      </c>
      <c r="H89" s="22">
        <v>3</v>
      </c>
      <c r="I89" s="22">
        <v>47.183759999999999</v>
      </c>
      <c r="J89" s="22">
        <v>3</v>
      </c>
      <c r="K89" s="22">
        <v>3.6768299999999998</v>
      </c>
      <c r="L89" s="22">
        <v>21.148720000000001</v>
      </c>
    </row>
    <row r="90" spans="1:12" x14ac:dyDescent="0.2">
      <c r="A90" s="22" t="s">
        <v>13</v>
      </c>
      <c r="B90" s="22">
        <v>4570</v>
      </c>
      <c r="C90" s="22">
        <v>0</v>
      </c>
      <c r="D90" s="22">
        <v>4.1799999999999997E-3</v>
      </c>
      <c r="E90" s="22">
        <v>215</v>
      </c>
      <c r="F90" s="22">
        <v>4943</v>
      </c>
      <c r="G90" s="22">
        <v>0</v>
      </c>
      <c r="H90" s="22">
        <v>21</v>
      </c>
      <c r="I90" s="22">
        <v>34.861629999999998</v>
      </c>
      <c r="J90" s="22">
        <v>21</v>
      </c>
      <c r="K90" s="22">
        <v>3.5386199999999999</v>
      </c>
      <c r="L90" s="22">
        <v>35.394069999999999</v>
      </c>
    </row>
    <row r="91" spans="1:12" x14ac:dyDescent="0.2">
      <c r="A91" s="22" t="s">
        <v>14</v>
      </c>
      <c r="B91" s="22">
        <v>6231</v>
      </c>
      <c r="C91" s="22">
        <v>0</v>
      </c>
      <c r="D91" s="22">
        <v>5.8399999999999997E-3</v>
      </c>
      <c r="E91" s="22">
        <v>132</v>
      </c>
      <c r="F91" s="22">
        <v>6023</v>
      </c>
      <c r="G91" s="22">
        <v>0</v>
      </c>
      <c r="H91" s="22">
        <v>40</v>
      </c>
      <c r="I91" s="22">
        <v>22.095269999999999</v>
      </c>
      <c r="J91" s="22">
        <v>40</v>
      </c>
      <c r="K91" s="22">
        <v>2.4506700000000001</v>
      </c>
      <c r="L91" s="22">
        <v>51.328229999999998</v>
      </c>
    </row>
    <row r="92" spans="1:12" x14ac:dyDescent="0.2">
      <c r="A92" s="22" t="s">
        <v>15</v>
      </c>
      <c r="B92" s="22">
        <v>2329</v>
      </c>
      <c r="C92" s="22">
        <v>0</v>
      </c>
      <c r="D92" s="22">
        <v>2.6589999999999999E-2</v>
      </c>
      <c r="E92" s="22">
        <v>25</v>
      </c>
      <c r="F92" s="22">
        <v>2360</v>
      </c>
      <c r="G92" s="22">
        <v>0</v>
      </c>
      <c r="H92" s="22">
        <v>58</v>
      </c>
      <c r="I92" s="22">
        <v>12.523860000000001</v>
      </c>
      <c r="J92" s="22">
        <v>58</v>
      </c>
      <c r="K92" s="22">
        <v>3.1184400000000001</v>
      </c>
      <c r="L92" s="22">
        <v>65.5017</v>
      </c>
    </row>
    <row r="93" spans="1:12" x14ac:dyDescent="0.2">
      <c r="A93" s="22" t="s">
        <v>16</v>
      </c>
      <c r="B93" s="22">
        <v>1135</v>
      </c>
      <c r="C93" s="22">
        <v>0</v>
      </c>
      <c r="D93" s="22">
        <v>5.0889999999999998E-2</v>
      </c>
      <c r="E93" s="22">
        <v>37</v>
      </c>
      <c r="F93" s="22">
        <v>1141</v>
      </c>
      <c r="G93" s="22">
        <v>0</v>
      </c>
      <c r="H93" s="22">
        <v>53</v>
      </c>
      <c r="I93" s="22">
        <v>8.3456299999999999</v>
      </c>
      <c r="J93" s="22">
        <v>53</v>
      </c>
      <c r="K93" s="22">
        <v>2.4773800000000001</v>
      </c>
      <c r="L93" s="22">
        <v>74.964259999999996</v>
      </c>
    </row>
    <row r="94" spans="1:12" x14ac:dyDescent="0.2">
      <c r="A94" s="22" t="s">
        <v>17</v>
      </c>
      <c r="B94" s="22">
        <v>494</v>
      </c>
      <c r="C94" s="22">
        <v>0</v>
      </c>
      <c r="D94" s="22">
        <v>7.4569999999999997E-2</v>
      </c>
      <c r="E94" s="22">
        <v>29</v>
      </c>
      <c r="F94" s="22">
        <v>504</v>
      </c>
      <c r="G94" s="22">
        <v>0</v>
      </c>
      <c r="H94" s="22">
        <v>34</v>
      </c>
      <c r="I94" s="22">
        <v>5.5281000000000002</v>
      </c>
      <c r="J94" s="22">
        <v>34</v>
      </c>
      <c r="K94" s="22">
        <v>1.86269</v>
      </c>
      <c r="L94" s="22">
        <v>91.290270000000007</v>
      </c>
    </row>
    <row r="95" spans="1:12" x14ac:dyDescent="0.2">
      <c r="A95" s="22" t="s">
        <v>92</v>
      </c>
      <c r="B95" s="22">
        <v>16235</v>
      </c>
      <c r="C95" s="22" t="s">
        <v>93</v>
      </c>
      <c r="D95" s="22" t="s">
        <v>93</v>
      </c>
      <c r="E95" s="22">
        <v>604</v>
      </c>
      <c r="F95" s="22">
        <v>16951</v>
      </c>
      <c r="G95" s="22">
        <v>0</v>
      </c>
      <c r="H95" s="22">
        <v>209</v>
      </c>
      <c r="I95" s="22">
        <v>32.120170000000002</v>
      </c>
      <c r="J95" s="22">
        <v>209</v>
      </c>
      <c r="K95" s="22">
        <v>2.6728000000000001</v>
      </c>
      <c r="L95" s="22">
        <v>41.040439999999997</v>
      </c>
    </row>
    <row r="96" spans="1:12" x14ac:dyDescent="0.2">
      <c r="A96" s="22"/>
      <c r="B96" s="22"/>
      <c r="C96" s="22"/>
      <c r="D96" s="22"/>
      <c r="E96" s="22"/>
      <c r="F96" s="22"/>
      <c r="G96" s="22"/>
      <c r="H96" s="22"/>
      <c r="I96" s="22"/>
      <c r="J96" s="22"/>
      <c r="K96" s="22"/>
      <c r="L96" s="22"/>
    </row>
  </sheetData>
  <mergeCells count="4">
    <mergeCell ref="B4:C4"/>
    <mergeCell ref="A4:A5"/>
    <mergeCell ref="A21:A22"/>
    <mergeCell ref="B21:C2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L96"/>
  <sheetViews>
    <sheetView topLeftCell="A25" workbookViewId="0">
      <selection activeCell="C7" sqref="C7"/>
    </sheetView>
  </sheetViews>
  <sheetFormatPr baseColWidth="10" defaultColWidth="8.83203125" defaultRowHeight="15" x14ac:dyDescent="0.2"/>
  <sheetData>
    <row r="2" spans="1:3" x14ac:dyDescent="0.2">
      <c r="A2" s="22" t="s">
        <v>76</v>
      </c>
      <c r="B2" s="22"/>
      <c r="C2" s="22"/>
    </row>
    <row r="3" spans="1:3" x14ac:dyDescent="0.2">
      <c r="A3" s="22"/>
      <c r="B3" s="22"/>
      <c r="C3" s="22"/>
    </row>
    <row r="4" spans="1:3" x14ac:dyDescent="0.2">
      <c r="A4" s="443" t="s">
        <v>40</v>
      </c>
      <c r="B4" s="438" t="s">
        <v>74</v>
      </c>
      <c r="C4" s="440"/>
    </row>
    <row r="5" spans="1:3" x14ac:dyDescent="0.2">
      <c r="A5" s="444"/>
      <c r="B5" s="77" t="s">
        <v>43</v>
      </c>
      <c r="C5" s="77" t="s">
        <v>44</v>
      </c>
    </row>
    <row r="6" spans="1:3" x14ac:dyDescent="0.2">
      <c r="A6" s="33" t="s">
        <v>7</v>
      </c>
      <c r="B6" s="84">
        <f>'[4]an6.DISMOD_NIDDM retinopathy'!B8</f>
        <v>0</v>
      </c>
      <c r="C6" s="85">
        <f>'[4]an6.DISMOD_NIDDM retinopathy'!B38</f>
        <v>0</v>
      </c>
    </row>
    <row r="7" spans="1:3" x14ac:dyDescent="0.2">
      <c r="A7" s="33" t="s">
        <v>11</v>
      </c>
      <c r="B7" s="86">
        <f>'[4]an6.DISMOD_NIDDM retinopathy'!B9</f>
        <v>0</v>
      </c>
      <c r="C7" s="87">
        <f>'[4]an6.DISMOD_NIDDM retinopathy'!B39</f>
        <v>0</v>
      </c>
    </row>
    <row r="8" spans="1:3" x14ac:dyDescent="0.2">
      <c r="A8" s="33" t="s">
        <v>12</v>
      </c>
      <c r="B8" s="86">
        <f>'[4]an6.DISMOD_NIDDM retinopathy'!B10</f>
        <v>5.0000000000000001E-4</v>
      </c>
      <c r="C8" s="87">
        <f>'[4]an6.DISMOD_NIDDM retinopathy'!B40</f>
        <v>2.9999999999999997E-4</v>
      </c>
    </row>
    <row r="9" spans="1:3" x14ac:dyDescent="0.2">
      <c r="A9" s="33" t="s">
        <v>13</v>
      </c>
      <c r="B9" s="86">
        <f>'[4]an6.DISMOD_NIDDM retinopathy'!B11</f>
        <v>3.0000000000000001E-3</v>
      </c>
      <c r="C9" s="87">
        <f>'[4]an6.DISMOD_NIDDM retinopathy'!B41</f>
        <v>1.9E-3</v>
      </c>
    </row>
    <row r="10" spans="1:3" x14ac:dyDescent="0.2">
      <c r="A10" s="33" t="s">
        <v>14</v>
      </c>
      <c r="B10" s="86">
        <f>'[4]an6.DISMOD_NIDDM retinopathy'!B12</f>
        <v>8.9999999999999993E-3</v>
      </c>
      <c r="C10" s="87">
        <f>'[4]an6.DISMOD_NIDDM retinopathy'!B42</f>
        <v>7.4000000000000003E-3</v>
      </c>
    </row>
    <row r="11" spans="1:3" x14ac:dyDescent="0.2">
      <c r="A11" s="33" t="s">
        <v>15</v>
      </c>
      <c r="B11" s="86">
        <f>'[4]an6.DISMOD_NIDDM retinopathy'!B13</f>
        <v>1.41E-2</v>
      </c>
      <c r="C11" s="87">
        <f>'[4]an6.DISMOD_NIDDM retinopathy'!B43</f>
        <v>1.5699999999999999E-2</v>
      </c>
    </row>
    <row r="12" spans="1:3" x14ac:dyDescent="0.2">
      <c r="A12" s="33" t="s">
        <v>16</v>
      </c>
      <c r="B12" s="86">
        <f>'[4]an6.DISMOD_NIDDM retinopathy'!B14</f>
        <v>1.55E-2</v>
      </c>
      <c r="C12" s="87">
        <f>'[4]an6.DISMOD_NIDDM retinopathy'!B44</f>
        <v>2.1600000000000001E-2</v>
      </c>
    </row>
    <row r="13" spans="1:3" x14ac:dyDescent="0.2">
      <c r="A13" s="33" t="s">
        <v>17</v>
      </c>
      <c r="B13" s="86">
        <f>'[4]an6.DISMOD_NIDDM retinopathy'!B15</f>
        <v>1.46E-2</v>
      </c>
      <c r="C13" s="87">
        <f>'[4]an6.DISMOD_NIDDM retinopathy'!B45</f>
        <v>2.4199999999999999E-2</v>
      </c>
    </row>
    <row r="14" spans="1:3" x14ac:dyDescent="0.2">
      <c r="A14" s="30"/>
      <c r="B14" s="30"/>
      <c r="C14" s="32"/>
    </row>
    <row r="15" spans="1:3" x14ac:dyDescent="0.2">
      <c r="A15" s="70" t="s">
        <v>75</v>
      </c>
      <c r="B15" s="22"/>
      <c r="C15" s="22"/>
    </row>
    <row r="17" spans="1:6" x14ac:dyDescent="0.2">
      <c r="A17" s="70" t="s">
        <v>98</v>
      </c>
    </row>
    <row r="19" spans="1:6" x14ac:dyDescent="0.2">
      <c r="A19" s="22" t="s">
        <v>99</v>
      </c>
      <c r="F19" s="22" t="s">
        <v>23</v>
      </c>
    </row>
    <row r="21" spans="1:6" x14ac:dyDescent="0.2">
      <c r="A21" s="443" t="s">
        <v>40</v>
      </c>
      <c r="B21" s="438" t="s">
        <v>100</v>
      </c>
      <c r="C21" s="440"/>
    </row>
    <row r="22" spans="1:6" x14ac:dyDescent="0.2">
      <c r="A22" s="444"/>
      <c r="B22" s="76" t="s">
        <v>43</v>
      </c>
      <c r="C22" s="78" t="s">
        <v>44</v>
      </c>
    </row>
    <row r="23" spans="1:6" x14ac:dyDescent="0.2">
      <c r="A23" s="33" t="s">
        <v>7</v>
      </c>
      <c r="B23" s="89">
        <f>'[4]an6.DISMOD_NIDDM retinopathy'!D8</f>
        <v>0</v>
      </c>
      <c r="C23" s="90">
        <f>'[4]an6.DISMOD_NIDDM retinopathy'!D38</f>
        <v>0</v>
      </c>
    </row>
    <row r="24" spans="1:6" x14ac:dyDescent="0.2">
      <c r="A24" s="33" t="s">
        <v>11</v>
      </c>
      <c r="B24" s="89">
        <f>'[4]an6.DISMOD_NIDDM retinopathy'!D9</f>
        <v>0</v>
      </c>
      <c r="C24" s="90">
        <f>'[4]an6.DISMOD_NIDDM retinopathy'!D39</f>
        <v>0</v>
      </c>
    </row>
    <row r="25" spans="1:6" x14ac:dyDescent="0.2">
      <c r="A25" s="33" t="s">
        <v>12</v>
      </c>
      <c r="B25" s="89">
        <f>'[4]an6.DISMOD_NIDDM retinopathy'!D10</f>
        <v>1.4E-3</v>
      </c>
      <c r="C25" s="90">
        <f>'[4]an6.DISMOD_NIDDM retinopathy'!D40</f>
        <v>1.4E-3</v>
      </c>
    </row>
    <row r="26" spans="1:6" x14ac:dyDescent="0.2">
      <c r="A26" s="33" t="s">
        <v>13</v>
      </c>
      <c r="B26" s="89">
        <f>'[4]an6.DISMOD_NIDDM retinopathy'!D11</f>
        <v>6.4000000000000003E-3</v>
      </c>
      <c r="C26" s="90">
        <f>'[4]an6.DISMOD_NIDDM retinopathy'!D41</f>
        <v>4.3E-3</v>
      </c>
    </row>
    <row r="27" spans="1:6" x14ac:dyDescent="0.2">
      <c r="A27" s="33" t="s">
        <v>14</v>
      </c>
      <c r="B27" s="89">
        <f>'[4]an6.DISMOD_NIDDM retinopathy'!D12</f>
        <v>6.3E-3</v>
      </c>
      <c r="C27" s="90">
        <f>'[4]an6.DISMOD_NIDDM retinopathy'!D42</f>
        <v>6.0000000000000001E-3</v>
      </c>
    </row>
    <row r="28" spans="1:6" x14ac:dyDescent="0.2">
      <c r="A28" s="33" t="s">
        <v>15</v>
      </c>
      <c r="B28" s="89">
        <f>'[4]an6.DISMOD_NIDDM retinopathy'!D13</f>
        <v>1.5900000000000001E-2</v>
      </c>
      <c r="C28" s="90">
        <f>'[4]an6.DISMOD_NIDDM retinopathy'!D43</f>
        <v>2.6800000000000001E-2</v>
      </c>
    </row>
    <row r="29" spans="1:6" x14ac:dyDescent="0.2">
      <c r="A29" s="33" t="s">
        <v>16</v>
      </c>
      <c r="B29" s="89">
        <f>'[4]an6.DISMOD_NIDDM retinopathy'!D14</f>
        <v>3.9E-2</v>
      </c>
      <c r="C29" s="90">
        <f>'[4]an6.DISMOD_NIDDM retinopathy'!D44</f>
        <v>5.11E-2</v>
      </c>
    </row>
    <row r="30" spans="1:6" x14ac:dyDescent="0.2">
      <c r="A30" s="33" t="s">
        <v>17</v>
      </c>
      <c r="B30" s="89">
        <f>'[4]an6.DISMOD_NIDDM retinopathy'!D15</f>
        <v>5.5E-2</v>
      </c>
      <c r="C30" s="90">
        <f>'[4]an6.DISMOD_NIDDM retinopathy'!D45</f>
        <v>7.51E-2</v>
      </c>
    </row>
    <row r="31" spans="1:6" x14ac:dyDescent="0.2">
      <c r="A31" s="75"/>
      <c r="B31" s="30"/>
      <c r="C31" s="32"/>
    </row>
    <row r="32" spans="1:6" x14ac:dyDescent="0.2">
      <c r="A32" s="22"/>
      <c r="B32" s="22"/>
      <c r="C32" s="22"/>
    </row>
    <row r="33" spans="1:12" x14ac:dyDescent="0.2">
      <c r="A33" s="22" t="s">
        <v>75</v>
      </c>
      <c r="B33" s="22"/>
      <c r="C33" s="22"/>
    </row>
    <row r="35" spans="1:12" x14ac:dyDescent="0.2">
      <c r="A35" s="23" t="s">
        <v>103</v>
      </c>
      <c r="B35" s="22"/>
      <c r="C35" s="22"/>
      <c r="D35" s="22"/>
      <c r="E35" s="22"/>
      <c r="F35" s="22"/>
      <c r="G35" s="22"/>
      <c r="H35" s="22"/>
      <c r="I35" s="22"/>
      <c r="J35" s="22"/>
      <c r="K35" s="22"/>
      <c r="L35" s="22"/>
    </row>
    <row r="36" spans="1:12" x14ac:dyDescent="0.2">
      <c r="A36" s="22"/>
      <c r="B36" s="22"/>
      <c r="C36" s="22"/>
      <c r="D36" s="22"/>
      <c r="E36" s="22"/>
      <c r="F36" s="22"/>
      <c r="G36" s="22"/>
      <c r="H36" s="22"/>
      <c r="I36" s="22"/>
      <c r="J36" s="22"/>
      <c r="K36" s="22"/>
      <c r="L36" s="22"/>
    </row>
    <row r="37" spans="1:12" x14ac:dyDescent="0.2">
      <c r="A37" s="23" t="s">
        <v>104</v>
      </c>
      <c r="B37" s="22"/>
      <c r="C37" s="22"/>
      <c r="D37" s="22"/>
      <c r="E37" s="22"/>
      <c r="F37" s="22"/>
      <c r="G37" s="22"/>
      <c r="H37" s="22"/>
      <c r="I37" s="22"/>
      <c r="J37" s="22"/>
      <c r="K37" s="22"/>
      <c r="L37" s="22"/>
    </row>
    <row r="38" spans="1:12" x14ac:dyDescent="0.2">
      <c r="A38" s="22"/>
      <c r="B38" s="23" t="s">
        <v>34</v>
      </c>
      <c r="C38" s="22"/>
      <c r="D38" s="22"/>
      <c r="E38" s="22"/>
      <c r="F38" s="22"/>
      <c r="G38" s="22"/>
      <c r="H38" s="22"/>
      <c r="I38" s="22"/>
      <c r="J38" s="22"/>
      <c r="K38" s="22"/>
      <c r="L38" s="22"/>
    </row>
    <row r="39" spans="1:12" x14ac:dyDescent="0.2">
      <c r="A39" s="22"/>
      <c r="B39" s="22" t="s">
        <v>79</v>
      </c>
      <c r="C39" s="22" t="s">
        <v>79</v>
      </c>
      <c r="D39" s="22" t="s">
        <v>79</v>
      </c>
      <c r="E39" s="22" t="s">
        <v>80</v>
      </c>
      <c r="F39" s="22" t="s">
        <v>80</v>
      </c>
      <c r="G39" s="22" t="s">
        <v>80</v>
      </c>
      <c r="H39" s="22" t="s">
        <v>80</v>
      </c>
      <c r="I39" s="22" t="s">
        <v>80</v>
      </c>
      <c r="J39" s="22" t="s">
        <v>80</v>
      </c>
      <c r="K39" s="22" t="s">
        <v>80</v>
      </c>
      <c r="L39" s="22" t="s">
        <v>80</v>
      </c>
    </row>
    <row r="40" spans="1:12" x14ac:dyDescent="0.2">
      <c r="A40" s="22" t="s">
        <v>81</v>
      </c>
      <c r="B40" s="22" t="s">
        <v>85</v>
      </c>
      <c r="C40" s="22" t="s">
        <v>82</v>
      </c>
      <c r="D40" s="22" t="s">
        <v>83</v>
      </c>
      <c r="E40" s="22" t="s">
        <v>27</v>
      </c>
      <c r="F40" s="22" t="s">
        <v>85</v>
      </c>
      <c r="G40" s="22" t="s">
        <v>82</v>
      </c>
      <c r="H40" s="22" t="s">
        <v>83</v>
      </c>
      <c r="I40" s="22" t="s">
        <v>9</v>
      </c>
      <c r="J40" s="22" t="s">
        <v>86</v>
      </c>
      <c r="K40" s="22" t="s">
        <v>87</v>
      </c>
      <c r="L40" s="22" t="s">
        <v>88</v>
      </c>
    </row>
    <row r="41" spans="1:12" x14ac:dyDescent="0.2">
      <c r="A41" s="22"/>
      <c r="B41" s="22" t="s">
        <v>89</v>
      </c>
      <c r="C41" s="22" t="s">
        <v>89</v>
      </c>
      <c r="D41" s="22" t="s">
        <v>89</v>
      </c>
      <c r="E41" s="22" t="s">
        <v>89</v>
      </c>
      <c r="F41" s="22" t="s">
        <v>89</v>
      </c>
      <c r="G41" s="22" t="s">
        <v>89</v>
      </c>
      <c r="H41" s="22" t="s">
        <v>89</v>
      </c>
      <c r="I41" s="22" t="s">
        <v>90</v>
      </c>
      <c r="J41" s="22" t="s">
        <v>89</v>
      </c>
      <c r="K41" s="22" t="s">
        <v>91</v>
      </c>
      <c r="L41" s="22" t="s">
        <v>90</v>
      </c>
    </row>
    <row r="42" spans="1:12" x14ac:dyDescent="0.2">
      <c r="A42" s="22" t="s">
        <v>7</v>
      </c>
      <c r="B42" s="22">
        <v>0</v>
      </c>
      <c r="C42" s="22">
        <v>0</v>
      </c>
      <c r="D42" s="22">
        <v>0</v>
      </c>
      <c r="E42" s="88">
        <v>0</v>
      </c>
      <c r="F42" s="22">
        <v>0</v>
      </c>
      <c r="G42" s="22">
        <v>0</v>
      </c>
      <c r="H42" s="22">
        <v>0</v>
      </c>
      <c r="I42" s="88">
        <v>0</v>
      </c>
      <c r="J42" s="22">
        <v>0</v>
      </c>
      <c r="K42" s="22">
        <v>0</v>
      </c>
      <c r="L42" s="88">
        <v>0</v>
      </c>
    </row>
    <row r="43" spans="1:12" x14ac:dyDescent="0.2">
      <c r="A43" s="22" t="s">
        <v>11</v>
      </c>
      <c r="B43" s="22">
        <v>0</v>
      </c>
      <c r="C43" s="22">
        <v>0</v>
      </c>
      <c r="D43" s="22">
        <v>0</v>
      </c>
      <c r="E43" s="88">
        <v>3.0000000000000001E-5</v>
      </c>
      <c r="F43" s="22">
        <v>6.9999999999999994E-5</v>
      </c>
      <c r="G43" s="22">
        <v>0</v>
      </c>
      <c r="H43" s="22">
        <v>3.1E-4</v>
      </c>
      <c r="I43" s="88">
        <v>51.135930000000002</v>
      </c>
      <c r="J43" s="22">
        <v>0</v>
      </c>
      <c r="K43" s="22">
        <v>1.4583699999999999</v>
      </c>
      <c r="L43" s="88">
        <v>12.63519</v>
      </c>
    </row>
    <row r="44" spans="1:12" x14ac:dyDescent="0.2">
      <c r="A44" s="22" t="s">
        <v>12</v>
      </c>
      <c r="B44" s="22">
        <v>5.0000000000000001E-4</v>
      </c>
      <c r="C44" s="22">
        <v>0</v>
      </c>
      <c r="D44" s="22">
        <v>1.4E-3</v>
      </c>
      <c r="E44" s="88">
        <v>6.0000000000000002E-5</v>
      </c>
      <c r="F44" s="22">
        <v>6.3000000000000003E-4</v>
      </c>
      <c r="G44" s="22">
        <v>1.0000000000000001E-5</v>
      </c>
      <c r="H44" s="22">
        <v>1.6299999999999999E-3</v>
      </c>
      <c r="I44" s="88">
        <v>41.09995</v>
      </c>
      <c r="J44" s="22">
        <v>0</v>
      </c>
      <c r="K44" s="22">
        <v>1.8855</v>
      </c>
      <c r="L44" s="88">
        <v>23.940480000000001</v>
      </c>
    </row>
    <row r="45" spans="1:12" x14ac:dyDescent="0.2">
      <c r="A45" s="22" t="s">
        <v>13</v>
      </c>
      <c r="B45" s="22">
        <v>3.0000000000000001E-3</v>
      </c>
      <c r="C45" s="22">
        <v>0</v>
      </c>
      <c r="D45" s="22">
        <v>6.4000000000000003E-3</v>
      </c>
      <c r="E45" s="88">
        <v>2.5000000000000001E-4</v>
      </c>
      <c r="F45" s="22">
        <v>3.3600000000000001E-3</v>
      </c>
      <c r="G45" s="22">
        <v>1.0000000000000001E-5</v>
      </c>
      <c r="H45" s="22">
        <v>6.1799999999999997E-3</v>
      </c>
      <c r="I45" s="88">
        <v>31.859390000000001</v>
      </c>
      <c r="J45" s="22">
        <v>2.0000000000000002E-5</v>
      </c>
      <c r="K45" s="22">
        <v>2.4085299999999998</v>
      </c>
      <c r="L45" s="88">
        <v>35.782760000000003</v>
      </c>
    </row>
    <row r="46" spans="1:12" x14ac:dyDescent="0.2">
      <c r="A46" s="22" t="s">
        <v>14</v>
      </c>
      <c r="B46" s="22">
        <v>8.9999999999999993E-3</v>
      </c>
      <c r="C46" s="22">
        <v>0</v>
      </c>
      <c r="D46" s="22">
        <v>6.3E-3</v>
      </c>
      <c r="E46" s="88">
        <v>5.2999999999999998E-4</v>
      </c>
      <c r="F46" s="22">
        <v>8.0199999999999994E-3</v>
      </c>
      <c r="G46" s="22">
        <v>1.0000000000000001E-5</v>
      </c>
      <c r="H46" s="22">
        <v>6.9100000000000003E-3</v>
      </c>
      <c r="I46" s="88">
        <v>21.090900000000001</v>
      </c>
      <c r="J46" s="22">
        <v>6.0000000000000002E-5</v>
      </c>
      <c r="K46" s="22">
        <v>1.6918200000000001</v>
      </c>
      <c r="L46" s="88">
        <v>51.641759999999998</v>
      </c>
    </row>
    <row r="47" spans="1:12" x14ac:dyDescent="0.2">
      <c r="A47" s="22" t="s">
        <v>15</v>
      </c>
      <c r="B47" s="22">
        <v>1.41E-2</v>
      </c>
      <c r="C47" s="22">
        <v>0</v>
      </c>
      <c r="D47" s="22">
        <v>1.5900000000000001E-2</v>
      </c>
      <c r="E47" s="88">
        <v>5.9999999999999995E-4</v>
      </c>
      <c r="F47" s="22">
        <v>1.3559999999999999E-2</v>
      </c>
      <c r="G47" s="22">
        <v>1.0000000000000001E-5</v>
      </c>
      <c r="H47" s="22">
        <v>1.5599999999999999E-2</v>
      </c>
      <c r="I47" s="88">
        <v>13.328720000000001</v>
      </c>
      <c r="J47" s="22">
        <v>2.1000000000000001E-4</v>
      </c>
      <c r="K47" s="22">
        <v>1.76413</v>
      </c>
      <c r="L47" s="88">
        <v>64.005790000000005</v>
      </c>
    </row>
    <row r="48" spans="1:12" x14ac:dyDescent="0.2">
      <c r="A48" s="22" t="s">
        <v>16</v>
      </c>
      <c r="B48" s="22">
        <v>1.55E-2</v>
      </c>
      <c r="C48" s="22">
        <v>0</v>
      </c>
      <c r="D48" s="22">
        <v>3.9E-2</v>
      </c>
      <c r="E48" s="88">
        <v>5.4000000000000001E-4</v>
      </c>
      <c r="F48" s="22">
        <v>1.5140000000000001E-2</v>
      </c>
      <c r="G48" s="22">
        <v>1.0000000000000001E-5</v>
      </c>
      <c r="H48" s="22">
        <v>3.3890000000000003E-2</v>
      </c>
      <c r="I48" s="88">
        <v>8.0820100000000004</v>
      </c>
      <c r="J48" s="22">
        <v>5.1000000000000004E-4</v>
      </c>
      <c r="K48" s="22">
        <v>1.7526999999999999</v>
      </c>
      <c r="L48" s="88">
        <v>75.203519999999997</v>
      </c>
    </row>
    <row r="49" spans="1:12" x14ac:dyDescent="0.2">
      <c r="A49" s="22" t="s">
        <v>17</v>
      </c>
      <c r="B49" s="22">
        <v>1.46E-2</v>
      </c>
      <c r="C49" s="22">
        <v>0</v>
      </c>
      <c r="D49" s="22">
        <v>5.5E-2</v>
      </c>
      <c r="E49" s="88">
        <v>6.6E-4</v>
      </c>
      <c r="F49" s="22">
        <v>1.4760000000000001E-2</v>
      </c>
      <c r="G49" s="22">
        <v>1.0000000000000001E-5</v>
      </c>
      <c r="H49" s="22">
        <v>5.0880000000000002E-2</v>
      </c>
      <c r="I49" s="88">
        <v>5.00495</v>
      </c>
      <c r="J49" s="22">
        <v>7.5000000000000002E-4</v>
      </c>
      <c r="K49" s="22">
        <v>1.49471</v>
      </c>
      <c r="L49" s="88">
        <v>88.832080000000005</v>
      </c>
    </row>
    <row r="50" spans="1:12" x14ac:dyDescent="0.2">
      <c r="A50" s="22" t="s">
        <v>92</v>
      </c>
      <c r="B50" s="22">
        <v>4.5399999999999998E-3</v>
      </c>
      <c r="C50" s="22" t="s">
        <v>93</v>
      </c>
      <c r="D50" s="22" t="s">
        <v>93</v>
      </c>
      <c r="E50" s="88">
        <v>2.5999999999999998E-4</v>
      </c>
      <c r="F50" s="22">
        <v>4.4200000000000003E-3</v>
      </c>
      <c r="G50" s="22">
        <v>1.0000000000000001E-5</v>
      </c>
      <c r="H50" s="22">
        <v>1.4279999999999999E-2</v>
      </c>
      <c r="I50" s="88">
        <v>22.147629999999999</v>
      </c>
      <c r="J50" s="22">
        <v>6.0000000000000002E-5</v>
      </c>
      <c r="K50" s="22">
        <v>1.7496499999999999</v>
      </c>
      <c r="L50" s="88">
        <v>51.307119999999998</v>
      </c>
    </row>
    <row r="51" spans="1:12" x14ac:dyDescent="0.2">
      <c r="A51" s="22"/>
      <c r="B51" s="22"/>
      <c r="C51" s="22"/>
      <c r="D51" s="22"/>
      <c r="E51" s="22"/>
      <c r="F51" s="22"/>
      <c r="G51" s="22"/>
      <c r="H51" s="22"/>
      <c r="I51" s="22"/>
      <c r="J51" s="22"/>
      <c r="K51" s="22"/>
      <c r="L51" s="22"/>
    </row>
    <row r="52" spans="1:12" x14ac:dyDescent="0.2">
      <c r="A52" s="22" t="s">
        <v>104</v>
      </c>
      <c r="B52" s="22"/>
      <c r="C52" s="22"/>
      <c r="D52" s="22"/>
      <c r="E52" s="22"/>
      <c r="F52" s="22"/>
      <c r="G52" s="22"/>
      <c r="H52" s="22"/>
      <c r="I52" s="22"/>
      <c r="J52" s="22"/>
      <c r="K52" s="22"/>
      <c r="L52" s="22"/>
    </row>
    <row r="53" spans="1:12" x14ac:dyDescent="0.2">
      <c r="A53" s="22"/>
      <c r="B53" s="22" t="s">
        <v>34</v>
      </c>
      <c r="C53" s="22"/>
      <c r="D53" s="22"/>
      <c r="E53" s="22"/>
      <c r="F53" s="22"/>
      <c r="G53" s="22"/>
      <c r="H53" s="22"/>
      <c r="I53" s="22"/>
      <c r="J53" s="22"/>
      <c r="K53" s="22"/>
      <c r="L53" s="22"/>
    </row>
    <row r="54" spans="1:12" x14ac:dyDescent="0.2">
      <c r="A54" s="22"/>
      <c r="B54" s="22" t="s">
        <v>79</v>
      </c>
      <c r="C54" s="22" t="s">
        <v>79</v>
      </c>
      <c r="D54" s="22" t="s">
        <v>79</v>
      </c>
      <c r="E54" s="22" t="s">
        <v>80</v>
      </c>
      <c r="F54" s="22" t="s">
        <v>80</v>
      </c>
      <c r="G54" s="22" t="s">
        <v>80</v>
      </c>
      <c r="H54" s="22" t="s">
        <v>80</v>
      </c>
      <c r="I54" s="22" t="s">
        <v>80</v>
      </c>
      <c r="J54" s="22" t="s">
        <v>80</v>
      </c>
      <c r="K54" s="22" t="s">
        <v>80</v>
      </c>
      <c r="L54" s="22" t="s">
        <v>80</v>
      </c>
    </row>
    <row r="55" spans="1:12" x14ac:dyDescent="0.2">
      <c r="A55" s="22" t="s">
        <v>81</v>
      </c>
      <c r="B55" s="22" t="s">
        <v>85</v>
      </c>
      <c r="C55" s="22" t="s">
        <v>82</v>
      </c>
      <c r="D55" s="22" t="s">
        <v>83</v>
      </c>
      <c r="E55" s="22" t="s">
        <v>27</v>
      </c>
      <c r="F55" s="22" t="s">
        <v>85</v>
      </c>
      <c r="G55" s="22" t="s">
        <v>82</v>
      </c>
      <c r="H55" s="22" t="s">
        <v>83</v>
      </c>
      <c r="I55" s="22" t="s">
        <v>9</v>
      </c>
      <c r="J55" s="22" t="s">
        <v>86</v>
      </c>
      <c r="K55" s="22" t="s">
        <v>87</v>
      </c>
      <c r="L55" s="22" t="s">
        <v>88</v>
      </c>
    </row>
    <row r="56" spans="1:12" x14ac:dyDescent="0.2">
      <c r="A56" s="22"/>
      <c r="B56" s="22" t="s">
        <v>94</v>
      </c>
      <c r="C56" s="22" t="s">
        <v>89</v>
      </c>
      <c r="D56" s="22" t="s">
        <v>89</v>
      </c>
      <c r="E56" s="22" t="s">
        <v>94</v>
      </c>
      <c r="F56" s="22" t="s">
        <v>94</v>
      </c>
      <c r="G56" s="22" t="s">
        <v>94</v>
      </c>
      <c r="H56" s="22" t="s">
        <v>94</v>
      </c>
      <c r="I56" s="22" t="s">
        <v>90</v>
      </c>
      <c r="J56" s="22" t="s">
        <v>94</v>
      </c>
      <c r="K56" s="22" t="s">
        <v>91</v>
      </c>
      <c r="L56" s="22" t="s">
        <v>90</v>
      </c>
    </row>
    <row r="57" spans="1:12" x14ac:dyDescent="0.2">
      <c r="A57" s="22" t="s">
        <v>7</v>
      </c>
      <c r="B57" s="22">
        <v>0</v>
      </c>
      <c r="C57" s="22">
        <v>0</v>
      </c>
      <c r="D57" s="22">
        <v>0</v>
      </c>
      <c r="E57" s="22">
        <v>0</v>
      </c>
      <c r="F57" s="22">
        <v>0</v>
      </c>
      <c r="G57" s="22">
        <v>0</v>
      </c>
      <c r="H57" s="22">
        <v>0</v>
      </c>
      <c r="I57" s="22">
        <v>0</v>
      </c>
      <c r="J57" s="22">
        <v>0</v>
      </c>
      <c r="K57" s="22">
        <v>0</v>
      </c>
      <c r="L57" s="22">
        <v>0</v>
      </c>
    </row>
    <row r="58" spans="1:12" x14ac:dyDescent="0.2">
      <c r="A58" s="22" t="s">
        <v>11</v>
      </c>
      <c r="B58" s="22">
        <v>0</v>
      </c>
      <c r="C58" s="22">
        <v>0</v>
      </c>
      <c r="D58" s="22">
        <v>0</v>
      </c>
      <c r="E58" s="22">
        <v>116</v>
      </c>
      <c r="F58" s="22">
        <v>275</v>
      </c>
      <c r="G58" s="22">
        <v>0</v>
      </c>
      <c r="H58" s="22">
        <v>0</v>
      </c>
      <c r="I58" s="22">
        <v>51.135930000000002</v>
      </c>
      <c r="J58" s="22">
        <v>0</v>
      </c>
      <c r="K58" s="22">
        <v>1.4583699999999999</v>
      </c>
      <c r="L58" s="22">
        <v>12.63519</v>
      </c>
    </row>
    <row r="59" spans="1:12" x14ac:dyDescent="0.2">
      <c r="A59" s="22" t="s">
        <v>12</v>
      </c>
      <c r="B59" s="22">
        <v>3651</v>
      </c>
      <c r="C59" s="22">
        <v>0</v>
      </c>
      <c r="D59" s="22">
        <v>1.4E-3</v>
      </c>
      <c r="E59" s="22">
        <v>437</v>
      </c>
      <c r="F59" s="22">
        <v>4581</v>
      </c>
      <c r="G59" s="22">
        <v>0</v>
      </c>
      <c r="H59" s="22">
        <v>7</v>
      </c>
      <c r="I59" s="22">
        <v>41.09995</v>
      </c>
      <c r="J59" s="22">
        <v>7</v>
      </c>
      <c r="K59" s="22">
        <v>1.8855</v>
      </c>
      <c r="L59" s="22">
        <v>23.940480000000001</v>
      </c>
    </row>
    <row r="60" spans="1:12" x14ac:dyDescent="0.2">
      <c r="A60" s="22" t="s">
        <v>13</v>
      </c>
      <c r="B60" s="22">
        <v>23690</v>
      </c>
      <c r="C60" s="22">
        <v>0</v>
      </c>
      <c r="D60" s="22">
        <v>6.4000000000000003E-3</v>
      </c>
      <c r="E60" s="22">
        <v>1967</v>
      </c>
      <c r="F60" s="22">
        <v>26524</v>
      </c>
      <c r="G60" s="22">
        <v>0</v>
      </c>
      <c r="H60" s="22">
        <v>164</v>
      </c>
      <c r="I60" s="22">
        <v>31.859390000000001</v>
      </c>
      <c r="J60" s="22">
        <v>164</v>
      </c>
      <c r="K60" s="22">
        <v>2.4085299999999998</v>
      </c>
      <c r="L60" s="22">
        <v>35.782760000000003</v>
      </c>
    </row>
    <row r="61" spans="1:12" x14ac:dyDescent="0.2">
      <c r="A61" s="22" t="s">
        <v>14</v>
      </c>
      <c r="B61" s="22">
        <v>58989</v>
      </c>
      <c r="C61" s="22">
        <v>0</v>
      </c>
      <c r="D61" s="22">
        <v>6.3E-3</v>
      </c>
      <c r="E61" s="22">
        <v>3453</v>
      </c>
      <c r="F61" s="22">
        <v>52568</v>
      </c>
      <c r="G61" s="22">
        <v>0</v>
      </c>
      <c r="H61" s="22">
        <v>363</v>
      </c>
      <c r="I61" s="22">
        <v>21.090900000000001</v>
      </c>
      <c r="J61" s="22">
        <v>363</v>
      </c>
      <c r="K61" s="22">
        <v>1.6918200000000001</v>
      </c>
      <c r="L61" s="22">
        <v>51.641759999999998</v>
      </c>
    </row>
    <row r="62" spans="1:12" x14ac:dyDescent="0.2">
      <c r="A62" s="22" t="s">
        <v>15</v>
      </c>
      <c r="B62" s="22">
        <v>33051</v>
      </c>
      <c r="C62" s="22">
        <v>0</v>
      </c>
      <c r="D62" s="22">
        <v>1.5900000000000001E-2</v>
      </c>
      <c r="E62" s="22">
        <v>1387</v>
      </c>
      <c r="F62" s="22">
        <v>31775</v>
      </c>
      <c r="G62" s="22">
        <v>0</v>
      </c>
      <c r="H62" s="22">
        <v>496</v>
      </c>
      <c r="I62" s="22">
        <v>13.328720000000001</v>
      </c>
      <c r="J62" s="22">
        <v>496</v>
      </c>
      <c r="K62" s="22">
        <v>1.76413</v>
      </c>
      <c r="L62" s="22">
        <v>64.005790000000005</v>
      </c>
    </row>
    <row r="63" spans="1:12" x14ac:dyDescent="0.2">
      <c r="A63" s="22" t="s">
        <v>16</v>
      </c>
      <c r="B63" s="22">
        <v>18183</v>
      </c>
      <c r="C63" s="22">
        <v>0</v>
      </c>
      <c r="D63" s="22">
        <v>3.9E-2</v>
      </c>
      <c r="E63" s="22">
        <v>629</v>
      </c>
      <c r="F63" s="22">
        <v>17760</v>
      </c>
      <c r="G63" s="22">
        <v>0</v>
      </c>
      <c r="H63" s="22">
        <v>602</v>
      </c>
      <c r="I63" s="22">
        <v>8.0820100000000004</v>
      </c>
      <c r="J63" s="22">
        <v>602</v>
      </c>
      <c r="K63" s="22">
        <v>1.7526999999999999</v>
      </c>
      <c r="L63" s="22">
        <v>75.203519999999997</v>
      </c>
    </row>
    <row r="64" spans="1:12" x14ac:dyDescent="0.2">
      <c r="A64" s="22" t="s">
        <v>17</v>
      </c>
      <c r="B64" s="22">
        <v>7402</v>
      </c>
      <c r="C64" s="22">
        <v>0</v>
      </c>
      <c r="D64" s="22">
        <v>5.5E-2</v>
      </c>
      <c r="E64" s="22">
        <v>331</v>
      </c>
      <c r="F64" s="22">
        <v>7484</v>
      </c>
      <c r="G64" s="22">
        <v>0</v>
      </c>
      <c r="H64" s="22">
        <v>381</v>
      </c>
      <c r="I64" s="22">
        <v>5.00495</v>
      </c>
      <c r="J64" s="22">
        <v>381</v>
      </c>
      <c r="K64" s="22">
        <v>1.49471</v>
      </c>
      <c r="L64" s="22">
        <v>88.832080000000005</v>
      </c>
    </row>
    <row r="65" spans="1:12" x14ac:dyDescent="0.2">
      <c r="A65" s="22" t="s">
        <v>92</v>
      </c>
      <c r="B65" s="22">
        <v>144965</v>
      </c>
      <c r="C65" s="22" t="s">
        <v>93</v>
      </c>
      <c r="D65" s="22" t="s">
        <v>93</v>
      </c>
      <c r="E65" s="22">
        <v>8320</v>
      </c>
      <c r="F65" s="22">
        <v>140968</v>
      </c>
      <c r="G65" s="22">
        <v>1</v>
      </c>
      <c r="H65" s="22">
        <v>2013</v>
      </c>
      <c r="I65" s="22">
        <v>22.147629999999999</v>
      </c>
      <c r="J65" s="22">
        <v>2013</v>
      </c>
      <c r="K65" s="22">
        <v>1.7496499999999999</v>
      </c>
      <c r="L65" s="22">
        <v>51.307119999999998</v>
      </c>
    </row>
    <row r="66" spans="1:12" x14ac:dyDescent="0.2">
      <c r="A66" s="22"/>
      <c r="B66" s="22"/>
      <c r="C66" s="22"/>
      <c r="D66" s="22"/>
      <c r="E66" s="22"/>
      <c r="F66" s="22"/>
      <c r="G66" s="22"/>
      <c r="H66" s="22"/>
      <c r="I66" s="22"/>
      <c r="J66" s="22"/>
      <c r="K66" s="22"/>
      <c r="L66" s="22"/>
    </row>
    <row r="67" spans="1:12" x14ac:dyDescent="0.2">
      <c r="A67" s="23" t="s">
        <v>104</v>
      </c>
      <c r="B67" s="22"/>
      <c r="C67" s="22"/>
      <c r="D67" s="22"/>
      <c r="E67" s="22"/>
      <c r="F67" s="22"/>
      <c r="G67" s="22"/>
      <c r="H67" s="22"/>
      <c r="I67" s="22"/>
      <c r="J67" s="22"/>
      <c r="K67" s="22"/>
      <c r="L67" s="22"/>
    </row>
    <row r="68" spans="1:12" x14ac:dyDescent="0.2">
      <c r="A68" s="22"/>
      <c r="B68" s="23" t="s">
        <v>35</v>
      </c>
      <c r="C68" s="22"/>
      <c r="D68" s="22"/>
      <c r="E68" s="22"/>
      <c r="F68" s="22"/>
      <c r="G68" s="22"/>
      <c r="H68" s="22"/>
      <c r="I68" s="22"/>
      <c r="J68" s="22"/>
      <c r="K68" s="22"/>
      <c r="L68" s="22"/>
    </row>
    <row r="69" spans="1:12" x14ac:dyDescent="0.2">
      <c r="A69" s="22"/>
      <c r="B69" s="22" t="s">
        <v>79</v>
      </c>
      <c r="C69" s="22" t="s">
        <v>79</v>
      </c>
      <c r="D69" s="22" t="s">
        <v>79</v>
      </c>
      <c r="E69" s="22" t="s">
        <v>80</v>
      </c>
      <c r="F69" s="22" t="s">
        <v>80</v>
      </c>
      <c r="G69" s="22" t="s">
        <v>80</v>
      </c>
      <c r="H69" s="22" t="s">
        <v>80</v>
      </c>
      <c r="I69" s="22" t="s">
        <v>80</v>
      </c>
      <c r="J69" s="22" t="s">
        <v>80</v>
      </c>
      <c r="K69" s="22" t="s">
        <v>80</v>
      </c>
      <c r="L69" s="22" t="s">
        <v>80</v>
      </c>
    </row>
    <row r="70" spans="1:12" x14ac:dyDescent="0.2">
      <c r="A70" s="22" t="s">
        <v>81</v>
      </c>
      <c r="B70" s="22" t="s">
        <v>85</v>
      </c>
      <c r="C70" s="22" t="s">
        <v>82</v>
      </c>
      <c r="D70" s="22" t="s">
        <v>83</v>
      </c>
      <c r="E70" s="22" t="s">
        <v>27</v>
      </c>
      <c r="F70" s="22" t="s">
        <v>85</v>
      </c>
      <c r="G70" s="22" t="s">
        <v>82</v>
      </c>
      <c r="H70" s="22" t="s">
        <v>83</v>
      </c>
      <c r="I70" s="22" t="s">
        <v>9</v>
      </c>
      <c r="J70" s="22" t="s">
        <v>86</v>
      </c>
      <c r="K70" s="22" t="s">
        <v>87</v>
      </c>
      <c r="L70" s="22" t="s">
        <v>88</v>
      </c>
    </row>
    <row r="71" spans="1:12" x14ac:dyDescent="0.2">
      <c r="A71" s="22"/>
      <c r="B71" s="22" t="s">
        <v>89</v>
      </c>
      <c r="C71" s="22" t="s">
        <v>89</v>
      </c>
      <c r="D71" s="22" t="s">
        <v>89</v>
      </c>
      <c r="E71" s="22" t="s">
        <v>89</v>
      </c>
      <c r="F71" s="22" t="s">
        <v>89</v>
      </c>
      <c r="G71" s="22" t="s">
        <v>89</v>
      </c>
      <c r="H71" s="22" t="s">
        <v>89</v>
      </c>
      <c r="I71" s="22" t="s">
        <v>90</v>
      </c>
      <c r="J71" s="22" t="s">
        <v>89</v>
      </c>
      <c r="K71" s="22" t="s">
        <v>91</v>
      </c>
      <c r="L71" s="22" t="s">
        <v>90</v>
      </c>
    </row>
    <row r="72" spans="1:12" x14ac:dyDescent="0.2">
      <c r="A72" s="22" t="s">
        <v>7</v>
      </c>
      <c r="B72" s="22">
        <v>0</v>
      </c>
      <c r="C72" s="22">
        <v>0</v>
      </c>
      <c r="D72" s="22">
        <v>0</v>
      </c>
      <c r="E72" s="88">
        <v>0</v>
      </c>
      <c r="F72" s="22">
        <v>0</v>
      </c>
      <c r="G72" s="22">
        <v>0</v>
      </c>
      <c r="H72" s="22">
        <v>0</v>
      </c>
      <c r="I72" s="88">
        <v>0</v>
      </c>
      <c r="J72" s="22">
        <v>0</v>
      </c>
      <c r="K72" s="22">
        <v>0</v>
      </c>
      <c r="L72" s="88">
        <v>0</v>
      </c>
    </row>
    <row r="73" spans="1:12" x14ac:dyDescent="0.2">
      <c r="A73" s="22" t="s">
        <v>11</v>
      </c>
      <c r="B73" s="22">
        <v>0</v>
      </c>
      <c r="C73" s="22">
        <v>0</v>
      </c>
      <c r="D73" s="22">
        <v>0</v>
      </c>
      <c r="E73" s="88">
        <v>2.0000000000000002E-5</v>
      </c>
      <c r="F73" s="22">
        <v>4.0000000000000003E-5</v>
      </c>
      <c r="G73" s="22">
        <v>0</v>
      </c>
      <c r="H73" s="22">
        <v>3.1E-4</v>
      </c>
      <c r="I73" s="88">
        <v>55.215119999999999</v>
      </c>
      <c r="J73" s="22">
        <v>0</v>
      </c>
      <c r="K73" s="22">
        <v>1.8563499999999999</v>
      </c>
      <c r="L73" s="88">
        <v>12.637589999999999</v>
      </c>
    </row>
    <row r="74" spans="1:12" x14ac:dyDescent="0.2">
      <c r="A74" s="22" t="s">
        <v>12</v>
      </c>
      <c r="B74" s="22">
        <v>2.9999999999999997E-4</v>
      </c>
      <c r="C74" s="22">
        <v>0</v>
      </c>
      <c r="D74" s="22">
        <v>1.4E-3</v>
      </c>
      <c r="E74" s="88">
        <v>4.0000000000000003E-5</v>
      </c>
      <c r="F74" s="22">
        <v>3.8999999999999999E-4</v>
      </c>
      <c r="G74" s="22">
        <v>1.0000000000000001E-5</v>
      </c>
      <c r="H74" s="22">
        <v>1.48E-3</v>
      </c>
      <c r="I74" s="88">
        <v>44.641649999999998</v>
      </c>
      <c r="J74" s="22">
        <v>0</v>
      </c>
      <c r="K74" s="22">
        <v>3.2630699999999999</v>
      </c>
      <c r="L74" s="88">
        <v>24.04738</v>
      </c>
    </row>
    <row r="75" spans="1:12" x14ac:dyDescent="0.2">
      <c r="A75" s="22" t="s">
        <v>13</v>
      </c>
      <c r="B75" s="22">
        <v>1.9E-3</v>
      </c>
      <c r="C75" s="22">
        <v>0</v>
      </c>
      <c r="D75" s="22">
        <v>4.3E-3</v>
      </c>
      <c r="E75" s="88">
        <v>1.4999999999999999E-4</v>
      </c>
      <c r="F75" s="22">
        <v>2.15E-3</v>
      </c>
      <c r="G75" s="22">
        <v>1.0000000000000001E-5</v>
      </c>
      <c r="H75" s="22">
        <v>4.3299999999999996E-3</v>
      </c>
      <c r="I75" s="88">
        <v>34.49691</v>
      </c>
      <c r="J75" s="22">
        <v>1.0000000000000001E-5</v>
      </c>
      <c r="K75" s="22">
        <v>3.5583499999999999</v>
      </c>
      <c r="L75" s="88">
        <v>35.81729</v>
      </c>
    </row>
    <row r="76" spans="1:12" x14ac:dyDescent="0.2">
      <c r="A76" s="22" t="s">
        <v>14</v>
      </c>
      <c r="B76" s="22">
        <v>7.4000000000000003E-3</v>
      </c>
      <c r="C76" s="22">
        <v>0</v>
      </c>
      <c r="D76" s="22">
        <v>6.0000000000000001E-3</v>
      </c>
      <c r="E76" s="88">
        <v>5.8E-4</v>
      </c>
      <c r="F76" s="22">
        <v>6.4999999999999997E-3</v>
      </c>
      <c r="G76" s="22">
        <v>1.0000000000000001E-5</v>
      </c>
      <c r="H76" s="22">
        <v>7.2899999999999996E-3</v>
      </c>
      <c r="I76" s="88">
        <v>21.349119999999999</v>
      </c>
      <c r="J76" s="22">
        <v>5.0000000000000002E-5</v>
      </c>
      <c r="K76" s="22">
        <v>2.4630899999999998</v>
      </c>
      <c r="L76" s="88">
        <v>52.335149999999999</v>
      </c>
    </row>
    <row r="77" spans="1:12" x14ac:dyDescent="0.2">
      <c r="A77" s="22" t="s">
        <v>15</v>
      </c>
      <c r="B77" s="22">
        <v>1.5699999999999999E-2</v>
      </c>
      <c r="C77" s="22">
        <v>0</v>
      </c>
      <c r="D77" s="22">
        <v>2.6800000000000001E-2</v>
      </c>
      <c r="E77" s="88">
        <v>1.1900000000000001E-3</v>
      </c>
      <c r="F77" s="22">
        <v>1.494E-2</v>
      </c>
      <c r="G77" s="22">
        <v>1.0000000000000001E-5</v>
      </c>
      <c r="H77" s="22">
        <v>2.571E-2</v>
      </c>
      <c r="I77" s="88">
        <v>13.210190000000001</v>
      </c>
      <c r="J77" s="22">
        <v>3.8000000000000002E-4</v>
      </c>
      <c r="K77" s="22">
        <v>3.1097000000000001</v>
      </c>
      <c r="L77" s="88">
        <v>64.281000000000006</v>
      </c>
    </row>
    <row r="78" spans="1:12" x14ac:dyDescent="0.2">
      <c r="A78" s="22" t="s">
        <v>16</v>
      </c>
      <c r="B78" s="22">
        <v>2.1600000000000001E-2</v>
      </c>
      <c r="C78" s="22">
        <v>0</v>
      </c>
      <c r="D78" s="22">
        <v>5.11E-2</v>
      </c>
      <c r="E78" s="88">
        <v>1.48E-3</v>
      </c>
      <c r="F78" s="22">
        <v>2.0449999999999999E-2</v>
      </c>
      <c r="G78" s="22">
        <v>1.0000000000000001E-5</v>
      </c>
      <c r="H78" s="22">
        <v>4.7419999999999997E-2</v>
      </c>
      <c r="I78" s="88">
        <v>8.2596299999999996</v>
      </c>
      <c r="J78" s="22">
        <v>9.7000000000000005E-4</v>
      </c>
      <c r="K78" s="22">
        <v>2.46516</v>
      </c>
      <c r="L78" s="88">
        <v>75.363519999999994</v>
      </c>
    </row>
    <row r="79" spans="1:12" x14ac:dyDescent="0.2">
      <c r="A79" s="22" t="s">
        <v>17</v>
      </c>
      <c r="B79" s="22">
        <v>2.4199999999999999E-2</v>
      </c>
      <c r="C79" s="22">
        <v>0</v>
      </c>
      <c r="D79" s="22">
        <v>7.51E-2</v>
      </c>
      <c r="E79" s="88">
        <v>1.75E-3</v>
      </c>
      <c r="F79" s="22">
        <v>2.4029999999999999E-2</v>
      </c>
      <c r="G79" s="22">
        <v>1.0000000000000001E-5</v>
      </c>
      <c r="H79" s="22">
        <v>6.9070000000000006E-2</v>
      </c>
      <c r="I79" s="88">
        <v>5.7243599999999999</v>
      </c>
      <c r="J79" s="22">
        <v>1.66E-3</v>
      </c>
      <c r="K79" s="22">
        <v>1.86364</v>
      </c>
      <c r="L79" s="88">
        <v>89.704650000000001</v>
      </c>
    </row>
    <row r="80" spans="1:12" x14ac:dyDescent="0.2">
      <c r="A80" s="22" t="s">
        <v>92</v>
      </c>
      <c r="B80" s="22">
        <v>5.0000000000000001E-3</v>
      </c>
      <c r="C80" s="22" t="s">
        <v>93</v>
      </c>
      <c r="D80" s="22" t="s">
        <v>93</v>
      </c>
      <c r="E80" s="88">
        <v>3.8000000000000002E-4</v>
      </c>
      <c r="F80" s="22">
        <v>4.7699999999999999E-3</v>
      </c>
      <c r="G80" s="22">
        <v>1.0000000000000001E-5</v>
      </c>
      <c r="H80" s="22">
        <v>2.6929999999999999E-2</v>
      </c>
      <c r="I80" s="88">
        <v>17.170770000000001</v>
      </c>
      <c r="J80" s="22">
        <v>1.2999999999999999E-4</v>
      </c>
      <c r="K80" s="22">
        <v>2.4603700000000002</v>
      </c>
      <c r="L80" s="88">
        <v>61.475070000000002</v>
      </c>
    </row>
    <row r="81" spans="1:12" x14ac:dyDescent="0.2">
      <c r="A81" s="22"/>
      <c r="B81" s="22"/>
      <c r="C81" s="22"/>
      <c r="D81" s="22"/>
      <c r="E81" s="22"/>
      <c r="F81" s="22"/>
      <c r="G81" s="22"/>
      <c r="H81" s="22"/>
      <c r="I81" s="22"/>
      <c r="J81" s="22"/>
      <c r="K81" s="22"/>
      <c r="L81" s="22"/>
    </row>
    <row r="82" spans="1:12" x14ac:dyDescent="0.2">
      <c r="A82" s="22" t="s">
        <v>104</v>
      </c>
      <c r="B82" s="22"/>
      <c r="C82" s="22"/>
      <c r="D82" s="22"/>
      <c r="E82" s="22"/>
      <c r="F82" s="22"/>
      <c r="G82" s="22"/>
      <c r="H82" s="22"/>
      <c r="I82" s="22"/>
      <c r="J82" s="22"/>
      <c r="K82" s="22"/>
      <c r="L82" s="22"/>
    </row>
    <row r="83" spans="1:12" x14ac:dyDescent="0.2">
      <c r="A83" s="22"/>
      <c r="B83" s="22" t="s">
        <v>35</v>
      </c>
      <c r="C83" s="22"/>
      <c r="D83" s="22"/>
      <c r="E83" s="22"/>
      <c r="F83" s="22"/>
      <c r="G83" s="22"/>
      <c r="H83" s="22"/>
      <c r="I83" s="22"/>
      <c r="J83" s="22"/>
      <c r="K83" s="22"/>
      <c r="L83" s="22"/>
    </row>
    <row r="84" spans="1:12" x14ac:dyDescent="0.2">
      <c r="A84" s="22"/>
      <c r="B84" s="22" t="s">
        <v>79</v>
      </c>
      <c r="C84" s="22" t="s">
        <v>79</v>
      </c>
      <c r="D84" s="22" t="s">
        <v>79</v>
      </c>
      <c r="E84" s="22" t="s">
        <v>80</v>
      </c>
      <c r="F84" s="22" t="s">
        <v>80</v>
      </c>
      <c r="G84" s="22" t="s">
        <v>80</v>
      </c>
      <c r="H84" s="22" t="s">
        <v>80</v>
      </c>
      <c r="I84" s="22" t="s">
        <v>80</v>
      </c>
      <c r="J84" s="22" t="s">
        <v>80</v>
      </c>
      <c r="K84" s="22" t="s">
        <v>80</v>
      </c>
      <c r="L84" s="22" t="s">
        <v>80</v>
      </c>
    </row>
    <row r="85" spans="1:12" x14ac:dyDescent="0.2">
      <c r="A85" s="22" t="s">
        <v>81</v>
      </c>
      <c r="B85" s="22" t="s">
        <v>85</v>
      </c>
      <c r="C85" s="22" t="s">
        <v>82</v>
      </c>
      <c r="D85" s="22" t="s">
        <v>83</v>
      </c>
      <c r="E85" s="22" t="s">
        <v>27</v>
      </c>
      <c r="F85" s="22" t="s">
        <v>85</v>
      </c>
      <c r="G85" s="22" t="s">
        <v>82</v>
      </c>
      <c r="H85" s="22" t="s">
        <v>83</v>
      </c>
      <c r="I85" s="22" t="s">
        <v>9</v>
      </c>
      <c r="J85" s="22" t="s">
        <v>86</v>
      </c>
      <c r="K85" s="22" t="s">
        <v>87</v>
      </c>
      <c r="L85" s="22" t="s">
        <v>88</v>
      </c>
    </row>
    <row r="86" spans="1:12" x14ac:dyDescent="0.2">
      <c r="A86" s="22"/>
      <c r="B86" s="22" t="s">
        <v>94</v>
      </c>
      <c r="C86" s="22" t="s">
        <v>89</v>
      </c>
      <c r="D86" s="22" t="s">
        <v>89</v>
      </c>
      <c r="E86" s="22" t="s">
        <v>94</v>
      </c>
      <c r="F86" s="22" t="s">
        <v>94</v>
      </c>
      <c r="G86" s="22" t="s">
        <v>94</v>
      </c>
      <c r="H86" s="22" t="s">
        <v>94</v>
      </c>
      <c r="I86" s="22" t="s">
        <v>90</v>
      </c>
      <c r="J86" s="22" t="s">
        <v>94</v>
      </c>
      <c r="K86" s="22" t="s">
        <v>91</v>
      </c>
      <c r="L86" s="22" t="s">
        <v>90</v>
      </c>
    </row>
    <row r="87" spans="1:12" x14ac:dyDescent="0.2">
      <c r="A87" s="22" t="s">
        <v>7</v>
      </c>
      <c r="B87" s="22">
        <v>0</v>
      </c>
      <c r="C87" s="22">
        <v>0</v>
      </c>
      <c r="D87" s="22">
        <v>0</v>
      </c>
      <c r="E87" s="22">
        <v>0</v>
      </c>
      <c r="F87" s="22">
        <v>0</v>
      </c>
      <c r="G87" s="22">
        <v>0</v>
      </c>
      <c r="H87" s="22">
        <v>0</v>
      </c>
      <c r="I87" s="22">
        <v>0</v>
      </c>
      <c r="J87" s="22">
        <v>0</v>
      </c>
      <c r="K87" s="22">
        <v>0</v>
      </c>
      <c r="L87" s="22">
        <v>0</v>
      </c>
    </row>
    <row r="88" spans="1:12" x14ac:dyDescent="0.2">
      <c r="A88" s="22" t="s">
        <v>11</v>
      </c>
      <c r="B88" s="22">
        <v>0</v>
      </c>
      <c r="C88" s="22">
        <v>0</v>
      </c>
      <c r="D88" s="22">
        <v>0</v>
      </c>
      <c r="E88" s="22">
        <v>67</v>
      </c>
      <c r="F88" s="22">
        <v>159</v>
      </c>
      <c r="G88" s="22">
        <v>0</v>
      </c>
      <c r="H88" s="22">
        <v>0</v>
      </c>
      <c r="I88" s="22">
        <v>55.215119999999999</v>
      </c>
      <c r="J88" s="22">
        <v>0</v>
      </c>
      <c r="K88" s="22">
        <v>1.8563499999999999</v>
      </c>
      <c r="L88" s="22">
        <v>12.637589999999999</v>
      </c>
    </row>
    <row r="89" spans="1:12" x14ac:dyDescent="0.2">
      <c r="A89" s="22" t="s">
        <v>12</v>
      </c>
      <c r="B89" s="22">
        <v>2108</v>
      </c>
      <c r="C89" s="22">
        <v>0</v>
      </c>
      <c r="D89" s="22">
        <v>1.4E-3</v>
      </c>
      <c r="E89" s="22">
        <v>270</v>
      </c>
      <c r="F89" s="22">
        <v>2769</v>
      </c>
      <c r="G89" s="22">
        <v>0</v>
      </c>
      <c r="H89" s="22">
        <v>4</v>
      </c>
      <c r="I89" s="22">
        <v>44.641649999999998</v>
      </c>
      <c r="J89" s="22">
        <v>4</v>
      </c>
      <c r="K89" s="22">
        <v>3.2630699999999999</v>
      </c>
      <c r="L89" s="22">
        <v>24.04738</v>
      </c>
    </row>
    <row r="90" spans="1:12" x14ac:dyDescent="0.2">
      <c r="A90" s="22" t="s">
        <v>13</v>
      </c>
      <c r="B90" s="22">
        <v>15234</v>
      </c>
      <c r="C90" s="22">
        <v>0</v>
      </c>
      <c r="D90" s="22">
        <v>4.3E-3</v>
      </c>
      <c r="E90" s="22">
        <v>1230</v>
      </c>
      <c r="F90" s="22">
        <v>17205</v>
      </c>
      <c r="G90" s="22">
        <v>0</v>
      </c>
      <c r="H90" s="22">
        <v>75</v>
      </c>
      <c r="I90" s="22">
        <v>34.49691</v>
      </c>
      <c r="J90" s="22">
        <v>75</v>
      </c>
      <c r="K90" s="22">
        <v>3.5583499999999999</v>
      </c>
      <c r="L90" s="22">
        <v>35.81729</v>
      </c>
    </row>
    <row r="91" spans="1:12" x14ac:dyDescent="0.2">
      <c r="A91" s="22" t="s">
        <v>14</v>
      </c>
      <c r="B91" s="22">
        <v>53000</v>
      </c>
      <c r="C91" s="22">
        <v>0</v>
      </c>
      <c r="D91" s="22">
        <v>6.0000000000000001E-3</v>
      </c>
      <c r="E91" s="22">
        <v>4104</v>
      </c>
      <c r="F91" s="22">
        <v>46558</v>
      </c>
      <c r="G91" s="22">
        <v>0</v>
      </c>
      <c r="H91" s="22">
        <v>339</v>
      </c>
      <c r="I91" s="22">
        <v>21.349119999999999</v>
      </c>
      <c r="J91" s="22">
        <v>339</v>
      </c>
      <c r="K91" s="22">
        <v>2.4630899999999998</v>
      </c>
      <c r="L91" s="22">
        <v>52.335149999999999</v>
      </c>
    </row>
    <row r="92" spans="1:12" x14ac:dyDescent="0.2">
      <c r="A92" s="22" t="s">
        <v>15</v>
      </c>
      <c r="B92" s="22">
        <v>43018</v>
      </c>
      <c r="C92" s="22">
        <v>0</v>
      </c>
      <c r="D92" s="22">
        <v>2.6800000000000001E-2</v>
      </c>
      <c r="E92" s="22">
        <v>3216</v>
      </c>
      <c r="F92" s="22">
        <v>40931</v>
      </c>
      <c r="G92" s="22">
        <v>0</v>
      </c>
      <c r="H92" s="22">
        <v>1052</v>
      </c>
      <c r="I92" s="22">
        <v>13.210190000000001</v>
      </c>
      <c r="J92" s="22">
        <v>1053</v>
      </c>
      <c r="K92" s="22">
        <v>3.1097000000000001</v>
      </c>
      <c r="L92" s="22">
        <v>64.281000000000006</v>
      </c>
    </row>
    <row r="93" spans="1:12" x14ac:dyDescent="0.2">
      <c r="A93" s="22" t="s">
        <v>16</v>
      </c>
      <c r="B93" s="22">
        <v>32686</v>
      </c>
      <c r="C93" s="22">
        <v>0</v>
      </c>
      <c r="D93" s="22">
        <v>5.11E-2</v>
      </c>
      <c r="E93" s="22">
        <v>2197</v>
      </c>
      <c r="F93" s="22">
        <v>30945</v>
      </c>
      <c r="G93" s="22">
        <v>0</v>
      </c>
      <c r="H93" s="22">
        <v>1467</v>
      </c>
      <c r="I93" s="22">
        <v>8.2596299999999996</v>
      </c>
      <c r="J93" s="22">
        <v>1468</v>
      </c>
      <c r="K93" s="22">
        <v>2.46516</v>
      </c>
      <c r="L93" s="22">
        <v>75.363519999999994</v>
      </c>
    </row>
    <row r="94" spans="1:12" x14ac:dyDescent="0.2">
      <c r="A94" s="22" t="s">
        <v>17</v>
      </c>
      <c r="B94" s="22">
        <v>18978</v>
      </c>
      <c r="C94" s="22">
        <v>0</v>
      </c>
      <c r="D94" s="22">
        <v>7.51E-2</v>
      </c>
      <c r="E94" s="22">
        <v>1336</v>
      </c>
      <c r="F94" s="22">
        <v>18840</v>
      </c>
      <c r="G94" s="22">
        <v>0</v>
      </c>
      <c r="H94" s="22">
        <v>1301</v>
      </c>
      <c r="I94" s="22">
        <v>5.7243599999999999</v>
      </c>
      <c r="J94" s="22">
        <v>1301</v>
      </c>
      <c r="K94" s="22">
        <v>1.86364</v>
      </c>
      <c r="L94" s="22">
        <v>89.704650000000001</v>
      </c>
    </row>
    <row r="95" spans="1:12" x14ac:dyDescent="0.2">
      <c r="A95" s="22" t="s">
        <v>92</v>
      </c>
      <c r="B95" s="22">
        <v>165023</v>
      </c>
      <c r="C95" s="22" t="s">
        <v>93</v>
      </c>
      <c r="D95" s="22" t="s">
        <v>93</v>
      </c>
      <c r="E95" s="22">
        <v>12420</v>
      </c>
      <c r="F95" s="22">
        <v>157407</v>
      </c>
      <c r="G95" s="22">
        <v>1</v>
      </c>
      <c r="H95" s="22">
        <v>4239</v>
      </c>
      <c r="I95" s="22">
        <v>17.170770000000001</v>
      </c>
      <c r="J95" s="22">
        <v>4239</v>
      </c>
      <c r="K95" s="22">
        <v>2.4603700000000002</v>
      </c>
      <c r="L95" s="22">
        <v>61.475070000000002</v>
      </c>
    </row>
    <row r="96" spans="1:12" x14ac:dyDescent="0.2">
      <c r="A96" s="22"/>
      <c r="B96" s="22"/>
      <c r="C96" s="22"/>
      <c r="D96" s="22"/>
      <c r="E96" s="22"/>
      <c r="F96" s="22"/>
      <c r="G96" s="22"/>
      <c r="H96" s="22"/>
      <c r="I96" s="22"/>
      <c r="J96" s="22"/>
      <c r="K96" s="22"/>
      <c r="L96" s="22"/>
    </row>
  </sheetData>
  <mergeCells count="4">
    <mergeCell ref="A4:A5"/>
    <mergeCell ref="B4:C4"/>
    <mergeCell ref="A21:A22"/>
    <mergeCell ref="B21:C2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27"/>
  <sheetViews>
    <sheetView topLeftCell="A79" workbookViewId="0">
      <selection activeCell="C51" sqref="C51"/>
    </sheetView>
  </sheetViews>
  <sheetFormatPr baseColWidth="10" defaultColWidth="9" defaultRowHeight="15" x14ac:dyDescent="0.2"/>
  <cols>
    <col min="1" max="1" width="17.83203125" style="22" customWidth="1"/>
    <col min="2" max="2" width="19.5" style="22" customWidth="1"/>
    <col min="3" max="3" width="12.33203125" style="22" customWidth="1"/>
    <col min="4" max="4" width="12.6640625" style="22" customWidth="1"/>
    <col min="5" max="5" width="10.6640625" style="22" customWidth="1"/>
    <col min="6" max="6" width="11.83203125" style="22" customWidth="1"/>
    <col min="7" max="7" width="14.33203125" style="22" customWidth="1"/>
    <col min="8" max="8" width="8.5" style="22" customWidth="1"/>
    <col min="9" max="10" width="9" style="22"/>
    <col min="11" max="11" width="17.33203125" style="22" customWidth="1"/>
    <col min="12" max="12" width="17.5" style="22" customWidth="1"/>
    <col min="13" max="16384" width="9" style="22"/>
  </cols>
  <sheetData>
    <row r="1" spans="1:10" x14ac:dyDescent="0.2">
      <c r="A1" s="420" t="s">
        <v>118</v>
      </c>
      <c r="B1" s="420"/>
      <c r="C1" s="420"/>
      <c r="D1" s="420"/>
      <c r="E1" s="420"/>
    </row>
    <row r="2" spans="1:10" x14ac:dyDescent="0.2">
      <c r="A2" s="420" t="s">
        <v>0</v>
      </c>
      <c r="B2" s="420"/>
      <c r="C2" s="420"/>
      <c r="D2" s="420"/>
      <c r="E2" s="420"/>
    </row>
    <row r="3" spans="1:10" x14ac:dyDescent="0.2">
      <c r="A3" s="420" t="s">
        <v>50</v>
      </c>
      <c r="B3" s="420"/>
      <c r="C3" s="420"/>
      <c r="D3" s="420"/>
      <c r="E3" s="420"/>
    </row>
    <row r="4" spans="1:10" x14ac:dyDescent="0.2">
      <c r="A4" s="420" t="s">
        <v>187</v>
      </c>
      <c r="B4" s="420"/>
      <c r="C4" s="420"/>
      <c r="D4" s="420"/>
      <c r="E4" s="420"/>
    </row>
    <row r="5" spans="1:10" x14ac:dyDescent="0.2">
      <c r="A5" s="420" t="s">
        <v>46</v>
      </c>
      <c r="B5" s="420"/>
      <c r="C5" s="420"/>
      <c r="D5" s="420"/>
      <c r="E5" s="420"/>
    </row>
    <row r="6" spans="1:10" x14ac:dyDescent="0.2">
      <c r="A6" s="420" t="s">
        <v>1</v>
      </c>
      <c r="B6" s="420"/>
      <c r="C6" s="420"/>
      <c r="D6" s="420"/>
      <c r="E6" s="420"/>
    </row>
    <row r="7" spans="1:10" x14ac:dyDescent="0.2">
      <c r="A7" s="2"/>
      <c r="B7" s="2"/>
      <c r="C7" s="2"/>
      <c r="D7" s="2"/>
      <c r="E7" s="2"/>
    </row>
    <row r="8" spans="1:10" x14ac:dyDescent="0.2">
      <c r="A8" s="23" t="s">
        <v>2</v>
      </c>
    </row>
    <row r="10" spans="1:10" x14ac:dyDescent="0.2">
      <c r="A10" s="44" t="s">
        <v>3</v>
      </c>
      <c r="B10" s="65" t="s">
        <v>4</v>
      </c>
      <c r="C10" s="415" t="s">
        <v>41</v>
      </c>
      <c r="D10" s="416"/>
      <c r="E10" s="417"/>
      <c r="F10" s="49"/>
      <c r="G10" s="49"/>
    </row>
    <row r="11" spans="1:10" x14ac:dyDescent="0.2">
      <c r="A11" s="52"/>
      <c r="B11" s="66"/>
      <c r="C11" s="50"/>
      <c r="D11" s="49"/>
      <c r="E11" s="51"/>
      <c r="F11" s="49"/>
      <c r="G11" s="49"/>
    </row>
    <row r="12" spans="1:10" x14ac:dyDescent="0.2">
      <c r="A12" s="30"/>
      <c r="B12" s="68"/>
      <c r="C12" s="30"/>
      <c r="D12" s="31"/>
      <c r="E12" s="32"/>
      <c r="F12" s="28"/>
      <c r="G12" s="28"/>
    </row>
    <row r="14" spans="1:10" x14ac:dyDescent="0.2">
      <c r="A14" s="23" t="s">
        <v>5</v>
      </c>
      <c r="E14" s="28"/>
    </row>
    <row r="15" spans="1:10" x14ac:dyDescent="0.2">
      <c r="A15" s="23"/>
      <c r="B15" s="23"/>
      <c r="E15" s="28"/>
      <c r="F15" s="28"/>
      <c r="G15" s="28"/>
      <c r="H15" s="28"/>
      <c r="I15" s="28"/>
      <c r="J15" s="28"/>
    </row>
    <row r="16" spans="1:10" x14ac:dyDescent="0.2">
      <c r="A16" s="65" t="s">
        <v>4</v>
      </c>
      <c r="B16" s="43" t="s">
        <v>30</v>
      </c>
      <c r="C16" s="54" t="s">
        <v>6</v>
      </c>
    </row>
    <row r="17" spans="1:10" x14ac:dyDescent="0.2">
      <c r="A17" s="66"/>
      <c r="B17" s="55"/>
      <c r="C17" s="418"/>
    </row>
    <row r="18" spans="1:10" x14ac:dyDescent="0.2">
      <c r="A18" s="67"/>
      <c r="B18" s="41"/>
      <c r="C18" s="419"/>
      <c r="E18" s="22" t="s">
        <v>23</v>
      </c>
    </row>
    <row r="19" spans="1:10" x14ac:dyDescent="0.2">
      <c r="A19" s="53"/>
      <c r="B19" s="5"/>
      <c r="C19" s="32"/>
    </row>
    <row r="20" spans="1:10" x14ac:dyDescent="0.2">
      <c r="A20" s="92"/>
      <c r="B20" s="28"/>
      <c r="C20" s="28"/>
    </row>
    <row r="21" spans="1:10" x14ac:dyDescent="0.2">
      <c r="A21" s="23" t="s">
        <v>8</v>
      </c>
    </row>
    <row r="22" spans="1:10" x14ac:dyDescent="0.2">
      <c r="A22" s="23"/>
    </row>
    <row r="23" spans="1:10" s="28" customFormat="1" x14ac:dyDescent="0.2">
      <c r="A23" s="436" t="s">
        <v>4</v>
      </c>
      <c r="B23" s="411" t="s">
        <v>81</v>
      </c>
      <c r="C23" s="429" t="s">
        <v>9</v>
      </c>
      <c r="D23" s="430"/>
      <c r="E23" s="421" t="s">
        <v>6</v>
      </c>
    </row>
    <row r="24" spans="1:10" s="28" customFormat="1" x14ac:dyDescent="0.2">
      <c r="A24" s="437"/>
      <c r="B24" s="412"/>
      <c r="C24" s="94" t="s">
        <v>108</v>
      </c>
      <c r="D24" s="94" t="s">
        <v>109</v>
      </c>
      <c r="E24" s="422"/>
    </row>
    <row r="25" spans="1:10" s="28" customFormat="1" x14ac:dyDescent="0.2">
      <c r="A25" s="165"/>
      <c r="B25" s="187"/>
      <c r="C25" s="172"/>
      <c r="D25" s="172"/>
      <c r="E25" s="173"/>
    </row>
    <row r="26" spans="1:10" s="28" customFormat="1" x14ac:dyDescent="0.2">
      <c r="A26" s="174"/>
      <c r="B26" s="170"/>
      <c r="C26" s="104"/>
      <c r="D26" s="104"/>
      <c r="E26" s="175"/>
    </row>
    <row r="27" spans="1:10" s="28" customFormat="1" x14ac:dyDescent="0.2">
      <c r="A27" s="166"/>
      <c r="B27" s="191"/>
      <c r="C27" s="177"/>
      <c r="D27" s="177"/>
      <c r="E27" s="178"/>
    </row>
    <row r="28" spans="1:10" s="28" customFormat="1" x14ac:dyDescent="0.2">
      <c r="A28" s="106"/>
      <c r="B28" s="92"/>
      <c r="C28" s="42"/>
      <c r="D28" s="42"/>
      <c r="E28" s="107"/>
    </row>
    <row r="30" spans="1:10" x14ac:dyDescent="0.2">
      <c r="A30" s="9" t="s">
        <v>10</v>
      </c>
    </row>
    <row r="32" spans="1:10" x14ac:dyDescent="0.2">
      <c r="A32" s="24"/>
      <c r="B32" s="25" t="s">
        <v>7</v>
      </c>
      <c r="C32" s="25" t="s">
        <v>11</v>
      </c>
      <c r="D32" s="25" t="s">
        <v>12</v>
      </c>
      <c r="E32" s="25" t="s">
        <v>13</v>
      </c>
      <c r="F32" s="25" t="s">
        <v>14</v>
      </c>
      <c r="G32" s="25" t="s">
        <v>15</v>
      </c>
      <c r="H32" s="25" t="s">
        <v>16</v>
      </c>
      <c r="I32" s="25" t="s">
        <v>17</v>
      </c>
      <c r="J32" s="26" t="s">
        <v>18</v>
      </c>
    </row>
    <row r="33" spans="1:10" x14ac:dyDescent="0.2">
      <c r="A33" s="27" t="s">
        <v>19</v>
      </c>
      <c r="B33" s="28"/>
      <c r="C33" s="28"/>
      <c r="D33" s="28"/>
      <c r="E33" s="28"/>
      <c r="F33" s="28"/>
      <c r="G33" s="28"/>
      <c r="H33" s="28"/>
      <c r="I33" s="28"/>
      <c r="J33" s="29"/>
    </row>
    <row r="34" spans="1:10" x14ac:dyDescent="0.2">
      <c r="A34" s="21" t="s">
        <v>20</v>
      </c>
      <c r="B34" s="28"/>
      <c r="C34" s="28"/>
      <c r="D34" s="28"/>
      <c r="E34" s="28"/>
      <c r="F34" s="28"/>
      <c r="G34" s="28"/>
      <c r="H34" s="28"/>
      <c r="I34" s="28"/>
      <c r="J34" s="29"/>
    </row>
    <row r="35" spans="1:10" x14ac:dyDescent="0.2">
      <c r="A35" s="21" t="s">
        <v>21</v>
      </c>
      <c r="B35" s="28"/>
      <c r="C35" s="28"/>
      <c r="D35" s="28"/>
      <c r="E35" s="28"/>
      <c r="F35" s="28"/>
      <c r="G35" s="28"/>
      <c r="H35" s="28"/>
      <c r="I35" s="28"/>
      <c r="J35" s="29"/>
    </row>
    <row r="36" spans="1:10" x14ac:dyDescent="0.2">
      <c r="A36" s="27" t="s">
        <v>22</v>
      </c>
      <c r="B36" s="28"/>
      <c r="C36" s="28"/>
      <c r="D36" s="28"/>
      <c r="E36" s="28"/>
      <c r="F36" s="28"/>
      <c r="G36" s="28"/>
      <c r="H36" s="28"/>
      <c r="I36" s="28"/>
      <c r="J36" s="29"/>
    </row>
    <row r="37" spans="1:10" x14ac:dyDescent="0.2">
      <c r="A37" s="21" t="s">
        <v>20</v>
      </c>
      <c r="B37" s="28"/>
      <c r="C37" s="28"/>
      <c r="D37" s="28"/>
      <c r="E37" s="28"/>
      <c r="F37" s="28"/>
      <c r="G37" s="28"/>
      <c r="H37" s="28"/>
      <c r="I37" s="28"/>
      <c r="J37" s="29"/>
    </row>
    <row r="38" spans="1:10" x14ac:dyDescent="0.2">
      <c r="A38" s="21" t="s">
        <v>21</v>
      </c>
      <c r="B38" s="28"/>
      <c r="C38" s="28"/>
      <c r="D38" s="28"/>
      <c r="E38" s="28"/>
      <c r="F38" s="28"/>
      <c r="G38" s="28"/>
      <c r="H38" s="28"/>
      <c r="I38" s="28"/>
      <c r="J38" s="29"/>
    </row>
    <row r="39" spans="1:10" x14ac:dyDescent="0.2">
      <c r="A39" s="27"/>
      <c r="B39" s="28"/>
      <c r="C39" s="28"/>
      <c r="D39" s="28" t="s">
        <v>23</v>
      </c>
      <c r="E39" s="28"/>
      <c r="F39" s="28"/>
      <c r="G39" s="28"/>
      <c r="H39" s="28"/>
      <c r="I39" s="28"/>
      <c r="J39" s="29"/>
    </row>
    <row r="40" spans="1:10" x14ac:dyDescent="0.2">
      <c r="A40" s="30"/>
      <c r="B40" s="31"/>
      <c r="C40" s="31"/>
      <c r="D40" s="31"/>
      <c r="E40" s="31"/>
      <c r="F40" s="31"/>
      <c r="G40" s="31"/>
      <c r="H40" s="31"/>
      <c r="I40" s="31"/>
      <c r="J40" s="32"/>
    </row>
    <row r="42" spans="1:10" x14ac:dyDescent="0.2">
      <c r="A42" s="64" t="s">
        <v>24</v>
      </c>
    </row>
    <row r="44" spans="1:10" x14ac:dyDescent="0.2">
      <c r="A44" s="23" t="s">
        <v>212</v>
      </c>
      <c r="G44" s="22" t="s">
        <v>23</v>
      </c>
    </row>
    <row r="45" spans="1:10" x14ac:dyDescent="0.2">
      <c r="A45" s="23" t="s">
        <v>211</v>
      </c>
    </row>
    <row r="47" spans="1:10" x14ac:dyDescent="0.2">
      <c r="A47" s="24" t="s">
        <v>25</v>
      </c>
      <c r="B47" s="25" t="s">
        <v>26</v>
      </c>
      <c r="C47" s="35" t="s">
        <v>31</v>
      </c>
      <c r="D47" s="26" t="s">
        <v>31</v>
      </c>
      <c r="F47" s="38" t="s">
        <v>37</v>
      </c>
      <c r="G47" s="396" t="s">
        <v>340</v>
      </c>
    </row>
    <row r="48" spans="1:10" x14ac:dyDescent="0.2">
      <c r="A48" s="30"/>
      <c r="B48" s="31">
        <v>2014</v>
      </c>
      <c r="C48" s="36" t="s">
        <v>32</v>
      </c>
      <c r="D48" s="32" t="s">
        <v>33</v>
      </c>
      <c r="F48" s="220" t="s">
        <v>32</v>
      </c>
    </row>
    <row r="49" spans="1:7" x14ac:dyDescent="0.2">
      <c r="A49" s="27"/>
      <c r="B49" s="28"/>
      <c r="C49" s="58"/>
      <c r="D49" s="29"/>
      <c r="F49" s="41"/>
    </row>
    <row r="50" spans="1:7" x14ac:dyDescent="0.2">
      <c r="A50" s="48" t="s">
        <v>34</v>
      </c>
      <c r="B50" s="28"/>
      <c r="C50" s="58"/>
      <c r="D50" s="29"/>
      <c r="F50" s="41"/>
    </row>
    <row r="51" spans="1:7" x14ac:dyDescent="0.2">
      <c r="A51" s="33" t="s">
        <v>7</v>
      </c>
      <c r="B51" s="28">
        <f>SUM('[2]Pop 57'!$C$5:$C$6)</f>
        <v>1966319</v>
      </c>
      <c r="C51" s="60">
        <f>'3.Nephropathy_DATA'!E136*('3.Nephropathy_DATA'!C163/('3.Nephropathy_DATA'!C163+'3.Nephropathy_DATA'!D163))</f>
        <v>0</v>
      </c>
      <c r="D51" s="98">
        <f>'3.Nephropathy_DATA'!F136*('3.Nephropathy_DATA'!C163/('3.Nephropathy_DATA'!C163+'3.Nephropathy_DATA'!D163))</f>
        <v>0</v>
      </c>
      <c r="F51" s="100">
        <f>'3.Nephropathy_DATA'!H136*('3.Nephropathy_DATA'!$C163/('3.Nephropathy_DATA'!$C163+'3.Nephropathy_DATA'!$D163))</f>
        <v>0.3571428571428571</v>
      </c>
      <c r="G51" s="100">
        <f>'3.Nephropathy_DATA'!I136*('3.Nephropathy_DATA'!$C163/('3.Nephropathy_DATA'!$C163+'3.Nephropathy_DATA'!$D163))</f>
        <v>0</v>
      </c>
    </row>
    <row r="52" spans="1:7" x14ac:dyDescent="0.2">
      <c r="A52" s="33" t="s">
        <v>11</v>
      </c>
      <c r="B52" s="28">
        <f>SUM('[2]Pop 57'!$C$7:$C$8)</f>
        <v>4179206</v>
      </c>
      <c r="C52" s="60">
        <f>'3.Nephropathy_DATA'!E137*('3.Nephropathy_DATA'!C164/('3.Nephropathy_DATA'!C164+'3.Nephropathy_DATA'!D164))</f>
        <v>0.52940430371060909</v>
      </c>
      <c r="D52" s="98">
        <f>'3.Nephropathy_DATA'!F137*('3.Nephropathy_DATA'!C164/('3.Nephropathy_DATA'!C164+'3.Nephropathy_DATA'!D164))</f>
        <v>0.42864607180899666</v>
      </c>
      <c r="F52" s="100">
        <f>'3.Nephropathy_DATA'!H137*('3.Nephropathy_DATA'!C164/('3.Nephropathy_DATA'!C164+'3.Nephropathy_DATA'!D164))</f>
        <v>0.51692604694464206</v>
      </c>
      <c r="G52" s="100">
        <f>'3.Nephropathy_DATA'!I137*('3.Nephropathy_DATA'!$C164/('3.Nephropathy_DATA'!$C164+'3.Nephropathy_DATA'!$D164))</f>
        <v>0.50744470509707862</v>
      </c>
    </row>
    <row r="53" spans="1:7" x14ac:dyDescent="0.2">
      <c r="A53" s="33" t="s">
        <v>12</v>
      </c>
      <c r="B53" s="28">
        <f>SUM('[2]Pop 57'!$C$9:$C$11)</f>
        <v>7301822</v>
      </c>
      <c r="C53" s="60">
        <f>'3.Nephropathy_DATA'!E138*('3.Nephropathy_DATA'!C165/('3.Nephropathy_DATA'!C165+'3.Nephropathy_DATA'!D165))</f>
        <v>1.3241282413496449</v>
      </c>
      <c r="D53" s="98">
        <f>'3.Nephropathy_DATA'!F138*('3.Nephropathy_DATA'!C165/('3.Nephropathy_DATA'!C165+'3.Nephropathy_DATA'!D165))</f>
        <v>1.0824625856052263</v>
      </c>
      <c r="F53" s="100">
        <f>'3.Nephropathy_DATA'!H138*('3.Nephropathy_DATA'!C165/('3.Nephropathy_DATA'!C165+'3.Nephropathy_DATA'!D165))</f>
        <v>0.46923313994703431</v>
      </c>
      <c r="G53" s="100">
        <f>'3.Nephropathy_DATA'!I138*('3.Nephropathy_DATA'!$C165/('3.Nephropathy_DATA'!$C165+'3.Nephropathy_DATA'!$D165))</f>
        <v>1.6384022473934479</v>
      </c>
    </row>
    <row r="54" spans="1:7" x14ac:dyDescent="0.2">
      <c r="A54" s="33" t="s">
        <v>13</v>
      </c>
      <c r="B54" s="28">
        <f>SUM('[2]Pop 57'!$C$12:$C$14)</f>
        <v>7896765</v>
      </c>
      <c r="C54" s="60">
        <f>'3.Nephropathy_DATA'!E139*('3.Nephropathy_DATA'!C166/('3.Nephropathy_DATA'!C166+'3.Nephropathy_DATA'!D166))</f>
        <v>6.8862736560283642</v>
      </c>
      <c r="D54" s="98">
        <f>'3.Nephropathy_DATA'!F139*('3.Nephropathy_DATA'!C166/('3.Nephropathy_DATA'!C166+'3.Nephropathy_DATA'!D166))</f>
        <v>5.9995678704284066</v>
      </c>
      <c r="F54" s="100">
        <f>'3.Nephropathy_DATA'!H139*('3.Nephropathy_DATA'!C166/('3.Nephropathy_DATA'!C166+'3.Nephropathy_DATA'!D166))</f>
        <v>0.81904880621613663</v>
      </c>
      <c r="G54" s="100">
        <f>'3.Nephropathy_DATA'!I139*('3.Nephropathy_DATA'!$C166/('3.Nephropathy_DATA'!$C166+'3.Nephropathy_DATA'!$D166))</f>
        <v>8.7757322508033599</v>
      </c>
    </row>
    <row r="55" spans="1:7" x14ac:dyDescent="0.2">
      <c r="A55" s="33" t="s">
        <v>14</v>
      </c>
      <c r="B55" s="28">
        <f>SUM('[2]Pop 57'!$C$15:$C$17)</f>
        <v>6554289</v>
      </c>
      <c r="C55" s="60">
        <f>'3.Nephropathy_DATA'!E140*('3.Nephropathy_DATA'!C167/('3.Nephropathy_DATA'!C167+'3.Nephropathy_DATA'!D167))</f>
        <v>8.2924002498874607</v>
      </c>
      <c r="D55" s="98">
        <f>'3.Nephropathy_DATA'!F140*('3.Nephropathy_DATA'!C167/('3.Nephropathy_DATA'!C167+'3.Nephropathy_DATA'!D167))</f>
        <v>7.0225629789683088</v>
      </c>
      <c r="F55" s="100">
        <f>'3.Nephropathy_DATA'!H140*('3.Nephropathy_DATA'!C167/('3.Nephropathy_DATA'!C167+'3.Nephropathy_DATA'!D167))</f>
        <v>1.3265179173469761</v>
      </c>
      <c r="G55" s="100">
        <f>'3.Nephropathy_DATA'!I140*('3.Nephropathy_DATA'!$C167/('3.Nephropathy_DATA'!$C167+'3.Nephropathy_DATA'!$D167))</f>
        <v>9.0285064797171923</v>
      </c>
    </row>
    <row r="56" spans="1:7" x14ac:dyDescent="0.2">
      <c r="A56" s="33" t="s">
        <v>15</v>
      </c>
      <c r="B56" s="28">
        <f>SUM('[2]Pop 57'!$C$18:$C$19)</f>
        <v>2344057</v>
      </c>
      <c r="C56" s="60">
        <f>'3.Nephropathy_DATA'!E141*('3.Nephropathy_DATA'!C168/('3.Nephropathy_DATA'!C168+'3.Nephropathy_DATA'!D168))</f>
        <v>17.23857173047497</v>
      </c>
      <c r="D56" s="98">
        <f>'3.Nephropathy_DATA'!F141*('3.Nephropathy_DATA'!C168/('3.Nephropathy_DATA'!C168+'3.Nephropathy_DATA'!D168))</f>
        <v>15.281385439976813</v>
      </c>
      <c r="F56" s="100">
        <f>'3.Nephropathy_DATA'!H141*('3.Nephropathy_DATA'!C168/('3.Nephropathy_DATA'!C168+'3.Nephropathy_DATA'!D168))</f>
        <v>1.4779961019261239</v>
      </c>
      <c r="G56" s="100">
        <f>'3.Nephropathy_DATA'!I141*('3.Nephropathy_DATA'!$C168/('3.Nephropathy_DATA'!$C168+'3.Nephropathy_DATA'!$D168))</f>
        <v>16.319047549045198</v>
      </c>
    </row>
    <row r="57" spans="1:7" x14ac:dyDescent="0.2">
      <c r="A57" s="33" t="s">
        <v>16</v>
      </c>
      <c r="B57" s="28">
        <f>SUM('[2]Pop 57'!$C$20:$C$21)</f>
        <v>1173067</v>
      </c>
      <c r="C57" s="60">
        <f>'3.Nephropathy_DATA'!E142*('3.Nephropathy_DATA'!C169/('3.Nephropathy_DATA'!C169+'3.Nephropathy_DATA'!D169))</f>
        <v>27.389294684904606</v>
      </c>
      <c r="D57" s="98">
        <f>'3.Nephropathy_DATA'!F142*('3.Nephropathy_DATA'!C169/('3.Nephropathy_DATA'!C169+'3.Nephropathy_DATA'!D169))</f>
        <v>24.990787218609526</v>
      </c>
      <c r="E57" s="22" t="s">
        <v>23</v>
      </c>
      <c r="F57" s="100">
        <f>'3.Nephropathy_DATA'!H142*('3.Nephropathy_DATA'!C169/('3.Nephropathy_DATA'!C169+'3.Nephropathy_DATA'!D169))</f>
        <v>1.2066926504603059</v>
      </c>
      <c r="G57" s="100">
        <f>'3.Nephropathy_DATA'!I142*('3.Nephropathy_DATA'!$C169/('3.Nephropathy_DATA'!$C169+'3.Nephropathy_DATA'!$D169))</f>
        <v>21.359202352434728</v>
      </c>
    </row>
    <row r="58" spans="1:7" x14ac:dyDescent="0.2">
      <c r="A58" s="33" t="s">
        <v>17</v>
      </c>
      <c r="B58" s="28">
        <f>SUM('[2]Pop 57'!$C$22:$C$26)</f>
        <v>506965</v>
      </c>
      <c r="C58" s="60">
        <f>'3.Nephropathy_DATA'!E143*('3.Nephropathy_DATA'!C170/('3.Nephropathy_DATA'!C170+'3.Nephropathy_DATA'!D170))</f>
        <v>16.487179130240712</v>
      </c>
      <c r="D58" s="98">
        <f>'3.Nephropathy_DATA'!F143*('3.Nephropathy_DATA'!C170/('3.Nephropathy_DATA'!C170+'3.Nephropathy_DATA'!D170))</f>
        <v>15.179301097222613</v>
      </c>
      <c r="F58" s="100">
        <f>'3.Nephropathy_DATA'!H143*('3.Nephropathy_DATA'!C170/('3.Nephropathy_DATA'!C170+'3.Nephropathy_DATA'!D170))</f>
        <v>0.71419935007185975</v>
      </c>
      <c r="G58" s="100">
        <f>'3.Nephropathy_DATA'!I143*('3.Nephropathy_DATA'!$C170/('3.Nephropathy_DATA'!$C170+'3.Nephropathy_DATA'!$D170))</f>
        <v>10.071687340620684</v>
      </c>
    </row>
    <row r="59" spans="1:7" x14ac:dyDescent="0.2">
      <c r="A59" s="34" t="s">
        <v>18</v>
      </c>
      <c r="B59" s="28">
        <f>SUM(B51:B58)</f>
        <v>31922490</v>
      </c>
      <c r="C59" s="60">
        <f>SUM(C51:C58)</f>
        <v>78.147251996596367</v>
      </c>
      <c r="D59" s="98">
        <f>SUM(D51:D58)</f>
        <v>69.984713262619891</v>
      </c>
      <c r="F59" s="100">
        <f>SUM(F51:F58)</f>
        <v>6.8877568700559362</v>
      </c>
      <c r="G59" s="196">
        <f>SUM(G51:G58)</f>
        <v>67.700022925111682</v>
      </c>
    </row>
    <row r="60" spans="1:7" x14ac:dyDescent="0.2">
      <c r="A60" s="27"/>
      <c r="B60" s="28"/>
      <c r="C60" s="58"/>
      <c r="D60" s="29"/>
      <c r="F60" s="100"/>
    </row>
    <row r="61" spans="1:7" x14ac:dyDescent="0.2">
      <c r="A61" s="48" t="s">
        <v>35</v>
      </c>
      <c r="B61" s="28"/>
      <c r="C61" s="58"/>
      <c r="D61" s="29"/>
      <c r="F61" s="100"/>
    </row>
    <row r="62" spans="1:7" x14ac:dyDescent="0.2">
      <c r="A62" s="33" t="s">
        <v>7</v>
      </c>
      <c r="B62" s="28">
        <f>SUM('[2]Pop 57'!$D$5:$D$6)</f>
        <v>1849075</v>
      </c>
      <c r="C62" s="60">
        <f>'3.Nephropathy_DATA'!E147*('3.Nephropathy_DATA'!C174/('3.Nephropathy_DATA'!C174+'3.Nephropathy_DATA'!D174))</f>
        <v>0</v>
      </c>
      <c r="D62" s="98">
        <f>'3.Nephropathy_DATA'!F147*('3.Nephropathy_DATA'!C174/('3.Nephropathy_DATA'!C174+'3.Nephropathy_DATA'!D174))</f>
        <v>0</v>
      </c>
      <c r="F62" s="100">
        <f>'3.Nephropathy_DATA'!I147*('3.Nephropathy_DATA'!$C174/('3.Nephropathy_DATA'!$C174+'3.Nephropathy_DATA'!$D174))</f>
        <v>0</v>
      </c>
      <c r="G62" s="100">
        <f>'3.Nephropathy_DATA'!J147*('3.Nephropathy_DATA'!$C174/('3.Nephropathy_DATA'!$C174+'3.Nephropathy_DATA'!$D174))</f>
        <v>0</v>
      </c>
    </row>
    <row r="63" spans="1:7" x14ac:dyDescent="0.2">
      <c r="A63" s="33" t="s">
        <v>11</v>
      </c>
      <c r="B63" s="28">
        <f>SUM('[2]Pop 57'!$D$7:$D$8)</f>
        <v>3940160</v>
      </c>
      <c r="C63" s="60">
        <f>'3.Nephropathy_DATA'!E148*('3.Nephropathy_DATA'!C175/('3.Nephropathy_DATA'!C175+'3.Nephropathy_DATA'!D175))</f>
        <v>1.4326219119347245</v>
      </c>
      <c r="D63" s="98">
        <f>'3.Nephropathy_DATA'!F148*('3.Nephropathy_DATA'!C175/('3.Nephropathy_DATA'!C175+'3.Nephropathy_DATA'!D175))</f>
        <v>0.80986698704815185</v>
      </c>
      <c r="F63" s="100">
        <f>'3.Nephropathy_DATA'!I148*('3.Nephropathy_DATA'!C175/('3.Nephropathy_DATA'!C175+'3.Nephropathy_DATA'!D175))</f>
        <v>0.9577307829781907</v>
      </c>
      <c r="G63" s="100">
        <f>'3.Nephropathy_DATA'!J148*('3.Nephropathy_DATA'!$C175/('3.Nephropathy_DATA'!$C175+'3.Nephropathy_DATA'!$D175))</f>
        <v>0</v>
      </c>
    </row>
    <row r="64" spans="1:7" x14ac:dyDescent="0.2">
      <c r="A64" s="33" t="s">
        <v>12</v>
      </c>
      <c r="B64" s="46">
        <f>SUM('[2]Pop 57'!$D$9:$D$11)</f>
        <v>7026158.1752900956</v>
      </c>
      <c r="C64" s="60">
        <f>'3.Nephropathy_DATA'!E149*('3.Nephropathy_DATA'!C176/('3.Nephropathy_DATA'!C176+'3.Nephropathy_DATA'!D176))</f>
        <v>0.98026235952772001</v>
      </c>
      <c r="D64" s="98">
        <f>'3.Nephropathy_DATA'!F149*('3.Nephropathy_DATA'!C176/('3.Nephropathy_DATA'!C176+'3.Nephropathy_DATA'!D176))</f>
        <v>0.83778151553013913</v>
      </c>
      <c r="F64" s="100">
        <f>'3.Nephropathy_DATA'!I149*('3.Nephropathy_DATA'!C176/('3.Nephropathy_DATA'!C176+'3.Nephropathy_DATA'!D176))</f>
        <v>1.2678378908290746</v>
      </c>
      <c r="G64" s="100">
        <f>'3.Nephropathy_DATA'!J149*('3.Nephropathy_DATA'!$C176/('3.Nephropathy_DATA'!$C176+'3.Nephropathy_DATA'!$D176))</f>
        <v>0</v>
      </c>
    </row>
    <row r="65" spans="1:7" x14ac:dyDescent="0.2">
      <c r="A65" s="33" t="s">
        <v>13</v>
      </c>
      <c r="B65" s="28">
        <f>SUM('[2]Pop 57'!$D$12:$D$14)</f>
        <v>8017814</v>
      </c>
      <c r="C65" s="60">
        <f>'3.Nephropathy_DATA'!E150*('3.Nephropathy_DATA'!C177/('3.Nephropathy_DATA'!C177+'3.Nephropathy_DATA'!D177))</f>
        <v>7.6801260399514133</v>
      </c>
      <c r="D65" s="98">
        <f>'3.Nephropathy_DATA'!F150*('3.Nephropathy_DATA'!C177/('3.Nephropathy_DATA'!C177+'3.Nephropathy_DATA'!D177))</f>
        <v>6.7452415244577777</v>
      </c>
      <c r="F65" s="100">
        <f>'3.Nephropathy_DATA'!I150*('3.Nephropathy_DATA'!C177/('3.Nephropathy_DATA'!C177+'3.Nephropathy_DATA'!D177))</f>
        <v>9.869419441375916</v>
      </c>
      <c r="G65" s="100">
        <f>'3.Nephropathy_DATA'!J150*('3.Nephropathy_DATA'!$C177/('3.Nephropathy_DATA'!$C177+'3.Nephropathy_DATA'!$D177))</f>
        <v>0</v>
      </c>
    </row>
    <row r="66" spans="1:7" x14ac:dyDescent="0.2">
      <c r="A66" s="33" t="s">
        <v>14</v>
      </c>
      <c r="B66" s="28">
        <f>SUM('[2]Pop 57'!$D$15:$D$17)</f>
        <v>7162204</v>
      </c>
      <c r="C66" s="60">
        <f>'3.Nephropathy_DATA'!E151*('3.Nephropathy_DATA'!C178/('3.Nephropathy_DATA'!C178+'3.Nephropathy_DATA'!D178))</f>
        <v>8.7746358755773919</v>
      </c>
      <c r="D66" s="98">
        <f>'3.Nephropathy_DATA'!F151*('3.Nephropathy_DATA'!C178/('3.Nephropathy_DATA'!C178+'3.Nephropathy_DATA'!D178))</f>
        <v>7.580192233628896</v>
      </c>
      <c r="F66" s="100">
        <f>'3.Nephropathy_DATA'!I151*('3.Nephropathy_DATA'!C178/('3.Nephropathy_DATA'!C178+'3.Nephropathy_DATA'!D178))</f>
        <v>9.7505865674865966</v>
      </c>
      <c r="G66" s="100">
        <f>'3.Nephropathy_DATA'!J151*('3.Nephropathy_DATA'!$C178/('3.Nephropathy_DATA'!$C178+'3.Nephropathy_DATA'!$D178))</f>
        <v>0</v>
      </c>
    </row>
    <row r="67" spans="1:7" x14ac:dyDescent="0.2">
      <c r="A67" s="33" t="s">
        <v>15</v>
      </c>
      <c r="B67" s="46">
        <f>SUM('[2]Pop 57'!$D$18:$D$19)</f>
        <v>2739970.5356088658</v>
      </c>
      <c r="C67" s="60">
        <f>'3.Nephropathy_DATA'!E152*('3.Nephropathy_DATA'!C179/('3.Nephropathy_DATA'!C179+'3.Nephropathy_DATA'!D179))</f>
        <v>13.350473546377915</v>
      </c>
      <c r="D67" s="98">
        <f>'3.Nephropathy_DATA'!F152*('3.Nephropathy_DATA'!C179/('3.Nephropathy_DATA'!C179+'3.Nephropathy_DATA'!D179))</f>
        <v>12.162015245290799</v>
      </c>
      <c r="F67" s="100">
        <f>'3.Nephropathy_DATA'!I152*('3.Nephropathy_DATA'!C179/('3.Nephropathy_DATA'!C179+'3.Nephropathy_DATA'!D179))</f>
        <v>12.99649982525928</v>
      </c>
      <c r="G67" s="100">
        <f>'3.Nephropathy_DATA'!J152*('3.Nephropathy_DATA'!$C179/('3.Nephropathy_DATA'!$C179+'3.Nephropathy_DATA'!$D179))</f>
        <v>0</v>
      </c>
    </row>
    <row r="68" spans="1:7" x14ac:dyDescent="0.2">
      <c r="A68" s="33" t="s">
        <v>16</v>
      </c>
      <c r="B68" s="46">
        <f>SUM('[2]Pop 57'!$D$20:$D$21)</f>
        <v>1513246</v>
      </c>
      <c r="C68" s="60">
        <f>'3.Nephropathy_DATA'!E153*('3.Nephropathy_DATA'!C180/('3.Nephropathy_DATA'!C180+'3.Nephropathy_DATA'!D180))</f>
        <v>16.488883952707781</v>
      </c>
      <c r="D68" s="98">
        <f>'3.Nephropathy_DATA'!F153*('3.Nephropathy_DATA'!C180/('3.Nephropathy_DATA'!C180+'3.Nephropathy_DATA'!D180))</f>
        <v>15.247384680805506</v>
      </c>
      <c r="F68" s="100">
        <f>'3.Nephropathy_DATA'!I153*('3.Nephropathy_DATA'!C180/('3.Nephropathy_DATA'!C180+'3.Nephropathy_DATA'!D180))</f>
        <v>13.041646474526834</v>
      </c>
      <c r="G68" s="100">
        <f>'3.Nephropathy_DATA'!J153*('3.Nephropathy_DATA'!$C180/('3.Nephropathy_DATA'!$C180+'3.Nephropathy_DATA'!$D180))</f>
        <v>0</v>
      </c>
    </row>
    <row r="69" spans="1:7" x14ac:dyDescent="0.2">
      <c r="A69" s="33" t="s">
        <v>17</v>
      </c>
      <c r="B69" s="46">
        <f>SUM('[2]Pop 57'!$D$22:$D$26)</f>
        <v>784195.44620730029</v>
      </c>
      <c r="C69" s="60">
        <f>'3.Nephropathy_DATA'!E154*('3.Nephropathy_DATA'!C181/('3.Nephropathy_DATA'!C181+'3.Nephropathy_DATA'!D181))</f>
        <v>19.314906149451087</v>
      </c>
      <c r="D69" s="98">
        <f>'3.Nephropathy_DATA'!F154*('3.Nephropathy_DATA'!C181/('3.Nephropathy_DATA'!C181+'3.Nephropathy_DATA'!D181))</f>
        <v>17.83468967539633</v>
      </c>
      <c r="F69" s="100">
        <f>'3.Nephropathy_DATA'!I154*('3.Nephropathy_DATA'!C181/('3.Nephropathy_DATA'!C181+'3.Nephropathy_DATA'!D181))</f>
        <v>11.812819944663838</v>
      </c>
      <c r="G69" s="100">
        <f>'3.Nephropathy_DATA'!J154*('3.Nephropathy_DATA'!$C181/('3.Nephropathy_DATA'!$C181+'3.Nephropathy_DATA'!$D181))</f>
        <v>0</v>
      </c>
    </row>
    <row r="70" spans="1:7" x14ac:dyDescent="0.2">
      <c r="A70" s="34" t="s">
        <v>18</v>
      </c>
      <c r="B70" s="46">
        <f>SUM(B62:B69)</f>
        <v>33032823.157106262</v>
      </c>
      <c r="C70" s="60">
        <f>SUM(C62:C69)</f>
        <v>68.021909835528035</v>
      </c>
      <c r="D70" s="98">
        <f>SUM(D62:D69)</f>
        <v>61.217171862157599</v>
      </c>
      <c r="F70" s="100">
        <f>SUM(F62:F69)</f>
        <v>59.696540927119727</v>
      </c>
      <c r="G70" s="196">
        <f>SUM(G62:G69)</f>
        <v>0</v>
      </c>
    </row>
    <row r="71" spans="1:7" x14ac:dyDescent="0.2">
      <c r="A71" s="30"/>
      <c r="B71" s="31"/>
      <c r="C71" s="59"/>
      <c r="D71" s="32"/>
      <c r="F71" s="5"/>
    </row>
    <row r="73" spans="1:7" x14ac:dyDescent="0.2">
      <c r="A73" s="145" t="s">
        <v>213</v>
      </c>
    </row>
    <row r="75" spans="1:7" x14ac:dyDescent="0.2">
      <c r="A75" s="24" t="s">
        <v>25</v>
      </c>
      <c r="B75" s="25" t="s">
        <v>26</v>
      </c>
      <c r="C75" s="35" t="s">
        <v>31</v>
      </c>
      <c r="D75" s="26" t="s">
        <v>31</v>
      </c>
      <c r="F75" s="38" t="s">
        <v>37</v>
      </c>
      <c r="G75" s="396" t="s">
        <v>340</v>
      </c>
    </row>
    <row r="76" spans="1:7" x14ac:dyDescent="0.2">
      <c r="A76" s="30"/>
      <c r="B76" s="31">
        <v>2014</v>
      </c>
      <c r="C76" s="36" t="s">
        <v>32</v>
      </c>
      <c r="D76" s="32" t="s">
        <v>33</v>
      </c>
      <c r="F76" s="220" t="s">
        <v>32</v>
      </c>
    </row>
    <row r="77" spans="1:7" x14ac:dyDescent="0.2">
      <c r="A77" s="27"/>
      <c r="B77" s="28"/>
      <c r="C77" s="58"/>
      <c r="D77" s="29"/>
      <c r="F77" s="41"/>
    </row>
    <row r="78" spans="1:7" x14ac:dyDescent="0.2">
      <c r="A78" s="48" t="s">
        <v>34</v>
      </c>
      <c r="B78" s="28"/>
      <c r="C78" s="58"/>
      <c r="D78" s="29"/>
      <c r="F78" s="41"/>
    </row>
    <row r="79" spans="1:7" x14ac:dyDescent="0.2">
      <c r="A79" s="33" t="s">
        <v>7</v>
      </c>
      <c r="B79" s="28">
        <f>SUM('[2]Pop 57'!$C$5:$C$6)</f>
        <v>1966319</v>
      </c>
      <c r="C79" s="60">
        <f>'3.Nephropathy_DATA'!E136*('3.Nephropathy_DATA'!D163/('3.Nephropathy_DATA'!D163+'3.Nephropathy_DATA'!C163))</f>
        <v>0</v>
      </c>
      <c r="D79" s="98">
        <f>'3.Nephropathy_DATA'!F136*('3.Nephropathy_DATA'!D163/('3.Nephropathy_DATA'!D163+'3.Nephropathy_DATA'!C163))</f>
        <v>0</v>
      </c>
      <c r="F79" s="100">
        <f>'3.Nephropathy_DATA'!H136*('3.Nephropathy_DATA'!$D163/('3.Nephropathy_DATA'!$D163+'3.Nephropathy_DATA'!$C163))</f>
        <v>0</v>
      </c>
      <c r="G79" s="100">
        <f>'3.Nephropathy_DATA'!I136*('3.Nephropathy_DATA'!$D163/('3.Nephropathy_DATA'!$D163+'3.Nephropathy_DATA'!$C163))</f>
        <v>0</v>
      </c>
    </row>
    <row r="80" spans="1:7" x14ac:dyDescent="0.2">
      <c r="A80" s="33" t="s">
        <v>11</v>
      </c>
      <c r="B80" s="28">
        <f>SUM('[2]Pop 57'!$C$7:$C$8)</f>
        <v>4179206</v>
      </c>
      <c r="C80" s="60">
        <f>'3.Nephropathy_DATA'!E137*('3.Nephropathy_DATA'!D164/('3.Nephropathy_DATA'!D164+'3.Nephropathy_DATA'!C164))</f>
        <v>0</v>
      </c>
      <c r="D80" s="98">
        <f>'3.Nephropathy_DATA'!F137*('3.Nephropathy_DATA'!D164/('3.Nephropathy_DATA'!D164+'3.Nephropathy_DATA'!C164))</f>
        <v>0</v>
      </c>
      <c r="F80" s="100">
        <f>'3.Nephropathy_DATA'!H137*('3.Nephropathy_DATA'!D164/('3.Nephropathy_DATA'!D164+'3.Nephropathy_DATA'!C164))</f>
        <v>0</v>
      </c>
      <c r="G80" s="100">
        <f>'3.Nephropathy_DATA'!I137*('3.Nephropathy_DATA'!$D164/('3.Nephropathy_DATA'!$D164+'3.Nephropathy_DATA'!$C164))</f>
        <v>0</v>
      </c>
    </row>
    <row r="81" spans="1:7" x14ac:dyDescent="0.2">
      <c r="A81" s="33" t="s">
        <v>12</v>
      </c>
      <c r="B81" s="28">
        <f>SUM('[2]Pop 57'!$C$9:$C$11)</f>
        <v>7301822</v>
      </c>
      <c r="C81" s="60">
        <f>'3.Nephropathy_DATA'!E138*('3.Nephropathy_DATA'!D165/('3.Nephropathy_DATA'!D165+'3.Nephropathy_DATA'!C165))</f>
        <v>8.3403555347294258</v>
      </c>
      <c r="D81" s="98">
        <f>'3.Nephropathy_DATA'!F138*('3.Nephropathy_DATA'!D165/('3.Nephropathy_DATA'!D165+'3.Nephropathy_DATA'!C165))</f>
        <v>6.8181634792321741</v>
      </c>
      <c r="F81" s="100">
        <f>'3.Nephropathy_DATA'!H138*('3.Nephropathy_DATA'!D165/('3.Nephropathy_DATA'!D165+'3.Nephropathy_DATA'!C165))</f>
        <v>2.9555832234547972</v>
      </c>
      <c r="G81" s="100">
        <f>'3.Nephropathy_DATA'!I138*('3.Nephropathy_DATA'!$D165/('3.Nephropathy_DATA'!$D165+'3.Nephropathy_DATA'!$C165))</f>
        <v>10.319889588815723</v>
      </c>
    </row>
    <row r="82" spans="1:7" x14ac:dyDescent="0.2">
      <c r="A82" s="33" t="s">
        <v>13</v>
      </c>
      <c r="B82" s="28">
        <f>SUM('[2]Pop 57'!$C$12:$C$14)</f>
        <v>7896765</v>
      </c>
      <c r="C82" s="60">
        <f>'3.Nephropathy_DATA'!E139*('3.Nephropathy_DATA'!D166/('3.Nephropathy_DATA'!D166+'3.Nephropathy_DATA'!C166))</f>
        <v>123.14862112666829</v>
      </c>
      <c r="D82" s="98">
        <f>'3.Nephropathy_DATA'!F139*('3.Nephropathy_DATA'!D166/('3.Nephropathy_DATA'!D166+'3.Nephropathy_DATA'!C166))</f>
        <v>107.29148266600295</v>
      </c>
      <c r="F82" s="100">
        <f>'3.Nephropathy_DATA'!H139*('3.Nephropathy_DATA'!D166/('3.Nephropathy_DATA'!D166+'3.Nephropathy_DATA'!C166))</f>
        <v>14.647215048252145</v>
      </c>
      <c r="G82" s="100">
        <f>'3.Nephropathy_DATA'!I139*('3.Nephropathy_DATA'!$D166/('3.Nephropathy_DATA'!$D166+'3.Nephropathy_DATA'!$C166))</f>
        <v>156.93819038358816</v>
      </c>
    </row>
    <row r="83" spans="1:7" x14ac:dyDescent="0.2">
      <c r="A83" s="33" t="s">
        <v>14</v>
      </c>
      <c r="B83" s="28">
        <f>SUM('[2]Pop 57'!$C$15:$C$17)</f>
        <v>6554289</v>
      </c>
      <c r="C83" s="60">
        <f>'3.Nephropathy_DATA'!E140*('3.Nephropathy_DATA'!D167/('3.Nephropathy_DATA'!D167+'3.Nephropathy_DATA'!C167))</f>
        <v>332.99303359432361</v>
      </c>
      <c r="D83" s="98">
        <f>'3.Nephropathy_DATA'!F140*('3.Nephropathy_DATA'!D167/('3.Nephropathy_DATA'!D167+'3.Nephropathy_DATA'!C167))</f>
        <v>282.00092608959432</v>
      </c>
      <c r="F83" s="100">
        <f>'3.Nephropathy_DATA'!H140*('3.Nephropathy_DATA'!D167/('3.Nephropathy_DATA'!D167+'3.Nephropathy_DATA'!C167))</f>
        <v>53.268198845152043</v>
      </c>
      <c r="G83" s="100">
        <f>'3.Nephropathy_DATA'!I140*('3.Nephropathy_DATA'!$D167/('3.Nephropathy_DATA'!$D167+'3.Nephropathy_DATA'!$C167))</f>
        <v>362.55241798631664</v>
      </c>
    </row>
    <row r="84" spans="1:7" x14ac:dyDescent="0.2">
      <c r="A84" s="33" t="s">
        <v>15</v>
      </c>
      <c r="B84" s="28">
        <f>SUM('[2]Pop 57'!$C$18:$C$19)</f>
        <v>2344057</v>
      </c>
      <c r="C84" s="60">
        <f>'3.Nephropathy_DATA'!E141*('3.Nephropathy_DATA'!D168/('3.Nephropathy_DATA'!D168+'3.Nephropathy_DATA'!C168))</f>
        <v>1010.3457655306798</v>
      </c>
      <c r="D84" s="98">
        <f>'3.Nephropathy_DATA'!F141*('3.Nephropathy_DATA'!D168/('3.Nephropathy_DATA'!D168+'3.Nephropathy_DATA'!C168))</f>
        <v>895.63586311668053</v>
      </c>
      <c r="F84" s="100">
        <f>'3.Nephropathy_DATA'!H141*('3.Nephropathy_DATA'!D168/('3.Nephropathy_DATA'!D168+'3.Nephropathy_DATA'!C168))</f>
        <v>86.624757920751847</v>
      </c>
      <c r="G84" s="100">
        <f>'3.Nephropathy_DATA'!I141*('3.Nephropathy_DATA'!$D168/('3.Nephropathy_DATA'!$D168+'3.Nephropathy_DATA'!$C168))</f>
        <v>956.45282256903954</v>
      </c>
    </row>
    <row r="85" spans="1:7" x14ac:dyDescent="0.2">
      <c r="A85" s="33" t="s">
        <v>16</v>
      </c>
      <c r="B85" s="28">
        <f>SUM('[2]Pop 57'!$C$20:$C$21)</f>
        <v>1173067</v>
      </c>
      <c r="C85" s="60">
        <f>'3.Nephropathy_DATA'!E142*('3.Nephropathy_DATA'!D169/('3.Nephropathy_DATA'!D169+'3.Nephropathy_DATA'!C169))</f>
        <v>1952.4389452087553</v>
      </c>
      <c r="D85" s="98">
        <f>'3.Nephropathy_DATA'!F142*('3.Nephropathy_DATA'!D169/('3.Nephropathy_DATA'!D169+'3.Nephropathy_DATA'!C169))</f>
        <v>1781.4619470259779</v>
      </c>
      <c r="E85" s="22" t="s">
        <v>23</v>
      </c>
      <c r="F85" s="100">
        <f>'3.Nephropathy_DATA'!H142*('3.Nephropathy_DATA'!D169/('3.Nephropathy_DATA'!D169+'3.Nephropathy_DATA'!C169))</f>
        <v>86.018780430821565</v>
      </c>
      <c r="G85" s="100">
        <f>'3.Nephropathy_DATA'!I142*('3.Nephropathy_DATA'!$D169/('3.Nephropathy_DATA'!$D169+'3.Nephropathy_DATA'!$C169))</f>
        <v>1522.5853382223841</v>
      </c>
    </row>
    <row r="86" spans="1:7" x14ac:dyDescent="0.2">
      <c r="A86" s="33" t="s">
        <v>17</v>
      </c>
      <c r="B86" s="28">
        <f>SUM('[2]Pop 57'!$C$22:$C$26)</f>
        <v>506965</v>
      </c>
      <c r="C86" s="60">
        <f>'3.Nephropathy_DATA'!E143*('3.Nephropathy_DATA'!D170/('3.Nephropathy_DATA'!D170+'3.Nephropathy_DATA'!C170))</f>
        <v>1552.2942244405624</v>
      </c>
      <c r="D86" s="98">
        <f>'3.Nephropathy_DATA'!F143*('3.Nephropathy_DATA'!D170/('3.Nephropathy_DATA'!D170+'3.Nephropathy_DATA'!C170))</f>
        <v>1429.155420592494</v>
      </c>
      <c r="F86" s="100">
        <f>'3.Nephropathy_DATA'!H143*('3.Nephropathy_DATA'!D170/('3.Nephropathy_DATA'!D170+'3.Nephropathy_DATA'!C170))</f>
        <v>67.243008489079543</v>
      </c>
      <c r="G86" s="100">
        <f>'3.Nephropathy_DATA'!I143*('3.Nephropathy_DATA'!$D170/('3.Nephropathy_DATA'!$D170+'3.Nephropathy_DATA'!$C170))</f>
        <v>948.26543496093848</v>
      </c>
    </row>
    <row r="87" spans="1:7" x14ac:dyDescent="0.2">
      <c r="A87" s="34" t="s">
        <v>18</v>
      </c>
      <c r="B87" s="28">
        <f>SUM(B79:B86)</f>
        <v>31922490</v>
      </c>
      <c r="C87" s="60">
        <f>SUM(C79:C86)</f>
        <v>4979.5609454357191</v>
      </c>
      <c r="D87" s="98">
        <f>SUM(D79:D86)</f>
        <v>4502.3638029699814</v>
      </c>
      <c r="F87" s="100">
        <f>SUM(F79:F86)</f>
        <v>310.75754395751193</v>
      </c>
      <c r="G87" s="100">
        <f>SUM(G79:G86)</f>
        <v>3957.1140937110827</v>
      </c>
    </row>
    <row r="88" spans="1:7" x14ac:dyDescent="0.2">
      <c r="A88" s="27"/>
      <c r="B88" s="28"/>
      <c r="C88" s="58"/>
      <c r="D88" s="29"/>
      <c r="F88" s="100"/>
    </row>
    <row r="89" spans="1:7" x14ac:dyDescent="0.2">
      <c r="A89" s="48" t="s">
        <v>35</v>
      </c>
      <c r="B89" s="28"/>
      <c r="C89" s="58"/>
      <c r="D89" s="29"/>
      <c r="F89" s="100"/>
    </row>
    <row r="90" spans="1:7" x14ac:dyDescent="0.2">
      <c r="A90" s="33" t="s">
        <v>7</v>
      </c>
      <c r="B90" s="28">
        <f>SUM('[2]Pop 57'!$D$5:$D$6)</f>
        <v>1849075</v>
      </c>
      <c r="C90" s="60">
        <f>'3.Nephropathy_DATA'!E147*('3.Nephropathy_DATA'!D174/('3.Nephropathy_DATA'!D174+'3.Nephropathy_DATA'!C174))</f>
        <v>0</v>
      </c>
      <c r="D90" s="98">
        <f>'3.Nephropathy_DATA'!F147*('3.Nephropathy_DATA'!D174/('3.Nephropathy_DATA'!D174+'3.Nephropathy_DATA'!C174))</f>
        <v>0</v>
      </c>
      <c r="F90" s="100">
        <f>'3.Nephropathy_DATA'!H147*('3.Nephropathy_DATA'!$D174/('3.Nephropathy_DATA'!$D174+'3.Nephropathy_DATA'!$C174))</f>
        <v>0</v>
      </c>
      <c r="G90" s="100">
        <f>'3.Nephropathy_DATA'!I147*('3.Nephropathy_DATA'!$D174/('3.Nephropathy_DATA'!$D174+'3.Nephropathy_DATA'!$C174))</f>
        <v>0</v>
      </c>
    </row>
    <row r="91" spans="1:7" x14ac:dyDescent="0.2">
      <c r="A91" s="33" t="s">
        <v>11</v>
      </c>
      <c r="B91" s="28">
        <f>SUM('[2]Pop 57'!$D$7:$D$8)</f>
        <v>3940160</v>
      </c>
      <c r="C91" s="60">
        <f>'3.Nephropathy_DATA'!E148*('3.Nephropathy_DATA'!D175/('3.Nephropathy_DATA'!D175+'3.Nephropathy_DATA'!C175))</f>
        <v>0</v>
      </c>
      <c r="D91" s="98">
        <f>'3.Nephropathy_DATA'!F148*('3.Nephropathy_DATA'!D175/('3.Nephropathy_DATA'!D175+'3.Nephropathy_DATA'!C175))</f>
        <v>0</v>
      </c>
      <c r="F91" s="100">
        <f>'3.Nephropathy_DATA'!H148*('3.Nephropathy_DATA'!D175/('3.Nephropathy_DATA'!D175+'3.Nephropathy_DATA'!C175))</f>
        <v>0</v>
      </c>
      <c r="G91" s="100">
        <f>'3.Nephropathy_DATA'!I148*('3.Nephropathy_DATA'!$D175/('3.Nephropathy_DATA'!$D175+'3.Nephropathy_DATA'!$C175))</f>
        <v>0</v>
      </c>
    </row>
    <row r="92" spans="1:7" x14ac:dyDescent="0.2">
      <c r="A92" s="33" t="s">
        <v>12</v>
      </c>
      <c r="B92" s="46">
        <f>SUM('[2]Pop 57'!$D$9:$D$11)</f>
        <v>7026158.1752900956</v>
      </c>
      <c r="C92" s="60">
        <f>'3.Nephropathy_DATA'!E149*('3.Nephropathy_DATA'!D176/('3.Nephropathy_DATA'!D176+'3.Nephropathy_DATA'!C176))</f>
        <v>9.7250997850844509</v>
      </c>
      <c r="D92" s="98">
        <f>'3.Nephropathy_DATA'!F149*('3.Nephropathy_DATA'!D176/('3.Nephropathy_DATA'!D176+'3.Nephropathy_DATA'!C176))</f>
        <v>8.31155940798876</v>
      </c>
      <c r="F92" s="100">
        <f>'3.Nephropathy_DATA'!H149*('3.Nephropathy_DATA'!D176/('3.Nephropathy_DATA'!D176+'3.Nephropathy_DATA'!C176))</f>
        <v>2.873423764637399</v>
      </c>
      <c r="G92" s="100">
        <f>'3.Nephropathy_DATA'!I149*('3.Nephropathy_DATA'!$D176/('3.Nephropathy_DATA'!$D176+'3.Nephropathy_DATA'!$C176))</f>
        <v>12.578112257175873</v>
      </c>
    </row>
    <row r="93" spans="1:7" x14ac:dyDescent="0.2">
      <c r="A93" s="33" t="s">
        <v>13</v>
      </c>
      <c r="B93" s="28">
        <f>SUM('[2]Pop 57'!$D$12:$D$14)</f>
        <v>8017814</v>
      </c>
      <c r="C93" s="60">
        <f>'3.Nephropathy_DATA'!E150*('3.Nephropathy_DATA'!D177/('3.Nephropathy_DATA'!D177+'3.Nephropathy_DATA'!C177))</f>
        <v>153.04926209437181</v>
      </c>
      <c r="D93" s="98">
        <f>'3.Nephropathy_DATA'!F150*('3.Nephropathy_DATA'!D177/('3.Nephropathy_DATA'!D177+'3.Nephropathy_DATA'!C177))</f>
        <v>134.41891872559808</v>
      </c>
      <c r="F93" s="100">
        <f>'3.Nephropathy_DATA'!H150*('3.Nephropathy_DATA'!D177/('3.Nephropathy_DATA'!D177+'3.Nephropathy_DATA'!C177))</f>
        <v>18.046804876348737</v>
      </c>
      <c r="G93" s="100">
        <f>'3.Nephropathy_DATA'!I150*('3.Nephropathy_DATA'!$D177/('3.Nephropathy_DATA'!$D177+'3.Nephropathy_DATA'!$C177))</f>
        <v>196.67741843621971</v>
      </c>
    </row>
    <row r="94" spans="1:7" x14ac:dyDescent="0.2">
      <c r="A94" s="33" t="s">
        <v>14</v>
      </c>
      <c r="B94" s="28">
        <f>SUM('[2]Pop 57'!$D$15:$D$17)</f>
        <v>7162204</v>
      </c>
      <c r="C94" s="60">
        <f>'3.Nephropathy_DATA'!E151*('3.Nephropathy_DATA'!D178/('3.Nephropathy_DATA'!D178+'3.Nephropathy_DATA'!C178))</f>
        <v>353.66976343319027</v>
      </c>
      <c r="D94" s="98">
        <f>'3.Nephropathy_DATA'!F151*('3.Nephropathy_DATA'!D178/('3.Nephropathy_DATA'!D178+'3.Nephropathy_DATA'!C178))</f>
        <v>305.52661467211357</v>
      </c>
      <c r="F94" s="100">
        <f>'3.Nephropathy_DATA'!H151*('3.Nephropathy_DATA'!D178/('3.Nephropathy_DATA'!D178+'3.Nephropathy_DATA'!C178))</f>
        <v>51.382053718732998</v>
      </c>
      <c r="G94" s="100">
        <f>'3.Nephropathy_DATA'!I151*('3.Nephropathy_DATA'!$D178/('3.Nephropathy_DATA'!$D178+'3.Nephropathy_DATA'!$C178))</f>
        <v>393.00635303352789</v>
      </c>
    </row>
    <row r="95" spans="1:7" x14ac:dyDescent="0.2">
      <c r="A95" s="33" t="s">
        <v>15</v>
      </c>
      <c r="B95" s="46">
        <f>SUM('[2]Pop 57'!$D$18:$D$19)</f>
        <v>2739970.5356088658</v>
      </c>
      <c r="C95" s="60">
        <f>'3.Nephropathy_DATA'!E152*('3.Nephropathy_DATA'!D179/('3.Nephropathy_DATA'!D179+'3.Nephropathy_DATA'!C179))</f>
        <v>1087.9766234438223</v>
      </c>
      <c r="D95" s="98">
        <f>'3.Nephropathy_DATA'!F152*('3.Nephropathy_DATA'!D179/('3.Nephropathy_DATA'!D179+'3.Nephropathy_DATA'!C179))</f>
        <v>991.1250140212228</v>
      </c>
      <c r="F95" s="100">
        <f>'3.Nephropathy_DATA'!H152*('3.Nephropathy_DATA'!D179/('3.Nephropathy_DATA'!D179+'3.Nephropathy_DATA'!C179))</f>
        <v>68.531688290614326</v>
      </c>
      <c r="G95" s="100">
        <f>'3.Nephropathy_DATA'!I152*('3.Nephropathy_DATA'!$D179/('3.Nephropathy_DATA'!$D179+'3.Nephropathy_DATA'!$C179))</f>
        <v>1059.1300711059855</v>
      </c>
    </row>
    <row r="96" spans="1:7" x14ac:dyDescent="0.2">
      <c r="A96" s="33" t="s">
        <v>16</v>
      </c>
      <c r="B96" s="46">
        <f>SUM('[2]Pop 57'!$D$20:$D$21)</f>
        <v>1513246</v>
      </c>
      <c r="C96" s="60">
        <f>'3.Nephropathy_DATA'!E153*('3.Nephropathy_DATA'!D180/('3.Nephropathy_DATA'!D180+'3.Nephropathy_DATA'!C180))</f>
        <v>1804.4125640924528</v>
      </c>
      <c r="D96" s="98">
        <f>'3.Nephropathy_DATA'!F153*('3.Nephropathy_DATA'!D180/('3.Nephropathy_DATA'!D180+'3.Nephropathy_DATA'!C180))</f>
        <v>1668.55273931855</v>
      </c>
      <c r="F96" s="100">
        <f>'3.Nephropathy_DATA'!H153*('3.Nephropathy_DATA'!D180/('3.Nephropathy_DATA'!D180+'3.Nephropathy_DATA'!C180))</f>
        <v>73.359216855579135</v>
      </c>
      <c r="G96" s="100">
        <f>'3.Nephropathy_DATA'!I153*('3.Nephropathy_DATA'!$D180/('3.Nephropathy_DATA'!$D180+'3.Nephropathy_DATA'!$C180))</f>
        <v>1427.1742601004714</v>
      </c>
    </row>
    <row r="97" spans="1:7" x14ac:dyDescent="0.2">
      <c r="A97" s="33" t="s">
        <v>17</v>
      </c>
      <c r="B97" s="46">
        <f>SUM('[2]Pop 57'!$D$22:$D$26)</f>
        <v>784195.44620730029</v>
      </c>
      <c r="C97" s="60">
        <f>'3.Nephropathy_DATA'!E154*('3.Nephropathy_DATA'!D181/('3.Nephropathy_DATA'!D181+'3.Nephropathy_DATA'!C181))</f>
        <v>1893.9022926836772</v>
      </c>
      <c r="D97" s="98">
        <f>'3.Nephropathy_DATA'!F154*('3.Nephropathy_DATA'!D181/('3.Nephropathy_DATA'!D181+'3.Nephropathy_DATA'!C181))</f>
        <v>1748.7612626321218</v>
      </c>
      <c r="F97" s="100">
        <f>'3.Nephropathy_DATA'!H154*('3.Nephropathy_DATA'!D181/('3.Nephropathy_DATA'!D181+'3.Nephropathy_DATA'!C181))</f>
        <v>76.043363938966948</v>
      </c>
      <c r="G97" s="100">
        <f>'3.Nephropathy_DATA'!I154*('3.Nephropathy_DATA'!$D181/('3.Nephropathy_DATA'!$D181+'3.Nephropathy_DATA'!$C181))</f>
        <v>1158.2933203583862</v>
      </c>
    </row>
    <row r="98" spans="1:7" x14ac:dyDescent="0.2">
      <c r="A98" s="34" t="s">
        <v>18</v>
      </c>
      <c r="B98" s="46">
        <f>SUM(B90:B97)</f>
        <v>33032823.157106262</v>
      </c>
      <c r="C98" s="60">
        <f>SUM(C90:C97)</f>
        <v>5302.735605532599</v>
      </c>
      <c r="D98" s="98">
        <f>SUM(D90:D97)</f>
        <v>4856.6961087775944</v>
      </c>
      <c r="F98" s="100">
        <f>SUM(F90:F97)</f>
        <v>290.23655144487952</v>
      </c>
      <c r="G98" s="196">
        <f>SUM(G90:G97)</f>
        <v>4246.8595352917664</v>
      </c>
    </row>
    <row r="99" spans="1:7" x14ac:dyDescent="0.2">
      <c r="A99" s="30"/>
      <c r="B99" s="31"/>
      <c r="C99" s="59"/>
      <c r="D99" s="32"/>
      <c r="F99" s="5"/>
    </row>
    <row r="101" spans="1:7" x14ac:dyDescent="0.2">
      <c r="A101" s="145" t="s">
        <v>214</v>
      </c>
    </row>
    <row r="103" spans="1:7" x14ac:dyDescent="0.2">
      <c r="A103" s="24" t="s">
        <v>25</v>
      </c>
      <c r="B103" s="35" t="s">
        <v>31</v>
      </c>
      <c r="C103" s="26" t="s">
        <v>31</v>
      </c>
    </row>
    <row r="104" spans="1:7" x14ac:dyDescent="0.2">
      <c r="A104" s="30"/>
      <c r="B104" s="36" t="s">
        <v>32</v>
      </c>
      <c r="C104" s="32" t="s">
        <v>33</v>
      </c>
    </row>
    <row r="105" spans="1:7" x14ac:dyDescent="0.2">
      <c r="A105" s="27"/>
      <c r="B105" s="58"/>
      <c r="C105" s="103"/>
    </row>
    <row r="106" spans="1:7" x14ac:dyDescent="0.2">
      <c r="A106" s="48" t="s">
        <v>34</v>
      </c>
      <c r="B106" s="58"/>
      <c r="C106" s="103"/>
    </row>
    <row r="107" spans="1:7" x14ac:dyDescent="0.2">
      <c r="A107" s="33" t="s">
        <v>7</v>
      </c>
      <c r="B107" s="60">
        <f>C51+C79</f>
        <v>0</v>
      </c>
      <c r="C107" s="62">
        <f>D51+D79</f>
        <v>0</v>
      </c>
    </row>
    <row r="108" spans="1:7" x14ac:dyDescent="0.2">
      <c r="A108" s="33" t="s">
        <v>11</v>
      </c>
      <c r="B108" s="60">
        <f t="shared" ref="B108:C108" si="0">C52+C80</f>
        <v>0.52940430371060909</v>
      </c>
      <c r="C108" s="62">
        <f t="shared" si="0"/>
        <v>0.42864607180899666</v>
      </c>
    </row>
    <row r="109" spans="1:7" x14ac:dyDescent="0.2">
      <c r="A109" s="33" t="s">
        <v>12</v>
      </c>
      <c r="B109" s="60">
        <f t="shared" ref="B109:C109" si="1">C53+C81</f>
        <v>9.6644837760790701</v>
      </c>
      <c r="C109" s="62">
        <f t="shared" si="1"/>
        <v>7.9006260648374003</v>
      </c>
    </row>
    <row r="110" spans="1:7" x14ac:dyDescent="0.2">
      <c r="A110" s="33" t="s">
        <v>13</v>
      </c>
      <c r="B110" s="60">
        <f t="shared" ref="B110:C110" si="2">C54+C82</f>
        <v>130.03489478269665</v>
      </c>
      <c r="C110" s="62">
        <f t="shared" si="2"/>
        <v>113.29105053643136</v>
      </c>
    </row>
    <row r="111" spans="1:7" x14ac:dyDescent="0.2">
      <c r="A111" s="33" t="s">
        <v>14</v>
      </c>
      <c r="B111" s="60">
        <f t="shared" ref="B111:C111" si="3">C55+C83</f>
        <v>341.28543384421107</v>
      </c>
      <c r="C111" s="62">
        <f t="shared" si="3"/>
        <v>289.02348906856264</v>
      </c>
    </row>
    <row r="112" spans="1:7" x14ac:dyDescent="0.2">
      <c r="A112" s="33" t="s">
        <v>15</v>
      </c>
      <c r="B112" s="60">
        <f t="shared" ref="B112:C112" si="4">C56+C84</f>
        <v>1027.5843372611548</v>
      </c>
      <c r="C112" s="62">
        <f t="shared" si="4"/>
        <v>910.91724855665734</v>
      </c>
    </row>
    <row r="113" spans="1:6" x14ac:dyDescent="0.2">
      <c r="A113" s="33" t="s">
        <v>16</v>
      </c>
      <c r="B113" s="60">
        <f t="shared" ref="B113:C113" si="5">C57+C85</f>
        <v>1979.8282398936599</v>
      </c>
      <c r="C113" s="62">
        <f t="shared" si="5"/>
        <v>1806.4527342445874</v>
      </c>
    </row>
    <row r="114" spans="1:6" x14ac:dyDescent="0.2">
      <c r="A114" s="33" t="s">
        <v>17</v>
      </c>
      <c r="B114" s="60">
        <f t="shared" ref="B114:C114" si="6">C58+C86</f>
        <v>1568.7814035708031</v>
      </c>
      <c r="C114" s="62">
        <f t="shared" si="6"/>
        <v>1444.3347216897166</v>
      </c>
    </row>
    <row r="115" spans="1:6" x14ac:dyDescent="0.2">
      <c r="A115" s="34" t="s">
        <v>18</v>
      </c>
      <c r="B115" s="60">
        <f t="shared" ref="B115:C115" si="7">C59+C87</f>
        <v>5057.7081974323155</v>
      </c>
      <c r="C115" s="62">
        <f t="shared" si="7"/>
        <v>4572.3485162326015</v>
      </c>
    </row>
    <row r="116" spans="1:6" x14ac:dyDescent="0.2">
      <c r="A116" s="27"/>
      <c r="B116" s="58"/>
      <c r="C116" s="103"/>
    </row>
    <row r="117" spans="1:6" x14ac:dyDescent="0.2">
      <c r="A117" s="48" t="s">
        <v>35</v>
      </c>
      <c r="B117" s="58"/>
      <c r="C117" s="103"/>
    </row>
    <row r="118" spans="1:6" x14ac:dyDescent="0.2">
      <c r="A118" s="33" t="s">
        <v>7</v>
      </c>
      <c r="B118" s="60">
        <f>C62+C90</f>
        <v>0</v>
      </c>
      <c r="C118" s="62">
        <f>D62+D90</f>
        <v>0</v>
      </c>
    </row>
    <row r="119" spans="1:6" x14ac:dyDescent="0.2">
      <c r="A119" s="33" t="s">
        <v>11</v>
      </c>
      <c r="B119" s="60">
        <f t="shared" ref="B119:C119" si="8">C63+C91</f>
        <v>1.4326219119347245</v>
      </c>
      <c r="C119" s="62">
        <f t="shared" si="8"/>
        <v>0.80986698704815185</v>
      </c>
    </row>
    <row r="120" spans="1:6" x14ac:dyDescent="0.2">
      <c r="A120" s="33" t="s">
        <v>12</v>
      </c>
      <c r="B120" s="60">
        <f t="shared" ref="B120:C120" si="9">C64+C92</f>
        <v>10.70536214461217</v>
      </c>
      <c r="C120" s="62">
        <f t="shared" si="9"/>
        <v>9.1493409235188992</v>
      </c>
    </row>
    <row r="121" spans="1:6" x14ac:dyDescent="0.2">
      <c r="A121" s="33" t="s">
        <v>13</v>
      </c>
      <c r="B121" s="60">
        <f t="shared" ref="B121:C121" si="10">C65+C93</f>
        <v>160.72938813432322</v>
      </c>
      <c r="C121" s="62">
        <f t="shared" si="10"/>
        <v>141.16416025005586</v>
      </c>
    </row>
    <row r="122" spans="1:6" x14ac:dyDescent="0.2">
      <c r="A122" s="33" t="s">
        <v>14</v>
      </c>
      <c r="B122" s="60">
        <f t="shared" ref="B122:C122" si="11">C66+C94</f>
        <v>362.44439930876769</v>
      </c>
      <c r="C122" s="62">
        <f t="shared" si="11"/>
        <v>313.10680690574247</v>
      </c>
      <c r="F122" s="22" t="s">
        <v>23</v>
      </c>
    </row>
    <row r="123" spans="1:6" x14ac:dyDescent="0.2">
      <c r="A123" s="33" t="s">
        <v>15</v>
      </c>
      <c r="B123" s="60">
        <f t="shared" ref="B123:C123" si="12">C67+C95</f>
        <v>1101.3270969902003</v>
      </c>
      <c r="C123" s="62">
        <f t="shared" si="12"/>
        <v>1003.2870292665136</v>
      </c>
    </row>
    <row r="124" spans="1:6" x14ac:dyDescent="0.2">
      <c r="A124" s="33" t="s">
        <v>16</v>
      </c>
      <c r="B124" s="60">
        <f t="shared" ref="B124:C124" si="13">C68+C96</f>
        <v>1820.9014480451606</v>
      </c>
      <c r="C124" s="62">
        <f t="shared" si="13"/>
        <v>1683.8001239993555</v>
      </c>
    </row>
    <row r="125" spans="1:6" x14ac:dyDescent="0.2">
      <c r="A125" s="33" t="s">
        <v>17</v>
      </c>
      <c r="B125" s="60">
        <f t="shared" ref="B125:C125" si="14">C69+C97</f>
        <v>1913.2171988331284</v>
      </c>
      <c r="C125" s="62">
        <f t="shared" si="14"/>
        <v>1766.595952307518</v>
      </c>
    </row>
    <row r="126" spans="1:6" x14ac:dyDescent="0.2">
      <c r="A126" s="34" t="s">
        <v>18</v>
      </c>
      <c r="B126" s="60">
        <f t="shared" ref="B126:C126" si="15">C70+C98</f>
        <v>5370.7575153681273</v>
      </c>
      <c r="C126" s="62">
        <f t="shared" si="15"/>
        <v>4917.913280639752</v>
      </c>
    </row>
    <row r="127" spans="1:6" x14ac:dyDescent="0.2">
      <c r="A127" s="30"/>
      <c r="B127" s="59"/>
      <c r="C127" s="61"/>
    </row>
  </sheetData>
  <mergeCells count="12">
    <mergeCell ref="A23:A24"/>
    <mergeCell ref="B23:B24"/>
    <mergeCell ref="C23:D23"/>
    <mergeCell ref="E23:E24"/>
    <mergeCell ref="C10:E10"/>
    <mergeCell ref="C17:C18"/>
    <mergeCell ref="A6:E6"/>
    <mergeCell ref="A1:E1"/>
    <mergeCell ref="A2:E2"/>
    <mergeCell ref="A3:E3"/>
    <mergeCell ref="A4:E4"/>
    <mergeCell ref="A5:E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summary</vt:lpstr>
      <vt:lpstr>1.Diabetes case</vt:lpstr>
      <vt:lpstr>1.Diabetes case_DATA</vt:lpstr>
      <vt:lpstr>1.Diabetes IDDM_DISMOD</vt:lpstr>
      <vt:lpstr>1.Diabetes ALL_DISMOD</vt:lpstr>
      <vt:lpstr>2.Retinopathy</vt:lpstr>
      <vt:lpstr>2.Reti IDDM_DISMOD</vt:lpstr>
      <vt:lpstr>2.Reti NIDDM_DISMOD</vt:lpstr>
      <vt:lpstr>3.Nephropathy</vt:lpstr>
      <vt:lpstr>3.Nephropathy_DATA</vt:lpstr>
      <vt:lpstr>4.Neuropathy</vt:lpstr>
      <vt:lpstr>4.Neuro_DATA</vt:lpstr>
      <vt:lpstr>5.Cataract</vt:lpstr>
      <vt:lpstr>5. Cataract_DATA</vt:lpstr>
      <vt:lpstr>6.Glaucoma</vt:lpstr>
      <vt:lpstr>6.Glaucoma_DATA</vt:lpstr>
      <vt:lpstr>7. amputations</vt:lpstr>
      <vt:lpstr>7. Amputations_DATA</vt:lpstr>
      <vt:lpstr>8. Foot</vt:lpstr>
      <vt:lpstr>Sheet1</vt:lpstr>
    </vt:vector>
  </TitlesOfParts>
  <Company>Organize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2016-04-28T03:18:14Z</dcterms:created>
  <dcterms:modified xsi:type="dcterms:W3CDTF">2020-06-22T08:00:30Z</dcterms:modified>
</cp:coreProperties>
</file>