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topi.huhta-halkola/Desktop/Cofi/"/>
    </mc:Choice>
  </mc:AlternateContent>
  <bookViews>
    <workbookView xWindow="0" yWindow="460" windowWidth="28800" windowHeight="16340" tabRatio="500"/>
  </bookViews>
  <sheets>
    <sheet name="Taul1" sheetId="1" r:id="rId1"/>
    <sheet name="Esitystaulukot" sheetId="3" r:id="rId2"/>
    <sheet name="Working capital" sheetId="2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7" i="3" l="1"/>
  <c r="E6" i="3"/>
  <c r="E5" i="3"/>
  <c r="E4" i="3"/>
  <c r="E3" i="3"/>
  <c r="E2" i="3"/>
  <c r="L49" i="1"/>
  <c r="L48" i="1"/>
  <c r="L46" i="1"/>
  <c r="L45" i="1"/>
  <c r="Q43" i="1"/>
  <c r="Q34" i="1"/>
  <c r="L44" i="1"/>
  <c r="M43" i="1"/>
  <c r="N43" i="1"/>
  <c r="O43" i="1"/>
  <c r="P43" i="1"/>
  <c r="L43" i="1"/>
  <c r="M29" i="1"/>
  <c r="N29" i="1"/>
  <c r="O29" i="1"/>
  <c r="P29" i="1"/>
  <c r="L29" i="1"/>
  <c r="D66" i="1"/>
  <c r="D69" i="1"/>
  <c r="D84" i="1"/>
  <c r="D71" i="1"/>
  <c r="D72" i="1"/>
  <c r="D74" i="1"/>
  <c r="D77" i="1"/>
  <c r="D85" i="1"/>
  <c r="E40" i="2"/>
  <c r="E42" i="2"/>
  <c r="E44" i="2"/>
  <c r="E46" i="2"/>
  <c r="E48" i="2"/>
  <c r="E50" i="2"/>
  <c r="E52" i="2"/>
  <c r="D87" i="1"/>
  <c r="D89" i="1"/>
  <c r="D90" i="1"/>
  <c r="K96" i="1"/>
  <c r="E66" i="1"/>
  <c r="E69" i="1"/>
  <c r="E84" i="1"/>
  <c r="E71" i="1"/>
  <c r="E72" i="1"/>
  <c r="E74" i="1"/>
  <c r="E77" i="1"/>
  <c r="E85" i="1"/>
  <c r="F40" i="2"/>
  <c r="F42" i="2"/>
  <c r="F44" i="2"/>
  <c r="F46" i="2"/>
  <c r="F48" i="2"/>
  <c r="F50" i="2"/>
  <c r="F52" i="2"/>
  <c r="E87" i="1"/>
  <c r="E89" i="1"/>
  <c r="E90" i="1"/>
  <c r="L94" i="1"/>
  <c r="L96" i="1"/>
  <c r="F66" i="1"/>
  <c r="F69" i="1"/>
  <c r="F84" i="1"/>
  <c r="F71" i="1"/>
  <c r="F72" i="1"/>
  <c r="F74" i="1"/>
  <c r="F77" i="1"/>
  <c r="F85" i="1"/>
  <c r="G40" i="2"/>
  <c r="G42" i="2"/>
  <c r="G44" i="2"/>
  <c r="G46" i="2"/>
  <c r="G48" i="2"/>
  <c r="G50" i="2"/>
  <c r="G52" i="2"/>
  <c r="F87" i="1"/>
  <c r="F89" i="1"/>
  <c r="F90" i="1"/>
  <c r="M94" i="1"/>
  <c r="M96" i="1"/>
  <c r="G66" i="1"/>
  <c r="G69" i="1"/>
  <c r="G84" i="1"/>
  <c r="G71" i="1"/>
  <c r="G72" i="1"/>
  <c r="G74" i="1"/>
  <c r="G77" i="1"/>
  <c r="G85" i="1"/>
  <c r="H40" i="2"/>
  <c r="H42" i="2"/>
  <c r="H44" i="2"/>
  <c r="H46" i="2"/>
  <c r="H48" i="2"/>
  <c r="H50" i="2"/>
  <c r="H52" i="2"/>
  <c r="G87" i="1"/>
  <c r="G89" i="1"/>
  <c r="G90" i="1"/>
  <c r="N94" i="1"/>
  <c r="N96" i="1"/>
  <c r="H66" i="1"/>
  <c r="H69" i="1"/>
  <c r="H84" i="1"/>
  <c r="H71" i="1"/>
  <c r="H72" i="1"/>
  <c r="H74" i="1"/>
  <c r="H77" i="1"/>
  <c r="H85" i="1"/>
  <c r="I40" i="2"/>
  <c r="I42" i="2"/>
  <c r="I44" i="2"/>
  <c r="I46" i="2"/>
  <c r="I48" i="2"/>
  <c r="I50" i="2"/>
  <c r="I52" i="2"/>
  <c r="H87" i="1"/>
  <c r="H89" i="1"/>
  <c r="H90" i="1"/>
  <c r="O94" i="1"/>
  <c r="O96" i="1"/>
  <c r="I66" i="1"/>
  <c r="I69" i="1"/>
  <c r="I84" i="1"/>
  <c r="I71" i="1"/>
  <c r="I72" i="1"/>
  <c r="I74" i="1"/>
  <c r="I77" i="1"/>
  <c r="I85" i="1"/>
  <c r="J40" i="2"/>
  <c r="J42" i="2"/>
  <c r="J44" i="2"/>
  <c r="J46" i="2"/>
  <c r="J48" i="2"/>
  <c r="J50" i="2"/>
  <c r="J52" i="2"/>
  <c r="I87" i="1"/>
  <c r="I89" i="1"/>
  <c r="I90" i="1"/>
  <c r="P94" i="1"/>
  <c r="P96" i="1"/>
  <c r="L97" i="1"/>
  <c r="F2" i="3"/>
  <c r="Q96" i="1"/>
  <c r="L98" i="1"/>
  <c r="F3" i="3"/>
  <c r="L100" i="1"/>
  <c r="F4" i="3"/>
  <c r="F5" i="3"/>
  <c r="F7" i="3"/>
  <c r="F6" i="3"/>
  <c r="D4" i="1"/>
  <c r="D7" i="1"/>
  <c r="D22" i="1"/>
  <c r="D9" i="1"/>
  <c r="D10" i="1"/>
  <c r="D12" i="1"/>
  <c r="D15" i="1"/>
  <c r="D23" i="1"/>
  <c r="E4" i="2"/>
  <c r="E6" i="2"/>
  <c r="E8" i="2"/>
  <c r="E10" i="2"/>
  <c r="E12" i="2"/>
  <c r="E14" i="2"/>
  <c r="E16" i="2"/>
  <c r="D25" i="1"/>
  <c r="D27" i="1"/>
  <c r="D28" i="1"/>
  <c r="K34" i="1"/>
  <c r="E4" i="1"/>
  <c r="E7" i="1"/>
  <c r="E22" i="1"/>
  <c r="E9" i="1"/>
  <c r="E10" i="1"/>
  <c r="E12" i="1"/>
  <c r="E15" i="1"/>
  <c r="E23" i="1"/>
  <c r="F4" i="2"/>
  <c r="F6" i="2"/>
  <c r="F8" i="2"/>
  <c r="F10" i="2"/>
  <c r="F12" i="2"/>
  <c r="F14" i="2"/>
  <c r="F16" i="2"/>
  <c r="E25" i="1"/>
  <c r="E27" i="1"/>
  <c r="E28" i="1"/>
  <c r="L27" i="1"/>
  <c r="L34" i="1"/>
  <c r="F4" i="1"/>
  <c r="F7" i="1"/>
  <c r="F22" i="1"/>
  <c r="F9" i="1"/>
  <c r="F10" i="1"/>
  <c r="F12" i="1"/>
  <c r="F15" i="1"/>
  <c r="F23" i="1"/>
  <c r="G4" i="2"/>
  <c r="G6" i="2"/>
  <c r="G8" i="2"/>
  <c r="G10" i="2"/>
  <c r="G12" i="2"/>
  <c r="G14" i="2"/>
  <c r="G16" i="2"/>
  <c r="F25" i="1"/>
  <c r="F27" i="1"/>
  <c r="F28" i="1"/>
  <c r="M27" i="1"/>
  <c r="M34" i="1"/>
  <c r="G4" i="1"/>
  <c r="G7" i="1"/>
  <c r="G22" i="1"/>
  <c r="G9" i="1"/>
  <c r="G10" i="1"/>
  <c r="G12" i="1"/>
  <c r="G15" i="1"/>
  <c r="G23" i="1"/>
  <c r="H4" i="2"/>
  <c r="H6" i="2"/>
  <c r="H8" i="2"/>
  <c r="H10" i="2"/>
  <c r="H12" i="2"/>
  <c r="H14" i="2"/>
  <c r="H16" i="2"/>
  <c r="G25" i="1"/>
  <c r="G27" i="1"/>
  <c r="G28" i="1"/>
  <c r="N27" i="1"/>
  <c r="N34" i="1"/>
  <c r="H4" i="1"/>
  <c r="H7" i="1"/>
  <c r="H22" i="1"/>
  <c r="H9" i="1"/>
  <c r="H10" i="1"/>
  <c r="H12" i="1"/>
  <c r="H15" i="1"/>
  <c r="H23" i="1"/>
  <c r="I4" i="2"/>
  <c r="I6" i="2"/>
  <c r="I8" i="2"/>
  <c r="I10" i="2"/>
  <c r="I12" i="2"/>
  <c r="I14" i="2"/>
  <c r="I16" i="2"/>
  <c r="H25" i="1"/>
  <c r="H27" i="1"/>
  <c r="H28" i="1"/>
  <c r="O27" i="1"/>
  <c r="O34" i="1"/>
  <c r="I4" i="1"/>
  <c r="I7" i="1"/>
  <c r="I22" i="1"/>
  <c r="I9" i="1"/>
  <c r="I10" i="1"/>
  <c r="I12" i="1"/>
  <c r="I15" i="1"/>
  <c r="I23" i="1"/>
  <c r="J4" i="2"/>
  <c r="J6" i="2"/>
  <c r="J8" i="2"/>
  <c r="J10" i="2"/>
  <c r="J12" i="2"/>
  <c r="J14" i="2"/>
  <c r="J16" i="2"/>
  <c r="I25" i="1"/>
  <c r="I27" i="1"/>
  <c r="I28" i="1"/>
  <c r="P27" i="1"/>
  <c r="P34" i="1"/>
  <c r="L35" i="1"/>
  <c r="D2" i="3"/>
  <c r="L36" i="1"/>
  <c r="D3" i="3"/>
  <c r="L38" i="1"/>
  <c r="D4" i="3"/>
  <c r="D5" i="3"/>
  <c r="D7" i="3"/>
  <c r="D6" i="3"/>
  <c r="D35" i="1"/>
  <c r="E35" i="1"/>
  <c r="F35" i="1"/>
  <c r="G35" i="1"/>
  <c r="H35" i="1"/>
  <c r="I35" i="1"/>
  <c r="I38" i="1"/>
  <c r="I53" i="1"/>
  <c r="I40" i="1"/>
  <c r="I41" i="1"/>
  <c r="I43" i="1"/>
  <c r="I46" i="1"/>
  <c r="I54" i="1"/>
  <c r="J22" i="2"/>
  <c r="I22" i="2"/>
  <c r="J24" i="2"/>
  <c r="J26" i="2"/>
  <c r="I26" i="2"/>
  <c r="J28" i="2"/>
  <c r="J30" i="2"/>
  <c r="I30" i="2"/>
  <c r="J32" i="2"/>
  <c r="J34" i="2"/>
  <c r="I56" i="1"/>
  <c r="I58" i="1"/>
  <c r="I59" i="1"/>
  <c r="P63" i="1"/>
  <c r="Q65" i="1"/>
  <c r="L67" i="1"/>
  <c r="C3" i="3"/>
  <c r="D38" i="1"/>
  <c r="D53" i="1"/>
  <c r="D40" i="1"/>
  <c r="D41" i="1"/>
  <c r="D43" i="1"/>
  <c r="D46" i="1"/>
  <c r="D54" i="1"/>
  <c r="E22" i="2"/>
  <c r="E24" i="2"/>
  <c r="E26" i="2"/>
  <c r="E28" i="2"/>
  <c r="E30" i="2"/>
  <c r="E32" i="2"/>
  <c r="E34" i="2"/>
  <c r="D56" i="1"/>
  <c r="D58" i="1"/>
  <c r="D59" i="1"/>
  <c r="K65" i="1"/>
  <c r="E38" i="1"/>
  <c r="E53" i="1"/>
  <c r="E40" i="1"/>
  <c r="E41" i="1"/>
  <c r="E43" i="1"/>
  <c r="E46" i="1"/>
  <c r="E54" i="1"/>
  <c r="F22" i="2"/>
  <c r="F24" i="2"/>
  <c r="F26" i="2"/>
  <c r="F28" i="2"/>
  <c r="F30" i="2"/>
  <c r="F32" i="2"/>
  <c r="F34" i="2"/>
  <c r="E56" i="1"/>
  <c r="E58" i="1"/>
  <c r="E59" i="1"/>
  <c r="L63" i="1"/>
  <c r="L65" i="1"/>
  <c r="F38" i="1"/>
  <c r="F53" i="1"/>
  <c r="F40" i="1"/>
  <c r="F41" i="1"/>
  <c r="F43" i="1"/>
  <c r="F46" i="1"/>
  <c r="F54" i="1"/>
  <c r="G22" i="2"/>
  <c r="G24" i="2"/>
  <c r="G26" i="2"/>
  <c r="G28" i="2"/>
  <c r="G30" i="2"/>
  <c r="G32" i="2"/>
  <c r="G34" i="2"/>
  <c r="F56" i="1"/>
  <c r="F58" i="1"/>
  <c r="F59" i="1"/>
  <c r="M63" i="1"/>
  <c r="M65" i="1"/>
  <c r="G38" i="1"/>
  <c r="G53" i="1"/>
  <c r="G40" i="1"/>
  <c r="G41" i="1"/>
  <c r="G43" i="1"/>
  <c r="G46" i="1"/>
  <c r="G54" i="1"/>
  <c r="H22" i="2"/>
  <c r="H24" i="2"/>
  <c r="H26" i="2"/>
  <c r="H28" i="2"/>
  <c r="H30" i="2"/>
  <c r="H32" i="2"/>
  <c r="H34" i="2"/>
  <c r="G56" i="1"/>
  <c r="G58" i="1"/>
  <c r="G59" i="1"/>
  <c r="N63" i="1"/>
  <c r="N65" i="1"/>
  <c r="H38" i="1"/>
  <c r="H53" i="1"/>
  <c r="H40" i="1"/>
  <c r="H41" i="1"/>
  <c r="H43" i="1"/>
  <c r="H46" i="1"/>
  <c r="H54" i="1"/>
  <c r="I24" i="2"/>
  <c r="I28" i="2"/>
  <c r="I32" i="2"/>
  <c r="I34" i="2"/>
  <c r="H56" i="1"/>
  <c r="H58" i="1"/>
  <c r="H59" i="1"/>
  <c r="O63" i="1"/>
  <c r="O65" i="1"/>
  <c r="P65" i="1"/>
  <c r="L66" i="1"/>
  <c r="C2" i="3"/>
  <c r="L69" i="1"/>
  <c r="C4" i="3"/>
  <c r="C5" i="3"/>
  <c r="C6" i="3"/>
  <c r="C7" i="3"/>
  <c r="F17" i="1"/>
  <c r="F18" i="1"/>
  <c r="E17" i="1"/>
  <c r="E18" i="1"/>
  <c r="D17" i="1"/>
  <c r="D18" i="1"/>
  <c r="B22" i="1"/>
  <c r="B23" i="1"/>
  <c r="C6" i="2"/>
  <c r="C10" i="2"/>
  <c r="C16" i="2"/>
  <c r="B25" i="1"/>
  <c r="B28" i="1"/>
  <c r="B37" i="1"/>
  <c r="C37" i="1"/>
  <c r="B40" i="1"/>
  <c r="C40" i="1"/>
  <c r="L37" i="1"/>
  <c r="L39" i="1"/>
  <c r="L40" i="1"/>
  <c r="L99" i="1"/>
  <c r="L101" i="1"/>
  <c r="L102" i="1"/>
  <c r="L68" i="1"/>
  <c r="L70" i="1"/>
  <c r="L71" i="1"/>
  <c r="C23" i="2"/>
  <c r="D6" i="2"/>
  <c r="D10" i="2"/>
  <c r="D16" i="2"/>
  <c r="C5" i="1"/>
  <c r="I29" i="1"/>
  <c r="D49" i="2"/>
  <c r="C49" i="2"/>
  <c r="D45" i="2"/>
  <c r="C45" i="2"/>
  <c r="D41" i="2"/>
  <c r="C41" i="2"/>
  <c r="I60" i="1"/>
  <c r="D55" i="1"/>
  <c r="D24" i="2"/>
  <c r="D28" i="2"/>
  <c r="D34" i="2"/>
  <c r="C24" i="2"/>
  <c r="C28" i="2"/>
  <c r="C34" i="2"/>
  <c r="D31" i="2"/>
  <c r="C31" i="2"/>
  <c r="D27" i="2"/>
  <c r="C27" i="2"/>
  <c r="D23" i="2"/>
  <c r="D9" i="2"/>
  <c r="D42" i="2"/>
  <c r="D46" i="2"/>
  <c r="D50" i="2"/>
  <c r="D52" i="2"/>
  <c r="C42" i="2"/>
  <c r="C46" i="2"/>
  <c r="C50" i="2"/>
  <c r="C52" i="2"/>
  <c r="D32" i="2"/>
  <c r="C32" i="2"/>
  <c r="C56" i="1"/>
  <c r="B56" i="1"/>
  <c r="C87" i="1"/>
  <c r="B87" i="1"/>
  <c r="H86" i="1"/>
  <c r="C55" i="1"/>
  <c r="B55" i="1"/>
  <c r="I91" i="1"/>
  <c r="D79" i="1"/>
  <c r="D80" i="1"/>
  <c r="C90" i="1"/>
  <c r="B84" i="1"/>
  <c r="B85" i="1"/>
  <c r="B90" i="1"/>
  <c r="C88" i="1"/>
  <c r="B88" i="1"/>
  <c r="I86" i="1"/>
  <c r="G86" i="1"/>
  <c r="F86" i="1"/>
  <c r="E86" i="1"/>
  <c r="D86" i="1"/>
  <c r="C86" i="1"/>
  <c r="B86" i="1"/>
  <c r="I79" i="1"/>
  <c r="I80" i="1"/>
  <c r="H79" i="1"/>
  <c r="H80" i="1"/>
  <c r="G79" i="1"/>
  <c r="G80" i="1"/>
  <c r="F79" i="1"/>
  <c r="F80" i="1"/>
  <c r="E79" i="1"/>
  <c r="E80" i="1"/>
  <c r="C71" i="1"/>
  <c r="B71" i="1"/>
  <c r="C68" i="1"/>
  <c r="B68" i="1"/>
  <c r="C59" i="1"/>
  <c r="B53" i="1"/>
  <c r="B54" i="1"/>
  <c r="B59" i="1"/>
  <c r="C57" i="1"/>
  <c r="B57" i="1"/>
  <c r="I55" i="1"/>
  <c r="H55" i="1"/>
  <c r="G55" i="1"/>
  <c r="F55" i="1"/>
  <c r="E55" i="1"/>
  <c r="I48" i="1"/>
  <c r="I49" i="1"/>
  <c r="H48" i="1"/>
  <c r="H49" i="1"/>
  <c r="G48" i="1"/>
  <c r="G49" i="1"/>
  <c r="F48" i="1"/>
  <c r="F49" i="1"/>
  <c r="E48" i="1"/>
  <c r="E49" i="1"/>
  <c r="D48" i="1"/>
  <c r="D49" i="1"/>
  <c r="C25" i="1"/>
  <c r="D14" i="2"/>
  <c r="C14" i="2"/>
  <c r="D24" i="1"/>
  <c r="E24" i="1"/>
  <c r="F24" i="1"/>
  <c r="G24" i="1"/>
  <c r="H24" i="1"/>
  <c r="I24" i="1"/>
  <c r="C24" i="1"/>
  <c r="D13" i="2"/>
  <c r="C13" i="2"/>
  <c r="C9" i="2"/>
  <c r="D5" i="2"/>
  <c r="C5" i="2"/>
  <c r="C28" i="1"/>
  <c r="B24" i="1"/>
  <c r="B26" i="1"/>
  <c r="C26" i="1"/>
  <c r="G17" i="1"/>
  <c r="G18" i="1"/>
  <c r="H17" i="1"/>
  <c r="H18" i="1"/>
  <c r="I17" i="1"/>
  <c r="I18" i="1"/>
  <c r="C9" i="1"/>
  <c r="B9" i="1"/>
  <c r="C6" i="1"/>
  <c r="B6" i="1"/>
</calcChain>
</file>

<file path=xl/sharedStrings.xml><?xml version="1.0" encoding="utf-8"?>
<sst xmlns="http://schemas.openxmlformats.org/spreadsheetml/2006/main" count="145" uniqueCount="48">
  <si>
    <t>EBIT</t>
  </si>
  <si>
    <t>Taxes</t>
  </si>
  <si>
    <t>Change in working capital</t>
  </si>
  <si>
    <t>Capital expenditure</t>
  </si>
  <si>
    <t>Net sales</t>
  </si>
  <si>
    <t>EBITDA</t>
  </si>
  <si>
    <t>EBITDA €€€€</t>
  </si>
  <si>
    <t>EBITDA margin %%%</t>
  </si>
  <si>
    <t>Sales growth %</t>
  </si>
  <si>
    <t>Depriciation %</t>
  </si>
  <si>
    <t>Depriciation €€€</t>
  </si>
  <si>
    <t>Tax %%%</t>
  </si>
  <si>
    <t>Tax €€€</t>
  </si>
  <si>
    <t xml:space="preserve">Free cash flow % </t>
  </si>
  <si>
    <t>Free cash flow (pois lukien change in working capital ja capital expenditure)</t>
  </si>
  <si>
    <t>FREE CASH</t>
  </si>
  <si>
    <t>Change in working capital %%</t>
  </si>
  <si>
    <t>Capital expenditure %%</t>
  </si>
  <si>
    <t>Inventory</t>
  </si>
  <si>
    <t>% of net sales</t>
  </si>
  <si>
    <t>Change</t>
  </si>
  <si>
    <t>Receivables</t>
  </si>
  <si>
    <t>Short term debt</t>
  </si>
  <si>
    <t>Net change</t>
  </si>
  <si>
    <t>perpetuity</t>
  </si>
  <si>
    <t>Positive Case</t>
  </si>
  <si>
    <t>Negative Case</t>
  </si>
  <si>
    <t>Base Case</t>
  </si>
  <si>
    <t>total</t>
  </si>
  <si>
    <t>Base</t>
  </si>
  <si>
    <t>Positive</t>
  </si>
  <si>
    <t>Negative</t>
  </si>
  <si>
    <t>diskonttotekijä</t>
  </si>
  <si>
    <t>Wacc</t>
  </si>
  <si>
    <t>Total</t>
  </si>
  <si>
    <t>Total of 2016-2021</t>
  </si>
  <si>
    <t>Perpetuity</t>
  </si>
  <si>
    <t>Net debt</t>
  </si>
  <si>
    <t>Value of equuity</t>
  </si>
  <si>
    <t>Price per share</t>
  </si>
  <si>
    <t>Discounted Free Cash Flows</t>
  </si>
  <si>
    <t>Perpetuity Value</t>
  </si>
  <si>
    <t>Net Debt</t>
  </si>
  <si>
    <t>Market Value of Equity</t>
  </si>
  <si>
    <t>Pertutity Value of Gross Value</t>
  </si>
  <si>
    <t>Share Price</t>
  </si>
  <si>
    <t xml:space="preserve">Base Case WACC 7% </t>
  </si>
  <si>
    <t>Base Case WACC 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</si>
</sst>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2" formatCode="0.0\ %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7">
    <xf numFmtId="0" fontId="0" fillId="0" borderId="0" xfId="0"/>
    <xf numFmtId="1" fontId="0" fillId="0" borderId="0" xfId="0" applyNumberFormat="1"/>
    <xf numFmtId="0" fontId="2" fillId="0" borderId="0" xfId="0" applyFont="1"/>
    <xf numFmtId="10" fontId="0" fillId="0" borderId="0" xfId="1" applyNumberFormat="1" applyFont="1"/>
    <xf numFmtId="1" fontId="2" fillId="0" borderId="0" xfId="0" applyNumberFormat="1" applyFont="1"/>
    <xf numFmtId="0" fontId="2" fillId="0" borderId="0" xfId="0" applyFont="1" applyAlignment="1">
      <alignment horizontal="center"/>
    </xf>
    <xf numFmtId="2" fontId="0" fillId="0" borderId="0" xfId="0" applyNumberFormat="1"/>
    <xf numFmtId="9" fontId="0" fillId="0" borderId="0" xfId="1" applyFont="1"/>
    <xf numFmtId="172" fontId="0" fillId="0" borderId="0" xfId="1" applyNumberFormat="1" applyFont="1"/>
    <xf numFmtId="0" fontId="2" fillId="0" borderId="1" xfId="0" applyFont="1" applyBorder="1"/>
    <xf numFmtId="1" fontId="0" fillId="0" borderId="2" xfId="0" applyNumberFormat="1" applyBorder="1"/>
    <xf numFmtId="0" fontId="0" fillId="0" borderId="2" xfId="0" applyBorder="1"/>
    <xf numFmtId="9" fontId="0" fillId="0" borderId="2" xfId="1" applyFont="1" applyBorder="1"/>
    <xf numFmtId="0" fontId="2" fillId="0" borderId="3" xfId="0" applyFont="1" applyBorder="1"/>
    <xf numFmtId="2" fontId="0" fillId="0" borderId="4" xfId="0" applyNumberFormat="1" applyBorder="1"/>
    <xf numFmtId="0" fontId="0" fillId="0" borderId="5" xfId="0" applyBorder="1"/>
    <xf numFmtId="0" fontId="2" fillId="0" borderId="6" xfId="0" applyFont="1" applyBorder="1"/>
    <xf numFmtId="0" fontId="0" fillId="0" borderId="7" xfId="0" applyBorder="1"/>
    <xf numFmtId="1" fontId="0" fillId="0" borderId="1" xfId="0" applyNumberFormat="1" applyBorder="1"/>
    <xf numFmtId="0" fontId="0" fillId="0" borderId="1" xfId="0" applyBorder="1"/>
    <xf numFmtId="9" fontId="0" fillId="0" borderId="1" xfId="1" applyFont="1" applyBorder="1"/>
    <xf numFmtId="2" fontId="0" fillId="0" borderId="3" xfId="0" applyNumberFormat="1" applyBorder="1"/>
    <xf numFmtId="1" fontId="2" fillId="0" borderId="8" xfId="0" applyNumberFormat="1" applyFont="1" applyBorder="1"/>
    <xf numFmtId="1" fontId="2" fillId="0" borderId="9" xfId="0" applyNumberFormat="1" applyFont="1" applyBorder="1"/>
    <xf numFmtId="0" fontId="2" fillId="0" borderId="9" xfId="0" applyFont="1" applyBorder="1"/>
    <xf numFmtId="9" fontId="2" fillId="0" borderId="9" xfId="1" applyFont="1" applyBorder="1"/>
    <xf numFmtId="2" fontId="2" fillId="0" borderId="10" xfId="0" applyNumberFormat="1" applyFont="1" applyBorder="1"/>
  </cellXfs>
  <cellStyles count="2">
    <cellStyle name="Norm." xfId="0" builtinId="0"/>
    <cellStyle name="Prosenttia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Esitystaulukot!$H$22</c:f>
              <c:strCache>
                <c:ptCount val="1"/>
                <c:pt idx="0">
                  <c:v>Market Value of Equity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cat>
            <c:strRef>
              <c:f>Esitystaulukot!$I$21:$L$21</c:f>
              <c:strCache>
                <c:ptCount val="4"/>
                <c:pt idx="0">
                  <c:v>Positive Case</c:v>
                </c:pt>
                <c:pt idx="1">
                  <c:v>Base Case WACC 6%</c:v>
                </c:pt>
                <c:pt idx="2">
                  <c:v>Base Case WACC 7% </c:v>
                </c:pt>
                <c:pt idx="3">
                  <c:v>Negative Case</c:v>
                </c:pt>
              </c:strCache>
            </c:strRef>
          </c:cat>
          <c:val>
            <c:numRef>
              <c:f>Esitystaulukot!$I$22:$L$22</c:f>
              <c:numCache>
                <c:formatCode>0</c:formatCode>
                <c:ptCount val="4"/>
                <c:pt idx="0">
                  <c:v>1734.0</c:v>
                </c:pt>
                <c:pt idx="1">
                  <c:v>955.0</c:v>
                </c:pt>
                <c:pt idx="2">
                  <c:v>760.0</c:v>
                </c:pt>
                <c:pt idx="3">
                  <c:v>236.0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94022672"/>
        <c:axId val="1929723056"/>
      </c:barChart>
      <c:catAx>
        <c:axId val="1994022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929723056"/>
        <c:crosses val="autoZero"/>
        <c:auto val="1"/>
        <c:lblAlgn val="ctr"/>
        <c:lblOffset val="100"/>
        <c:noMultiLvlLbl val="0"/>
      </c:catAx>
      <c:valAx>
        <c:axId val="1929723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9940226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9</xdr:row>
      <xdr:rowOff>25400</xdr:rowOff>
    </xdr:from>
    <xdr:to>
      <xdr:col>5</xdr:col>
      <xdr:colOff>806450</xdr:colOff>
      <xdr:row>26</xdr:row>
      <xdr:rowOff>139700</xdr:rowOff>
    </xdr:to>
    <xdr:graphicFrame macro="">
      <xdr:nvGraphicFramePr>
        <xdr:cNvPr id="3" name="Kaavi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tabSelected="1" workbookViewId="0">
      <selection activeCell="L50" sqref="L50"/>
    </sheetView>
  </sheetViews>
  <sheetFormatPr baseColWidth="10" defaultRowHeight="16" x14ac:dyDescent="0.2"/>
  <cols>
    <col min="1" max="1" width="37.83203125" bestFit="1" customWidth="1"/>
    <col min="2" max="2" width="37.83203125" customWidth="1"/>
    <col min="3" max="3" width="11.6640625" bestFit="1" customWidth="1"/>
    <col min="4" max="4" width="22.33203125" bestFit="1" customWidth="1"/>
    <col min="5" max="9" width="12.6640625" bestFit="1" customWidth="1"/>
    <col min="11" max="11" width="24" customWidth="1"/>
    <col min="12" max="12" width="13.6640625" customWidth="1"/>
    <col min="15" max="15" width="14.83203125" customWidth="1"/>
    <col min="16" max="16" width="15" customWidth="1"/>
    <col min="17" max="17" width="20.33203125" customWidth="1"/>
  </cols>
  <sheetData>
    <row r="1" spans="1:10" x14ac:dyDescent="0.2">
      <c r="B1" s="5" t="s">
        <v>27</v>
      </c>
      <c r="C1" s="5"/>
      <c r="D1" s="5"/>
    </row>
    <row r="3" spans="1:10" x14ac:dyDescent="0.2">
      <c r="B3" s="2">
        <v>2014</v>
      </c>
      <c r="C3" s="2">
        <v>2015</v>
      </c>
      <c r="D3" s="2">
        <v>2016</v>
      </c>
      <c r="E3" s="2">
        <v>2017</v>
      </c>
      <c r="F3" s="2">
        <v>2018</v>
      </c>
      <c r="G3" s="2">
        <v>2019</v>
      </c>
      <c r="H3" s="2">
        <v>2020</v>
      </c>
      <c r="I3" s="2">
        <v>2021</v>
      </c>
      <c r="J3" s="2" t="s">
        <v>24</v>
      </c>
    </row>
    <row r="4" spans="1:10" x14ac:dyDescent="0.2">
      <c r="A4" t="s">
        <v>4</v>
      </c>
      <c r="B4">
        <v>390831</v>
      </c>
      <c r="C4">
        <v>461928</v>
      </c>
      <c r="D4" s="1">
        <f>C4*D5</f>
        <v>508120.80000000005</v>
      </c>
      <c r="E4" s="1">
        <f t="shared" ref="E4:G4" si="0">D4*E5</f>
        <v>548770.46400000004</v>
      </c>
      <c r="F4" s="1">
        <f t="shared" si="0"/>
        <v>587184.39648000011</v>
      </c>
      <c r="G4" s="1">
        <f t="shared" si="0"/>
        <v>622415.46026880015</v>
      </c>
      <c r="H4" s="1">
        <f>G4*H5</f>
        <v>653536.23328224022</v>
      </c>
      <c r="I4" s="1">
        <f>H4*I5</f>
        <v>679677.68261352985</v>
      </c>
      <c r="J4" s="8">
        <v>0.02</v>
      </c>
    </row>
    <row r="5" spans="1:10" x14ac:dyDescent="0.2">
      <c r="A5" t="s">
        <v>8</v>
      </c>
      <c r="C5" s="6">
        <f>C4/B4</f>
        <v>1.1819123866837584</v>
      </c>
      <c r="D5">
        <v>1.1000000000000001</v>
      </c>
      <c r="E5">
        <v>1.08</v>
      </c>
      <c r="F5">
        <v>1.07</v>
      </c>
      <c r="G5">
        <v>1.06</v>
      </c>
      <c r="H5">
        <v>1.05</v>
      </c>
      <c r="I5">
        <v>1.04</v>
      </c>
    </row>
    <row r="6" spans="1:10" x14ac:dyDescent="0.2">
      <c r="A6" t="s">
        <v>7</v>
      </c>
      <c r="B6" s="3">
        <f>B7/B4</f>
        <v>0.12707794417535967</v>
      </c>
      <c r="C6" s="3">
        <f>C7/C4</f>
        <v>0.14261313451446977</v>
      </c>
      <c r="D6" s="3">
        <v>0.14000000000000001</v>
      </c>
      <c r="E6" s="3">
        <v>0.14000000000000001</v>
      </c>
      <c r="F6" s="3">
        <v>0.14000000000000001</v>
      </c>
      <c r="G6" s="3">
        <v>0.14000000000000001</v>
      </c>
      <c r="H6" s="3">
        <v>0.14000000000000001</v>
      </c>
      <c r="I6" s="3">
        <v>0.14000000000000001</v>
      </c>
    </row>
    <row r="7" spans="1:10" x14ac:dyDescent="0.2">
      <c r="A7" t="s">
        <v>6</v>
      </c>
      <c r="B7">
        <v>49666</v>
      </c>
      <c r="C7" s="1">
        <v>65877</v>
      </c>
      <c r="D7" s="1">
        <f>D4*D6</f>
        <v>71136.912000000011</v>
      </c>
      <c r="E7" s="1">
        <f t="shared" ref="E7:I7" si="1">E4*E6</f>
        <v>76827.864960000006</v>
      </c>
      <c r="F7" s="1">
        <f t="shared" si="1"/>
        <v>82205.815507200023</v>
      </c>
      <c r="G7" s="1">
        <f t="shared" si="1"/>
        <v>87138.164437632033</v>
      </c>
      <c r="H7" s="1">
        <f t="shared" si="1"/>
        <v>91495.072659513637</v>
      </c>
      <c r="I7" s="1">
        <f t="shared" si="1"/>
        <v>95154.875565894181</v>
      </c>
    </row>
    <row r="8" spans="1:10" x14ac:dyDescent="0.2">
      <c r="C8" s="1"/>
      <c r="J8" s="1"/>
    </row>
    <row r="9" spans="1:10" x14ac:dyDescent="0.2">
      <c r="A9" t="s">
        <v>9</v>
      </c>
      <c r="B9" s="3">
        <f>B10/B4</f>
        <v>2.0371976634402083E-2</v>
      </c>
      <c r="C9" s="3">
        <f>C10/C4</f>
        <v>2.1410263071301155E-2</v>
      </c>
      <c r="D9" s="3">
        <f>0.025</f>
        <v>2.5000000000000001E-2</v>
      </c>
      <c r="E9" s="3">
        <f>0.024</f>
        <v>2.4E-2</v>
      </c>
      <c r="F9" s="3">
        <f>0.023</f>
        <v>2.3E-2</v>
      </c>
      <c r="G9" s="3">
        <f>0.022</f>
        <v>2.1999999999999999E-2</v>
      </c>
      <c r="H9" s="3">
        <f>0.021</f>
        <v>2.1000000000000001E-2</v>
      </c>
      <c r="I9" s="3">
        <f>0.02</f>
        <v>0.02</v>
      </c>
    </row>
    <row r="10" spans="1:10" x14ac:dyDescent="0.2">
      <c r="A10" t="s">
        <v>10</v>
      </c>
      <c r="B10">
        <v>7962</v>
      </c>
      <c r="C10" s="1">
        <v>9890</v>
      </c>
      <c r="D10" s="1">
        <f>D9*D4</f>
        <v>12703.020000000002</v>
      </c>
      <c r="E10" s="1">
        <f t="shared" ref="E10:I10" si="2">E9*E4</f>
        <v>13170.491136000001</v>
      </c>
      <c r="F10" s="1">
        <f t="shared" si="2"/>
        <v>13505.241119040002</v>
      </c>
      <c r="G10" s="1">
        <f t="shared" si="2"/>
        <v>13693.140125913602</v>
      </c>
      <c r="H10" s="1">
        <f t="shared" si="2"/>
        <v>13724.260898927045</v>
      </c>
      <c r="I10" s="1">
        <f t="shared" si="2"/>
        <v>13593.553652270597</v>
      </c>
    </row>
    <row r="11" spans="1:10" x14ac:dyDescent="0.2">
      <c r="C11" s="1"/>
    </row>
    <row r="12" spans="1:10" x14ac:dyDescent="0.2">
      <c r="A12" t="s">
        <v>0</v>
      </c>
      <c r="C12" s="1"/>
      <c r="D12" s="1">
        <f>D7-D10</f>
        <v>58433.892000000007</v>
      </c>
      <c r="E12" s="1">
        <f t="shared" ref="E12:H12" si="3">E7-E10</f>
        <v>63657.373824000009</v>
      </c>
      <c r="F12" s="1">
        <f t="shared" si="3"/>
        <v>68700.574388160021</v>
      </c>
      <c r="G12" s="1">
        <f t="shared" si="3"/>
        <v>73445.024311718429</v>
      </c>
      <c r="H12" s="1">
        <f t="shared" si="3"/>
        <v>77770.811760586599</v>
      </c>
      <c r="I12" s="1">
        <f>I7-I10</f>
        <v>81561.321913623586</v>
      </c>
    </row>
    <row r="13" spans="1:10" x14ac:dyDescent="0.2">
      <c r="C13" s="1"/>
    </row>
    <row r="14" spans="1:10" x14ac:dyDescent="0.2">
      <c r="A14" t="s">
        <v>11</v>
      </c>
      <c r="B14" s="3">
        <v>0.2</v>
      </c>
      <c r="C14" s="3">
        <v>0.2</v>
      </c>
      <c r="D14" s="3">
        <v>0.2</v>
      </c>
      <c r="E14" s="3">
        <v>0.2</v>
      </c>
      <c r="F14" s="3">
        <v>0.2</v>
      </c>
      <c r="G14" s="3">
        <v>0.2</v>
      </c>
      <c r="H14" s="3">
        <v>0.2</v>
      </c>
      <c r="I14" s="3">
        <v>0.2</v>
      </c>
    </row>
    <row r="15" spans="1:10" x14ac:dyDescent="0.2">
      <c r="A15" t="s">
        <v>12</v>
      </c>
      <c r="B15">
        <v>8164</v>
      </c>
      <c r="C15" s="1">
        <v>9105</v>
      </c>
      <c r="D15" s="1">
        <f>D12*D14</f>
        <v>11686.778400000003</v>
      </c>
      <c r="E15" s="1">
        <f t="shared" ref="E15:I15" si="4">E12*E14</f>
        <v>12731.474764800003</v>
      </c>
      <c r="F15" s="1">
        <f t="shared" si="4"/>
        <v>13740.114877632004</v>
      </c>
      <c r="G15" s="1">
        <f t="shared" si="4"/>
        <v>14689.004862343687</v>
      </c>
      <c r="H15" s="1">
        <f t="shared" si="4"/>
        <v>15554.162352117321</v>
      </c>
      <c r="I15" s="1">
        <f t="shared" si="4"/>
        <v>16312.264382724718</v>
      </c>
    </row>
    <row r="16" spans="1:10" x14ac:dyDescent="0.2">
      <c r="C16" s="1"/>
    </row>
    <row r="17" spans="1:17" x14ac:dyDescent="0.2">
      <c r="A17" t="s">
        <v>14</v>
      </c>
      <c r="C17" s="1"/>
      <c r="D17" s="1">
        <f>D7-D15</f>
        <v>59450.133600000008</v>
      </c>
      <c r="E17" s="1">
        <f t="shared" ref="E17:I17" si="5">E7-E15</f>
        <v>64096.390195200001</v>
      </c>
      <c r="F17" s="1">
        <f t="shared" si="5"/>
        <v>68465.700629568018</v>
      </c>
      <c r="G17" s="1">
        <f t="shared" si="5"/>
        <v>72449.159575288344</v>
      </c>
      <c r="H17" s="1">
        <f t="shared" si="5"/>
        <v>75940.91030739632</v>
      </c>
      <c r="I17" s="1">
        <f t="shared" si="5"/>
        <v>78842.611183169458</v>
      </c>
    </row>
    <row r="18" spans="1:17" x14ac:dyDescent="0.2">
      <c r="A18" t="s">
        <v>13</v>
      </c>
      <c r="C18" s="1"/>
      <c r="D18" s="3">
        <f>D17/D4</f>
        <v>0.11700000000000001</v>
      </c>
      <c r="E18" s="3">
        <f>E17/E4</f>
        <v>0.1168</v>
      </c>
      <c r="F18" s="3">
        <f>F17/F4</f>
        <v>0.11660000000000001</v>
      </c>
      <c r="G18" s="3">
        <f t="shared" ref="G18:I18" si="6">G17/G4</f>
        <v>0.11640000000000002</v>
      </c>
      <c r="H18" s="3">
        <f t="shared" si="6"/>
        <v>0.11620000000000001</v>
      </c>
      <c r="I18" s="3">
        <f t="shared" si="6"/>
        <v>0.11599999999999999</v>
      </c>
    </row>
    <row r="19" spans="1:17" x14ac:dyDescent="0.2">
      <c r="C19" s="1"/>
    </row>
    <row r="20" spans="1:17" x14ac:dyDescent="0.2">
      <c r="C20" s="1"/>
    </row>
    <row r="21" spans="1:17" x14ac:dyDescent="0.2">
      <c r="B21" s="2">
        <v>2014</v>
      </c>
      <c r="C21" s="2">
        <v>2015</v>
      </c>
      <c r="D21" s="2">
        <v>2016</v>
      </c>
      <c r="E21" s="2">
        <v>2017</v>
      </c>
      <c r="F21" s="2">
        <v>2018</v>
      </c>
      <c r="G21" s="2">
        <v>2019</v>
      </c>
      <c r="H21" s="2">
        <v>2020</v>
      </c>
      <c r="I21" s="2">
        <v>2021</v>
      </c>
    </row>
    <row r="22" spans="1:17" x14ac:dyDescent="0.2">
      <c r="A22" t="s">
        <v>5</v>
      </c>
      <c r="B22">
        <f>B7</f>
        <v>49666</v>
      </c>
      <c r="C22">
        <v>65877</v>
      </c>
      <c r="D22" s="1">
        <f>D7</f>
        <v>71136.912000000011</v>
      </c>
      <c r="E22" s="1">
        <f t="shared" ref="E22:I22" si="7">E7</f>
        <v>76827.864960000006</v>
      </c>
      <c r="F22" s="1">
        <f>F7</f>
        <v>82205.815507200023</v>
      </c>
      <c r="G22" s="1">
        <f t="shared" si="7"/>
        <v>87138.164437632033</v>
      </c>
      <c r="H22" s="1">
        <f t="shared" si="7"/>
        <v>91495.072659513637</v>
      </c>
      <c r="I22" s="1">
        <f t="shared" si="7"/>
        <v>95154.875565894181</v>
      </c>
    </row>
    <row r="23" spans="1:17" x14ac:dyDescent="0.2">
      <c r="A23" t="s">
        <v>1</v>
      </c>
      <c r="B23">
        <f>B15</f>
        <v>8164</v>
      </c>
      <c r="C23">
        <v>9105</v>
      </c>
      <c r="D23" s="1">
        <f>D15</f>
        <v>11686.778400000003</v>
      </c>
      <c r="E23" s="1">
        <f t="shared" ref="E23:H23" si="8">E15</f>
        <v>12731.474764800003</v>
      </c>
      <c r="F23" s="1">
        <f t="shared" si="8"/>
        <v>13740.114877632004</v>
      </c>
      <c r="G23" s="1">
        <f t="shared" si="8"/>
        <v>14689.004862343687</v>
      </c>
      <c r="H23" s="1">
        <f t="shared" si="8"/>
        <v>15554.162352117321</v>
      </c>
      <c r="I23" s="1">
        <f>I15</f>
        <v>16312.264382724718</v>
      </c>
    </row>
    <row r="24" spans="1:17" x14ac:dyDescent="0.2">
      <c r="A24" t="s">
        <v>16</v>
      </c>
      <c r="B24" s="3">
        <f>B25/B4</f>
        <v>3.884031717033705E-3</v>
      </c>
      <c r="C24" s="3">
        <f>C25/C4</f>
        <v>1.5420152058329436E-2</v>
      </c>
      <c r="D24" s="3">
        <f t="shared" ref="D24:I24" si="9">D25/D4</f>
        <v>7.2570853230176802E-3</v>
      </c>
      <c r="E24" s="3">
        <f t="shared" si="9"/>
        <v>2.0370370370370247E-3</v>
      </c>
      <c r="F24" s="3">
        <f t="shared" si="9"/>
        <v>-4.1121495327102681E-3</v>
      </c>
      <c r="G24" s="3">
        <f t="shared" si="9"/>
        <v>-5.4716981132075238E-3</v>
      </c>
      <c r="H24" s="3">
        <f t="shared" si="9"/>
        <v>3.3333333333333795E-3</v>
      </c>
      <c r="I24" s="3">
        <f t="shared" si="9"/>
        <v>2.6923076923076918E-3</v>
      </c>
    </row>
    <row r="25" spans="1:17" x14ac:dyDescent="0.2">
      <c r="A25" t="s">
        <v>2</v>
      </c>
      <c r="B25" s="1">
        <f>'Working capital'!C16</f>
        <v>1518</v>
      </c>
      <c r="C25" s="1">
        <f>'Working capital'!D16</f>
        <v>7123</v>
      </c>
      <c r="D25" s="1">
        <f>'Working capital'!E16</f>
        <v>3687.4760000000024</v>
      </c>
      <c r="E25" s="1">
        <f>'Working capital'!F16</f>
        <v>1117.8657599999933</v>
      </c>
      <c r="F25" s="1">
        <f>'Working capital'!G16</f>
        <v>-2414.5900415999931</v>
      </c>
      <c r="G25" s="1">
        <f>'Working capital'!H16</f>
        <v>-3405.6694995839862</v>
      </c>
      <c r="H25" s="1">
        <f>'Working capital'!I16</f>
        <v>2178.454110940831</v>
      </c>
      <c r="I25" s="1">
        <f>'Working capital'!J16</f>
        <v>1829.9014531902722</v>
      </c>
      <c r="J25" s="1"/>
      <c r="K25" s="1"/>
      <c r="L25">
        <v>1</v>
      </c>
      <c r="M25">
        <v>2</v>
      </c>
      <c r="N25">
        <v>3</v>
      </c>
      <c r="O25">
        <v>4</v>
      </c>
      <c r="P25">
        <v>5</v>
      </c>
      <c r="Q25" t="s">
        <v>24</v>
      </c>
    </row>
    <row r="26" spans="1:17" x14ac:dyDescent="0.2">
      <c r="A26" t="s">
        <v>17</v>
      </c>
      <c r="B26" s="3">
        <f>B27/B4</f>
        <v>4.8632273284360761E-2</v>
      </c>
      <c r="C26" s="3">
        <f>C27/C4</f>
        <v>5.2317677213764915E-2</v>
      </c>
      <c r="D26" s="3">
        <v>5.1999999999999998E-2</v>
      </c>
      <c r="E26" s="3">
        <v>5.0999999999999997E-2</v>
      </c>
      <c r="F26" s="3">
        <v>0.05</v>
      </c>
      <c r="G26" s="3">
        <v>4.9000000000000002E-2</v>
      </c>
      <c r="H26" s="3">
        <v>4.8000000000000001E-2</v>
      </c>
      <c r="I26" s="3">
        <v>4.7E-2</v>
      </c>
      <c r="K26" t="s">
        <v>33</v>
      </c>
      <c r="L26" s="3">
        <v>0.06</v>
      </c>
      <c r="M26" s="3">
        <v>0.06</v>
      </c>
      <c r="N26" s="3">
        <v>0.06</v>
      </c>
      <c r="O26" s="3">
        <v>0.06</v>
      </c>
      <c r="P26" s="3">
        <v>0.06</v>
      </c>
      <c r="Q26" s="3">
        <v>0.06</v>
      </c>
    </row>
    <row r="27" spans="1:17" x14ac:dyDescent="0.2">
      <c r="A27" t="s">
        <v>3</v>
      </c>
      <c r="B27">
        <v>19007</v>
      </c>
      <c r="C27">
        <v>24167</v>
      </c>
      <c r="D27" s="1">
        <f>D26*D4</f>
        <v>26422.281600000002</v>
      </c>
      <c r="E27" s="1">
        <f t="shared" ref="E27:I27" si="10">E26*E4</f>
        <v>27987.293664000001</v>
      </c>
      <c r="F27" s="1">
        <f t="shared" si="10"/>
        <v>29359.219824000007</v>
      </c>
      <c r="G27" s="1">
        <f t="shared" si="10"/>
        <v>30498.357553171209</v>
      </c>
      <c r="H27" s="1">
        <f t="shared" si="10"/>
        <v>31369.739197547533</v>
      </c>
      <c r="I27" s="1">
        <f t="shared" si="10"/>
        <v>31944.851082835903</v>
      </c>
      <c r="K27" t="s">
        <v>32</v>
      </c>
      <c r="L27">
        <f>(L26+1)^L25</f>
        <v>1.06</v>
      </c>
      <c r="M27">
        <f>(M26+1)^M25</f>
        <v>1.1236000000000002</v>
      </c>
      <c r="N27">
        <f>(N26+1)^N25</f>
        <v>1.1910160000000003</v>
      </c>
      <c r="O27">
        <f>(O26+1)^O25</f>
        <v>1.2624769600000003</v>
      </c>
      <c r="P27">
        <f>(P26+1)^P25</f>
        <v>1.3382255776000005</v>
      </c>
    </row>
    <row r="28" spans="1:17" x14ac:dyDescent="0.2">
      <c r="A28" s="2" t="s">
        <v>15</v>
      </c>
      <c r="B28" s="4">
        <f>B22-B23-B25-B27</f>
        <v>20977</v>
      </c>
      <c r="C28" s="4">
        <f>C22-C23-C25-C27</f>
        <v>25482</v>
      </c>
      <c r="D28" s="4">
        <f>D22-D23-D25-D27</f>
        <v>29340.376000000004</v>
      </c>
      <c r="E28" s="4">
        <f t="shared" ref="E28:I28" si="11">E22-E23-E25-E27</f>
        <v>34991.230771200004</v>
      </c>
      <c r="F28" s="4">
        <f>F22-F23-F25-F27</f>
        <v>41521.070847168005</v>
      </c>
      <c r="G28" s="4">
        <f t="shared" si="11"/>
        <v>45356.471521701125</v>
      </c>
      <c r="H28" s="4">
        <f t="shared" si="11"/>
        <v>42392.716998907956</v>
      </c>
      <c r="I28" s="4">
        <f t="shared" si="11"/>
        <v>45067.858647143294</v>
      </c>
      <c r="K28" t="s">
        <v>33</v>
      </c>
      <c r="L28" s="7">
        <v>7.0000000000000007E-2</v>
      </c>
      <c r="M28" s="7">
        <v>7.0000000000000007E-2</v>
      </c>
      <c r="N28" s="7">
        <v>7.0000000000000007E-2</v>
      </c>
      <c r="O28" s="7">
        <v>7.0000000000000007E-2</v>
      </c>
      <c r="P28" s="7">
        <v>7.0000000000000007E-2</v>
      </c>
      <c r="Q28" s="7">
        <v>7.0000000000000007E-2</v>
      </c>
    </row>
    <row r="29" spans="1:17" x14ac:dyDescent="0.2">
      <c r="H29" t="s">
        <v>28</v>
      </c>
      <c r="I29" s="1">
        <f>SUM(D28:I28)</f>
        <v>238669.72478612041</v>
      </c>
      <c r="L29">
        <f>(1+L28)^L25</f>
        <v>1.07</v>
      </c>
      <c r="M29">
        <f t="shared" ref="M29:Q29" si="12">(1+M28)^M25</f>
        <v>1.1449</v>
      </c>
      <c r="N29">
        <f t="shared" si="12"/>
        <v>1.2250430000000001</v>
      </c>
      <c r="O29">
        <f t="shared" si="12"/>
        <v>1.31079601</v>
      </c>
      <c r="P29">
        <f t="shared" si="12"/>
        <v>1.4025517307000002</v>
      </c>
    </row>
    <row r="32" spans="1:17" x14ac:dyDescent="0.2">
      <c r="B32" s="5" t="s">
        <v>25</v>
      </c>
      <c r="C32" s="5"/>
      <c r="D32" s="5"/>
    </row>
    <row r="34" spans="1:17" x14ac:dyDescent="0.2">
      <c r="B34" s="2">
        <v>2014</v>
      </c>
      <c r="C34" s="2">
        <v>2015</v>
      </c>
      <c r="D34" s="2">
        <v>2016</v>
      </c>
      <c r="E34" s="2">
        <v>2017</v>
      </c>
      <c r="F34" s="2">
        <v>2018</v>
      </c>
      <c r="G34" s="2">
        <v>2019</v>
      </c>
      <c r="H34" s="2">
        <v>2020</v>
      </c>
      <c r="I34" s="2">
        <v>2021</v>
      </c>
      <c r="J34" s="2" t="s">
        <v>24</v>
      </c>
      <c r="K34" s="1">
        <f>D28</f>
        <v>29340.376000000004</v>
      </c>
      <c r="L34">
        <f>E28/L27</f>
        <v>33010.595067169816</v>
      </c>
      <c r="M34">
        <f>F28/M27</f>
        <v>36953.605239558558</v>
      </c>
      <c r="N34">
        <f>G28/N27</f>
        <v>38082.168099925708</v>
      </c>
      <c r="O34">
        <f>H28/O27</f>
        <v>33579.002502277704</v>
      </c>
      <c r="P34">
        <f>I28/P27</f>
        <v>33677.325707650023</v>
      </c>
      <c r="Q34" s="1">
        <f>I28/(Q26-J4)/P27</f>
        <v>841933.14269125066</v>
      </c>
    </row>
    <row r="35" spans="1:17" x14ac:dyDescent="0.2">
      <c r="A35" t="s">
        <v>4</v>
      </c>
      <c r="B35">
        <v>390831</v>
      </c>
      <c r="C35">
        <v>461928</v>
      </c>
      <c r="D35" s="1">
        <f>C35*D36</f>
        <v>531217.19999999995</v>
      </c>
      <c r="E35" s="1">
        <f t="shared" ref="E35" si="13">D35*E36</f>
        <v>621524.12399999995</v>
      </c>
      <c r="F35" s="1">
        <f t="shared" ref="F35" si="14">E35*F36</f>
        <v>733398.46631999989</v>
      </c>
      <c r="G35" s="1">
        <f t="shared" ref="G35" si="15">F35*G36</f>
        <v>865410.19025759981</v>
      </c>
      <c r="H35" s="1">
        <f>G35*H36</f>
        <v>1012529.9226013917</v>
      </c>
      <c r="I35" s="1">
        <f>H35*I36</f>
        <v>1174534.7102176142</v>
      </c>
      <c r="J35" s="7">
        <v>0.02</v>
      </c>
      <c r="K35" t="s">
        <v>35</v>
      </c>
      <c r="L35" s="1">
        <f>SUM(K34:P34)</f>
        <v>204643.07261658181</v>
      </c>
      <c r="Q35" s="1"/>
    </row>
    <row r="36" spans="1:17" x14ac:dyDescent="0.2">
      <c r="A36" t="s">
        <v>8</v>
      </c>
      <c r="D36">
        <v>1.1499999999999999</v>
      </c>
      <c r="E36">
        <v>1.17</v>
      </c>
      <c r="F36">
        <v>1.18</v>
      </c>
      <c r="G36">
        <v>1.18</v>
      </c>
      <c r="H36">
        <v>1.17</v>
      </c>
      <c r="I36">
        <v>1.1599999999999999</v>
      </c>
      <c r="K36" t="s">
        <v>36</v>
      </c>
      <c r="L36" s="1">
        <f>Q34</f>
        <v>841933.14269125066</v>
      </c>
    </row>
    <row r="37" spans="1:17" x14ac:dyDescent="0.2">
      <c r="A37" t="s">
        <v>7</v>
      </c>
      <c r="B37" s="3">
        <f>B38/B35</f>
        <v>0.12707794417535967</v>
      </c>
      <c r="C37" s="3">
        <f>C38/C35</f>
        <v>0.14261313451446977</v>
      </c>
      <c r="D37" s="3">
        <v>0.15</v>
      </c>
      <c r="E37" s="3">
        <v>0.15</v>
      </c>
      <c r="F37" s="3">
        <v>0.16</v>
      </c>
      <c r="G37" s="3">
        <v>0.17</v>
      </c>
      <c r="H37" s="3">
        <v>0.17</v>
      </c>
      <c r="I37" s="3">
        <v>0.17</v>
      </c>
      <c r="K37" s="2" t="s">
        <v>34</v>
      </c>
      <c r="L37" s="4">
        <f>L35+L36</f>
        <v>1046576.2153078325</v>
      </c>
    </row>
    <row r="38" spans="1:17" x14ac:dyDescent="0.2">
      <c r="A38" t="s">
        <v>6</v>
      </c>
      <c r="B38">
        <v>49666</v>
      </c>
      <c r="C38" s="1">
        <v>65877</v>
      </c>
      <c r="D38" s="1">
        <f>D35*D37</f>
        <v>79682.579999999987</v>
      </c>
      <c r="E38" s="1">
        <f t="shared" ref="E38:I38" si="16">E35*E37</f>
        <v>93228.618599999987</v>
      </c>
      <c r="F38" s="1">
        <f t="shared" si="16"/>
        <v>117343.75461119998</v>
      </c>
      <c r="G38" s="1">
        <f t="shared" si="16"/>
        <v>147119.73234379198</v>
      </c>
      <c r="H38" s="1">
        <f t="shared" si="16"/>
        <v>172130.0868422366</v>
      </c>
      <c r="I38" s="1">
        <f t="shared" si="16"/>
        <v>199670.90073699443</v>
      </c>
      <c r="K38" t="s">
        <v>37</v>
      </c>
      <c r="L38">
        <f>49228+105028-18380-8867-517-34868</f>
        <v>91624</v>
      </c>
    </row>
    <row r="39" spans="1:17" x14ac:dyDescent="0.2">
      <c r="C39" s="1"/>
      <c r="K39" s="2" t="s">
        <v>38</v>
      </c>
      <c r="L39" s="4">
        <f>L37-L38</f>
        <v>954952.21530783246</v>
      </c>
    </row>
    <row r="40" spans="1:17" x14ac:dyDescent="0.2">
      <c r="A40" t="s">
        <v>9</v>
      </c>
      <c r="B40" s="3">
        <f>B41/B35</f>
        <v>2.0371976634402083E-2</v>
      </c>
      <c r="C40" s="3">
        <f>C41/C35</f>
        <v>2.1410263071301155E-2</v>
      </c>
      <c r="D40" s="3">
        <f>0.025</f>
        <v>2.5000000000000001E-2</v>
      </c>
      <c r="E40" s="3">
        <f>0.024</f>
        <v>2.4E-2</v>
      </c>
      <c r="F40" s="3">
        <f>0.023</f>
        <v>2.3E-2</v>
      </c>
      <c r="G40" s="3">
        <f>0.022</f>
        <v>2.1999999999999999E-2</v>
      </c>
      <c r="H40" s="3">
        <f>0.021</f>
        <v>2.1000000000000001E-2</v>
      </c>
      <c r="I40" s="3">
        <f>0.02</f>
        <v>0.02</v>
      </c>
      <c r="K40" t="s">
        <v>39</v>
      </c>
      <c r="L40" s="6">
        <f>L39/28000</f>
        <v>34.105436260994018</v>
      </c>
    </row>
    <row r="41" spans="1:17" x14ac:dyDescent="0.2">
      <c r="A41" t="s">
        <v>10</v>
      </c>
      <c r="B41">
        <v>7962</v>
      </c>
      <c r="C41" s="1">
        <v>9890</v>
      </c>
      <c r="D41" s="1">
        <f>D40*D35</f>
        <v>13280.43</v>
      </c>
      <c r="E41" s="1">
        <f>E40*E35</f>
        <v>14916.578975999999</v>
      </c>
      <c r="F41" s="1">
        <f>F40*F35</f>
        <v>16868.164725359999</v>
      </c>
      <c r="G41" s="1">
        <f>G40*G35</f>
        <v>19039.024185667196</v>
      </c>
      <c r="H41" s="1">
        <f>H40*H35</f>
        <v>21263.128374629228</v>
      </c>
      <c r="I41" s="1">
        <f t="shared" ref="I41" si="17">I40*I35</f>
        <v>23490.694204352283</v>
      </c>
    </row>
    <row r="42" spans="1:17" x14ac:dyDescent="0.2">
      <c r="C42" s="1"/>
    </row>
    <row r="43" spans="1:17" x14ac:dyDescent="0.2">
      <c r="A43" t="s">
        <v>0</v>
      </c>
      <c r="C43" s="1"/>
      <c r="D43" s="1">
        <f>D38-D41</f>
        <v>66402.149999999994</v>
      </c>
      <c r="E43" s="1">
        <f>E38-E41</f>
        <v>78312.039623999983</v>
      </c>
      <c r="F43" s="1">
        <f>F38-F41</f>
        <v>100475.58988583999</v>
      </c>
      <c r="G43" s="1">
        <f>G38-G41</f>
        <v>128080.70815812479</v>
      </c>
      <c r="H43" s="1">
        <f t="shared" ref="H43:I43" si="18">H38-H41</f>
        <v>150866.95846760739</v>
      </c>
      <c r="I43" s="1">
        <f t="shared" si="18"/>
        <v>176180.20653264216</v>
      </c>
      <c r="K43">
        <v>29340</v>
      </c>
      <c r="L43">
        <f>E28/L29</f>
        <v>32702.084832897199</v>
      </c>
      <c r="M43">
        <f t="shared" ref="M43:P43" si="19">F28/M29</f>
        <v>36266.111317292343</v>
      </c>
      <c r="N43">
        <f t="shared" si="19"/>
        <v>37024.391406425013</v>
      </c>
      <c r="O43">
        <f t="shared" si="19"/>
        <v>32341.200824152613</v>
      </c>
      <c r="P43">
        <f t="shared" si="19"/>
        <v>32132.760354336704</v>
      </c>
      <c r="Q43">
        <f>I28/(Q28-J4)/P29</f>
        <v>642655.20708673401</v>
      </c>
    </row>
    <row r="44" spans="1:17" x14ac:dyDescent="0.2">
      <c r="C44" s="1"/>
      <c r="K44" t="s">
        <v>35</v>
      </c>
      <c r="L44">
        <f>SUM(K43:P43)</f>
        <v>199806.54873510386</v>
      </c>
    </row>
    <row r="45" spans="1:17" x14ac:dyDescent="0.2">
      <c r="A45" t="s">
        <v>11</v>
      </c>
      <c r="B45" s="3">
        <v>0.2</v>
      </c>
      <c r="C45" s="3">
        <v>0.2</v>
      </c>
      <c r="D45" s="3">
        <v>0.2</v>
      </c>
      <c r="E45" s="3">
        <v>0.2</v>
      </c>
      <c r="F45" s="3">
        <v>0.2</v>
      </c>
      <c r="G45" s="3">
        <v>0.2</v>
      </c>
      <c r="H45" s="3">
        <v>0.2</v>
      </c>
      <c r="I45" s="3">
        <v>0.2</v>
      </c>
      <c r="K45" t="s">
        <v>36</v>
      </c>
      <c r="L45">
        <f>Q43</f>
        <v>642655.20708673401</v>
      </c>
    </row>
    <row r="46" spans="1:17" x14ac:dyDescent="0.2">
      <c r="A46" t="s">
        <v>12</v>
      </c>
      <c r="B46">
        <v>8164</v>
      </c>
      <c r="C46" s="1">
        <v>9105</v>
      </c>
      <c r="D46" s="1">
        <f>D43*D45</f>
        <v>13280.43</v>
      </c>
      <c r="E46" s="1">
        <f>E43*E45</f>
        <v>15662.407924799998</v>
      </c>
      <c r="F46" s="1">
        <f>F43*F45</f>
        <v>20095.117977168</v>
      </c>
      <c r="G46" s="1">
        <f t="shared" ref="E46:I46" si="20">G43*G45</f>
        <v>25616.14163162496</v>
      </c>
      <c r="H46" s="1">
        <f t="shared" si="20"/>
        <v>30173.39169352148</v>
      </c>
      <c r="I46" s="1">
        <f t="shared" si="20"/>
        <v>35236.04130652843</v>
      </c>
      <c r="K46" s="2" t="s">
        <v>34</v>
      </c>
      <c r="L46">
        <f>L44+L45</f>
        <v>842461.75582183781</v>
      </c>
    </row>
    <row r="47" spans="1:17" x14ac:dyDescent="0.2">
      <c r="C47" s="1"/>
      <c r="K47" t="s">
        <v>37</v>
      </c>
      <c r="L47">
        <v>91624</v>
      </c>
    </row>
    <row r="48" spans="1:17" x14ac:dyDescent="0.2">
      <c r="A48" t="s">
        <v>14</v>
      </c>
      <c r="C48" s="1"/>
      <c r="D48" s="1">
        <f>D38-D46</f>
        <v>66402.149999999994</v>
      </c>
      <c r="E48" s="1">
        <f>E38-E46</f>
        <v>77566.210675199982</v>
      </c>
      <c r="F48" s="1">
        <f>F38-F46</f>
        <v>97248.63663403198</v>
      </c>
      <c r="G48" s="1">
        <f>G38-G46</f>
        <v>121503.59071216703</v>
      </c>
      <c r="H48" s="1">
        <f t="shared" ref="H48:I48" si="21">H38-H46</f>
        <v>141956.69514871511</v>
      </c>
      <c r="I48" s="1">
        <f t="shared" si="21"/>
        <v>164434.85943046599</v>
      </c>
      <c r="K48" s="2" t="s">
        <v>38</v>
      </c>
      <c r="L48">
        <f>L46-L47</f>
        <v>750837.75582183781</v>
      </c>
    </row>
    <row r="49" spans="1:17" x14ac:dyDescent="0.2">
      <c r="A49" t="s">
        <v>13</v>
      </c>
      <c r="C49" s="1"/>
      <c r="D49" s="3">
        <f>D48/D35</f>
        <v>0.125</v>
      </c>
      <c r="E49" s="3">
        <f>E48/E35</f>
        <v>0.12479999999999998</v>
      </c>
      <c r="F49" s="3">
        <f>F48/F35</f>
        <v>0.1326</v>
      </c>
      <c r="G49" s="3">
        <f>G48/G35</f>
        <v>0.14040000000000002</v>
      </c>
      <c r="H49" s="3">
        <f t="shared" ref="H49:I49" si="22">H48/H35</f>
        <v>0.14019999999999999</v>
      </c>
      <c r="I49" s="3">
        <f t="shared" si="22"/>
        <v>0.14000000000000001</v>
      </c>
      <c r="K49" t="s">
        <v>39</v>
      </c>
      <c r="L49">
        <f>L48/28000</f>
        <v>26.815634136494207</v>
      </c>
    </row>
    <row r="50" spans="1:17" x14ac:dyDescent="0.2">
      <c r="C50" s="1"/>
    </row>
    <row r="51" spans="1:17" x14ac:dyDescent="0.2">
      <c r="C51" s="1"/>
    </row>
    <row r="52" spans="1:17" x14ac:dyDescent="0.2">
      <c r="B52" s="2">
        <v>2014</v>
      </c>
      <c r="C52" s="2">
        <v>2015</v>
      </c>
      <c r="D52" s="2">
        <v>2016</v>
      </c>
      <c r="E52" s="2">
        <v>2017</v>
      </c>
      <c r="F52" s="2">
        <v>2018</v>
      </c>
      <c r="G52" s="2">
        <v>2019</v>
      </c>
      <c r="H52" s="2">
        <v>2020</v>
      </c>
      <c r="I52" s="2">
        <v>2021</v>
      </c>
    </row>
    <row r="53" spans="1:17" x14ac:dyDescent="0.2">
      <c r="A53" t="s">
        <v>5</v>
      </c>
      <c r="B53">
        <f>B38</f>
        <v>49666</v>
      </c>
      <c r="C53">
        <v>65877</v>
      </c>
      <c r="D53" s="1">
        <f>D38</f>
        <v>79682.579999999987</v>
      </c>
      <c r="E53" s="1">
        <f>E38</f>
        <v>93228.618599999987</v>
      </c>
      <c r="F53" s="1">
        <f>F38</f>
        <v>117343.75461119998</v>
      </c>
      <c r="G53" s="1">
        <f>G38</f>
        <v>147119.73234379198</v>
      </c>
      <c r="H53" s="1">
        <f t="shared" ref="H53:I53" si="23">H38</f>
        <v>172130.0868422366</v>
      </c>
      <c r="I53" s="1">
        <f t="shared" si="23"/>
        <v>199670.90073699443</v>
      </c>
    </row>
    <row r="54" spans="1:17" x14ac:dyDescent="0.2">
      <c r="A54" t="s">
        <v>1</v>
      </c>
      <c r="B54">
        <f>B46</f>
        <v>8164</v>
      </c>
      <c r="C54">
        <v>9105</v>
      </c>
      <c r="D54" s="1">
        <f>D46</f>
        <v>13280.43</v>
      </c>
      <c r="E54" s="1">
        <f t="shared" ref="E54:I54" si="24">E46</f>
        <v>15662.407924799998</v>
      </c>
      <c r="F54" s="1">
        <f t="shared" si="24"/>
        <v>20095.117977168</v>
      </c>
      <c r="G54" s="1">
        <f t="shared" si="24"/>
        <v>25616.14163162496</v>
      </c>
      <c r="H54" s="1">
        <f t="shared" si="24"/>
        <v>30173.39169352148</v>
      </c>
      <c r="I54" s="1">
        <f t="shared" si="24"/>
        <v>35236.04130652843</v>
      </c>
    </row>
    <row r="55" spans="1:17" x14ac:dyDescent="0.2">
      <c r="A55" t="s">
        <v>16</v>
      </c>
      <c r="B55" s="3">
        <f>B56/B35</f>
        <v>3.884031717033705E-3</v>
      </c>
      <c r="C55" s="3">
        <f>C56/C35</f>
        <v>1.5420152058329436E-2</v>
      </c>
      <c r="D55" s="3">
        <f>D56/D35</f>
        <v>1.0719946567995155E-3</v>
      </c>
      <c r="E55" s="3">
        <f>E56/E35</f>
        <v>7.3504273504273439E-3</v>
      </c>
      <c r="F55" s="3">
        <f>F56/F35</f>
        <v>2.2033898305084745E-3</v>
      </c>
      <c r="G55" s="3">
        <f>G56/G35</f>
        <v>-9.3220338983050956E-3</v>
      </c>
      <c r="H55" s="3">
        <f t="shared" ref="H55:I55" si="25">H56/H35</f>
        <v>7.2649572649572808E-3</v>
      </c>
      <c r="I55" s="3">
        <f t="shared" si="25"/>
        <v>1.6896551724137919E-2</v>
      </c>
    </row>
    <row r="56" spans="1:17" x14ac:dyDescent="0.2">
      <c r="A56" t="s">
        <v>2</v>
      </c>
      <c r="B56" s="1">
        <f>'Working capital'!C16</f>
        <v>1518</v>
      </c>
      <c r="C56" s="1">
        <f>'Working capital'!D16</f>
        <v>7123</v>
      </c>
      <c r="D56" s="1">
        <f>'Working capital'!E34</f>
        <v>569.46199999999953</v>
      </c>
      <c r="E56" s="1">
        <f>'Working capital'!F34</f>
        <v>4568.4679199999955</v>
      </c>
      <c r="F56" s="1">
        <f>'Working capital'!G34</f>
        <v>1615.9627223999996</v>
      </c>
      <c r="G56" s="1">
        <f>'Working capital'!H34</f>
        <v>-8067.3831295200071</v>
      </c>
      <c r="H56" s="1">
        <f>'Working capital'!I34</f>
        <v>7355.9866171896138</v>
      </c>
      <c r="I56" s="1">
        <f>'Working capital'!J34</f>
        <v>19845.586482987259</v>
      </c>
      <c r="J56" s="1"/>
    </row>
    <row r="57" spans="1:17" x14ac:dyDescent="0.2">
      <c r="A57" t="s">
        <v>17</v>
      </c>
      <c r="B57" s="3">
        <f>B58/B35</f>
        <v>4.8632273284360761E-2</v>
      </c>
      <c r="C57" s="3">
        <f>C58/C35</f>
        <v>5.2317677213764915E-2</v>
      </c>
      <c r="D57" s="3">
        <v>0.06</v>
      </c>
      <c r="E57" s="3">
        <v>6.5000000000000002E-2</v>
      </c>
      <c r="F57" s="3">
        <v>0.06</v>
      </c>
      <c r="G57" s="3">
        <v>5.5E-2</v>
      </c>
      <c r="H57" s="3">
        <v>5.5E-2</v>
      </c>
      <c r="I57" s="3">
        <v>5.5E-2</v>
      </c>
    </row>
    <row r="58" spans="1:17" x14ac:dyDescent="0.2">
      <c r="A58" t="s">
        <v>3</v>
      </c>
      <c r="B58">
        <v>19007</v>
      </c>
      <c r="C58">
        <v>24167</v>
      </c>
      <c r="D58" s="1">
        <f>D57*D35</f>
        <v>31873.031999999996</v>
      </c>
      <c r="E58" s="1">
        <f>E57*E35</f>
        <v>40399.068059999998</v>
      </c>
      <c r="F58" s="1">
        <f>F57*F35</f>
        <v>44003.90797919999</v>
      </c>
      <c r="G58" s="1">
        <f>G57*G35</f>
        <v>47597.560464167989</v>
      </c>
      <c r="H58" s="1">
        <f>H57*H35</f>
        <v>55689.145743076544</v>
      </c>
      <c r="I58" s="1">
        <f t="shared" ref="I58" si="26">I57*I35</f>
        <v>64599.409061968778</v>
      </c>
    </row>
    <row r="59" spans="1:17" x14ac:dyDescent="0.2">
      <c r="A59" s="2" t="s">
        <v>15</v>
      </c>
      <c r="B59" s="4">
        <f>B53-B54-B56-B58</f>
        <v>20977</v>
      </c>
      <c r="C59" s="4">
        <f>C53-C54-C56-C58</f>
        <v>25482</v>
      </c>
      <c r="D59" s="4">
        <f>D53-D54-D56-D58</f>
        <v>33959.656000000003</v>
      </c>
      <c r="E59" s="4">
        <f t="shared" ref="E59:H59" si="27">E53-E54-E56-E58</f>
        <v>32598.674695199988</v>
      </c>
      <c r="F59" s="4">
        <f t="shared" si="27"/>
        <v>51628.76593243199</v>
      </c>
      <c r="G59" s="4">
        <f>G53-G54-G56-G58</f>
        <v>81973.413377519057</v>
      </c>
      <c r="H59" s="4">
        <f t="shared" si="27"/>
        <v>78911.562788448966</v>
      </c>
      <c r="I59" s="4">
        <f>I53-I54-I56-I58</f>
        <v>79989.863885509971</v>
      </c>
    </row>
    <row r="60" spans="1:17" x14ac:dyDescent="0.2">
      <c r="H60" t="s">
        <v>28</v>
      </c>
      <c r="I60" s="1">
        <f>SUM(D59:I59)</f>
        <v>359061.93667910999</v>
      </c>
    </row>
    <row r="61" spans="1:17" x14ac:dyDescent="0.2">
      <c r="K61" s="1"/>
      <c r="L61">
        <v>1</v>
      </c>
      <c r="M61">
        <v>2</v>
      </c>
      <c r="N61">
        <v>3</v>
      </c>
      <c r="O61">
        <v>4</v>
      </c>
      <c r="P61">
        <v>5</v>
      </c>
      <c r="Q61" t="s">
        <v>24</v>
      </c>
    </row>
    <row r="62" spans="1:17" x14ac:dyDescent="0.2">
      <c r="K62" t="s">
        <v>33</v>
      </c>
      <c r="L62" s="3">
        <v>0.06</v>
      </c>
      <c r="M62" s="3">
        <v>0.06</v>
      </c>
      <c r="N62" s="3">
        <v>0.06</v>
      </c>
      <c r="O62" s="3">
        <v>0.06</v>
      </c>
      <c r="P62" s="3">
        <v>0.06</v>
      </c>
      <c r="Q62" s="3">
        <v>0.06</v>
      </c>
    </row>
    <row r="63" spans="1:17" x14ac:dyDescent="0.2">
      <c r="B63" s="5" t="s">
        <v>26</v>
      </c>
      <c r="C63" s="5"/>
      <c r="D63" s="5"/>
      <c r="K63" t="s">
        <v>32</v>
      </c>
      <c r="L63">
        <f>(L62+1)^L61</f>
        <v>1.06</v>
      </c>
      <c r="M63">
        <f>(M62+1)^M61</f>
        <v>1.1236000000000002</v>
      </c>
      <c r="N63">
        <f>(N62+1)^N61</f>
        <v>1.1910160000000003</v>
      </c>
      <c r="O63">
        <f>(O62+1)^O61</f>
        <v>1.2624769600000003</v>
      </c>
      <c r="P63">
        <f>(P62+1)^P61</f>
        <v>1.3382255776000005</v>
      </c>
    </row>
    <row r="65" spans="1:17" x14ac:dyDescent="0.2">
      <c r="B65" s="2">
        <v>2014</v>
      </c>
      <c r="C65" s="2">
        <v>2015</v>
      </c>
      <c r="D65" s="2">
        <v>2016</v>
      </c>
      <c r="E65" s="2">
        <v>2017</v>
      </c>
      <c r="F65" s="2">
        <v>2018</v>
      </c>
      <c r="G65" s="2">
        <v>2019</v>
      </c>
      <c r="H65" s="2">
        <v>2020</v>
      </c>
      <c r="I65" s="2">
        <v>2021</v>
      </c>
      <c r="J65" s="2" t="s">
        <v>24</v>
      </c>
      <c r="K65" s="1">
        <f>D59</f>
        <v>33959.656000000003</v>
      </c>
      <c r="L65">
        <f>E59/L63</f>
        <v>30753.466693584895</v>
      </c>
      <c r="M65">
        <f>F59/M63</f>
        <v>45949.417882192938</v>
      </c>
      <c r="N65">
        <f>G59/N63</f>
        <v>68826.45856774303</v>
      </c>
      <c r="O65">
        <f>H59/O63</f>
        <v>62505.348840939594</v>
      </c>
      <c r="P65">
        <f>I59/P63</f>
        <v>59773.07953489077</v>
      </c>
      <c r="Q65" s="1">
        <f>(I59*(1+J35))/(Q62-J35)/P63</f>
        <v>1524213.5281397149</v>
      </c>
    </row>
    <row r="66" spans="1:17" x14ac:dyDescent="0.2">
      <c r="A66" t="s">
        <v>4</v>
      </c>
      <c r="B66">
        <v>390831</v>
      </c>
      <c r="C66">
        <v>461928</v>
      </c>
      <c r="D66" s="1">
        <f>C66*D67</f>
        <v>461928</v>
      </c>
      <c r="E66" s="1">
        <f t="shared" ref="E66" si="28">D66*E67</f>
        <v>438831.6</v>
      </c>
      <c r="F66" s="1">
        <f t="shared" ref="F66" si="29">E66*F67</f>
        <v>394948.44</v>
      </c>
      <c r="G66" s="1">
        <f t="shared" ref="G66" si="30">F66*G67</f>
        <v>355453.59600000002</v>
      </c>
      <c r="H66" s="1">
        <f>G66*H67</f>
        <v>337680.91619999998</v>
      </c>
      <c r="I66" s="1">
        <f>H66*I67</f>
        <v>320796.87038999994</v>
      </c>
      <c r="J66" s="7">
        <v>0</v>
      </c>
      <c r="K66" t="s">
        <v>35</v>
      </c>
      <c r="L66" s="1">
        <f>SUM(K65:P65)</f>
        <v>301767.42751935124</v>
      </c>
      <c r="Q66" s="1"/>
    </row>
    <row r="67" spans="1:17" x14ac:dyDescent="0.2">
      <c r="A67" t="s">
        <v>8</v>
      </c>
      <c r="D67">
        <v>1</v>
      </c>
      <c r="E67">
        <v>0.95</v>
      </c>
      <c r="F67">
        <v>0.9</v>
      </c>
      <c r="G67">
        <v>0.9</v>
      </c>
      <c r="H67">
        <v>0.95</v>
      </c>
      <c r="I67">
        <v>0.95</v>
      </c>
      <c r="K67" t="s">
        <v>36</v>
      </c>
      <c r="L67" s="1">
        <f>Q65</f>
        <v>1524213.5281397149</v>
      </c>
    </row>
    <row r="68" spans="1:17" x14ac:dyDescent="0.2">
      <c r="A68" t="s">
        <v>7</v>
      </c>
      <c r="B68" s="3">
        <f>B69/B66</f>
        <v>0.12707794417535967</v>
      </c>
      <c r="C68" s="3">
        <f>C69/C66</f>
        <v>0.14261313451446977</v>
      </c>
      <c r="D68" s="3">
        <v>0.14000000000000001</v>
      </c>
      <c r="E68" s="3">
        <v>0.14000000000000001</v>
      </c>
      <c r="F68" s="3">
        <v>0.13</v>
      </c>
      <c r="G68" s="3">
        <v>0.13</v>
      </c>
      <c r="H68" s="3">
        <v>0.13</v>
      </c>
      <c r="I68" s="3">
        <v>0.12</v>
      </c>
      <c r="K68" s="2" t="s">
        <v>34</v>
      </c>
      <c r="L68" s="4">
        <f>L66+L67</f>
        <v>1825980.9556590661</v>
      </c>
    </row>
    <row r="69" spans="1:17" x14ac:dyDescent="0.2">
      <c r="A69" t="s">
        <v>6</v>
      </c>
      <c r="B69">
        <v>49666</v>
      </c>
      <c r="C69" s="1">
        <v>65877</v>
      </c>
      <c r="D69" s="1">
        <f>D66*D68</f>
        <v>64669.920000000006</v>
      </c>
      <c r="E69" s="1">
        <f t="shared" ref="E69:I69" si="31">E66*E68</f>
        <v>61436.423999999999</v>
      </c>
      <c r="F69" s="1">
        <f t="shared" si="31"/>
        <v>51343.297200000001</v>
      </c>
      <c r="G69" s="1">
        <f t="shared" si="31"/>
        <v>46208.967480000007</v>
      </c>
      <c r="H69" s="1">
        <f t="shared" si="31"/>
        <v>43898.519106</v>
      </c>
      <c r="I69" s="1">
        <f t="shared" si="31"/>
        <v>38495.624446799993</v>
      </c>
      <c r="K69" t="s">
        <v>37</v>
      </c>
      <c r="L69">
        <f>49228+105028-18380-8867-517-34868</f>
        <v>91624</v>
      </c>
    </row>
    <row r="70" spans="1:17" x14ac:dyDescent="0.2">
      <c r="C70" s="1"/>
      <c r="K70" s="2" t="s">
        <v>38</v>
      </c>
      <c r="L70" s="4">
        <f>L68-L69</f>
        <v>1734356.9556590661</v>
      </c>
    </row>
    <row r="71" spans="1:17" x14ac:dyDescent="0.2">
      <c r="A71" t="s">
        <v>9</v>
      </c>
      <c r="B71" s="3">
        <f>B72/B66</f>
        <v>2.0371976634402083E-2</v>
      </c>
      <c r="C71" s="3">
        <f>C72/C66</f>
        <v>2.1410263071301155E-2</v>
      </c>
      <c r="D71" s="3">
        <f>0.025</f>
        <v>2.5000000000000001E-2</v>
      </c>
      <c r="E71" s="3">
        <f>0.024</f>
        <v>2.4E-2</v>
      </c>
      <c r="F71" s="3">
        <f>0.023</f>
        <v>2.3E-2</v>
      </c>
      <c r="G71" s="3">
        <f>0.022</f>
        <v>2.1999999999999999E-2</v>
      </c>
      <c r="H71" s="3">
        <f>0.021</f>
        <v>2.1000000000000001E-2</v>
      </c>
      <c r="I71" s="3">
        <f>0.02</f>
        <v>0.02</v>
      </c>
      <c r="K71" t="s">
        <v>39</v>
      </c>
      <c r="L71" s="6">
        <f>L70/28000</f>
        <v>61.94131984496665</v>
      </c>
    </row>
    <row r="72" spans="1:17" x14ac:dyDescent="0.2">
      <c r="A72" t="s">
        <v>10</v>
      </c>
      <c r="B72">
        <v>7962</v>
      </c>
      <c r="C72" s="1">
        <v>9890</v>
      </c>
      <c r="D72" s="1">
        <f>D71*D66</f>
        <v>11548.2</v>
      </c>
      <c r="E72" s="1">
        <f t="shared" ref="E72:I72" si="32">E71*E66</f>
        <v>10531.9584</v>
      </c>
      <c r="F72" s="1">
        <f t="shared" si="32"/>
        <v>9083.8141199999991</v>
      </c>
      <c r="G72" s="1">
        <f t="shared" si="32"/>
        <v>7819.979112</v>
      </c>
      <c r="H72" s="1">
        <f t="shared" si="32"/>
        <v>7091.2992402</v>
      </c>
      <c r="I72" s="1">
        <f t="shared" si="32"/>
        <v>6415.9374077999992</v>
      </c>
    </row>
    <row r="73" spans="1:17" x14ac:dyDescent="0.2">
      <c r="C73" s="1"/>
    </row>
    <row r="74" spans="1:17" x14ac:dyDescent="0.2">
      <c r="A74" t="s">
        <v>0</v>
      </c>
      <c r="C74" s="1"/>
      <c r="D74" s="1">
        <f>D69-D72</f>
        <v>53121.72</v>
      </c>
      <c r="E74" s="1">
        <f t="shared" ref="E74:I74" si="33">E69-E72</f>
        <v>50904.465599999996</v>
      </c>
      <c r="F74" s="1">
        <f t="shared" si="33"/>
        <v>42259.483080000005</v>
      </c>
      <c r="G74" s="1">
        <f t="shared" si="33"/>
        <v>38388.988368000006</v>
      </c>
      <c r="H74" s="1">
        <f t="shared" si="33"/>
        <v>36807.219865799998</v>
      </c>
      <c r="I74" s="1">
        <f t="shared" si="33"/>
        <v>32079.687038999993</v>
      </c>
    </row>
    <row r="75" spans="1:17" x14ac:dyDescent="0.2">
      <c r="C75" s="1"/>
    </row>
    <row r="76" spans="1:17" x14ac:dyDescent="0.2">
      <c r="A76" t="s">
        <v>11</v>
      </c>
      <c r="B76" s="3">
        <v>0.2</v>
      </c>
      <c r="C76" s="3">
        <v>0.2</v>
      </c>
      <c r="D76" s="3">
        <v>0.2</v>
      </c>
      <c r="E76" s="3">
        <v>0.2</v>
      </c>
      <c r="F76" s="3">
        <v>0.2</v>
      </c>
      <c r="G76" s="3">
        <v>0.2</v>
      </c>
      <c r="H76" s="3">
        <v>0.2</v>
      </c>
      <c r="I76" s="3">
        <v>0.2</v>
      </c>
    </row>
    <row r="77" spans="1:17" x14ac:dyDescent="0.2">
      <c r="A77" t="s">
        <v>12</v>
      </c>
      <c r="B77">
        <v>8164</v>
      </c>
      <c r="C77" s="1">
        <v>9105</v>
      </c>
      <c r="D77" s="1">
        <f>D74*D76</f>
        <v>10624.344000000001</v>
      </c>
      <c r="E77" s="1">
        <f t="shared" ref="E77:I77" si="34">E74*E76</f>
        <v>10180.893120000001</v>
      </c>
      <c r="F77" s="1">
        <f t="shared" si="34"/>
        <v>8451.8966160000018</v>
      </c>
      <c r="G77" s="1">
        <f t="shared" si="34"/>
        <v>7677.7976736000019</v>
      </c>
      <c r="H77" s="1">
        <f t="shared" si="34"/>
        <v>7361.4439731599996</v>
      </c>
      <c r="I77" s="1">
        <f t="shared" si="34"/>
        <v>6415.9374077999992</v>
      </c>
    </row>
    <row r="78" spans="1:17" x14ac:dyDescent="0.2">
      <c r="C78" s="1"/>
    </row>
    <row r="79" spans="1:17" x14ac:dyDescent="0.2">
      <c r="A79" t="s">
        <v>14</v>
      </c>
      <c r="C79" s="1"/>
      <c r="D79" s="1">
        <f>D69-D77</f>
        <v>54045.576000000001</v>
      </c>
      <c r="E79" s="1">
        <f t="shared" ref="E79:I79" si="35">E69-E77</f>
        <v>51255.530879999998</v>
      </c>
      <c r="F79" s="1">
        <f t="shared" si="35"/>
        <v>42891.400584000003</v>
      </c>
      <c r="G79" s="1">
        <f t="shared" si="35"/>
        <v>38531.169806400008</v>
      </c>
      <c r="H79" s="1">
        <f t="shared" si="35"/>
        <v>36537.07513284</v>
      </c>
      <c r="I79" s="1">
        <f t="shared" si="35"/>
        <v>32079.687038999993</v>
      </c>
    </row>
    <row r="80" spans="1:17" x14ac:dyDescent="0.2">
      <c r="A80" t="s">
        <v>13</v>
      </c>
      <c r="C80" s="1"/>
      <c r="D80" s="3">
        <f>D79/D66</f>
        <v>0.11700000000000001</v>
      </c>
      <c r="E80" s="3">
        <f t="shared" ref="E80:I80" si="36">E79/E66</f>
        <v>0.1168</v>
      </c>
      <c r="F80" s="3">
        <f t="shared" si="36"/>
        <v>0.1086</v>
      </c>
      <c r="G80" s="3">
        <f t="shared" si="36"/>
        <v>0.10840000000000002</v>
      </c>
      <c r="H80" s="3">
        <f t="shared" si="36"/>
        <v>0.1082</v>
      </c>
      <c r="I80" s="3">
        <f t="shared" si="36"/>
        <v>9.9999999999999992E-2</v>
      </c>
    </row>
    <row r="81" spans="1:17" x14ac:dyDescent="0.2">
      <c r="C81" s="1"/>
    </row>
    <row r="82" spans="1:17" x14ac:dyDescent="0.2">
      <c r="C82" s="1"/>
    </row>
    <row r="83" spans="1:17" x14ac:dyDescent="0.2">
      <c r="B83" s="2">
        <v>2014</v>
      </c>
      <c r="C83" s="2">
        <v>2015</v>
      </c>
      <c r="D83" s="2">
        <v>2016</v>
      </c>
      <c r="E83" s="2">
        <v>2017</v>
      </c>
      <c r="F83" s="2">
        <v>2018</v>
      </c>
      <c r="G83" s="2">
        <v>2019</v>
      </c>
      <c r="H83" s="2">
        <v>2020</v>
      </c>
      <c r="I83" s="2">
        <v>2021</v>
      </c>
    </row>
    <row r="84" spans="1:17" x14ac:dyDescent="0.2">
      <c r="A84" t="s">
        <v>5</v>
      </c>
      <c r="B84">
        <f>B69</f>
        <v>49666</v>
      </c>
      <c r="C84">
        <v>65877</v>
      </c>
      <c r="D84" s="1">
        <f>D69</f>
        <v>64669.920000000006</v>
      </c>
      <c r="E84" s="1">
        <f t="shared" ref="E84:I84" si="37">E69</f>
        <v>61436.423999999999</v>
      </c>
      <c r="F84" s="1">
        <f>F69</f>
        <v>51343.297200000001</v>
      </c>
      <c r="G84" s="1">
        <f t="shared" ref="G84:J84" si="38">G69</f>
        <v>46208.967480000007</v>
      </c>
      <c r="H84" s="1">
        <f t="shared" si="38"/>
        <v>43898.519106</v>
      </c>
      <c r="I84" s="1">
        <f t="shared" si="38"/>
        <v>38495.624446799993</v>
      </c>
    </row>
    <row r="85" spans="1:17" x14ac:dyDescent="0.2">
      <c r="A85" t="s">
        <v>1</v>
      </c>
      <c r="B85">
        <f>B77</f>
        <v>8164</v>
      </c>
      <c r="C85">
        <v>9105</v>
      </c>
      <c r="D85" s="1">
        <f>D77</f>
        <v>10624.344000000001</v>
      </c>
      <c r="E85" s="1">
        <f t="shared" ref="E85:I85" si="39">E77</f>
        <v>10180.893120000001</v>
      </c>
      <c r="F85" s="1">
        <f t="shared" si="39"/>
        <v>8451.8966160000018</v>
      </c>
      <c r="G85" s="1">
        <f t="shared" si="39"/>
        <v>7677.7976736000019</v>
      </c>
      <c r="H85" s="1">
        <f t="shared" si="39"/>
        <v>7361.4439731599996</v>
      </c>
      <c r="I85" s="1">
        <f t="shared" si="39"/>
        <v>6415.9374077999992</v>
      </c>
    </row>
    <row r="86" spans="1:17" x14ac:dyDescent="0.2">
      <c r="A86" t="s">
        <v>16</v>
      </c>
      <c r="B86" s="3">
        <f>B87/B66</f>
        <v>3.884031717033705E-3</v>
      </c>
      <c r="C86" s="3">
        <f>C87/C66</f>
        <v>1.5420152058329436E-2</v>
      </c>
      <c r="D86" s="3">
        <f t="shared" ref="D86:I86" si="40">D87/D66</f>
        <v>8.4827938553194496E-3</v>
      </c>
      <c r="E86" s="3">
        <f t="shared" si="40"/>
        <v>-1.0526315789473682E-2</v>
      </c>
      <c r="F86" s="3">
        <f t="shared" si="40"/>
        <v>-2.1111111111111129E-2</v>
      </c>
      <c r="G86" s="3">
        <f t="shared" si="40"/>
        <v>-2.9999999999999968E-2</v>
      </c>
      <c r="H86" s="3">
        <f>H87/H66</f>
        <v>-3.684210526315805E-3</v>
      </c>
      <c r="I86" s="3">
        <f t="shared" si="40"/>
        <v>6.3157894736842165E-3</v>
      </c>
    </row>
    <row r="87" spans="1:17" x14ac:dyDescent="0.2">
      <c r="A87" t="s">
        <v>2</v>
      </c>
      <c r="B87" s="1">
        <f>'Working capital'!C16</f>
        <v>1518</v>
      </c>
      <c r="C87" s="1">
        <f>'Working capital'!D16</f>
        <v>7123</v>
      </c>
      <c r="D87" s="1">
        <f>'Working capital'!E52</f>
        <v>3918.4400000000023</v>
      </c>
      <c r="E87" s="1">
        <f>'Working capital'!F52</f>
        <v>-4619.2799999999988</v>
      </c>
      <c r="F87" s="1">
        <f>'Working capital'!G52</f>
        <v>-8337.8004000000074</v>
      </c>
      <c r="G87" s="1">
        <f>'Working capital'!H52</f>
        <v>-10663.607879999989</v>
      </c>
      <c r="H87" s="1">
        <f>'Working capital'!I52</f>
        <v>-1244.0875860000051</v>
      </c>
      <c r="I87" s="1">
        <f>'Working capital'!J52</f>
        <v>2026.0854972000016</v>
      </c>
      <c r="J87" s="1"/>
    </row>
    <row r="88" spans="1:17" x14ac:dyDescent="0.2">
      <c r="A88" t="s">
        <v>17</v>
      </c>
      <c r="B88" s="3">
        <f>B89/B66</f>
        <v>4.8632273284360761E-2</v>
      </c>
      <c r="C88" s="3">
        <f>C89/C66</f>
        <v>5.2317677213764915E-2</v>
      </c>
      <c r="D88" s="3">
        <v>5.1999999999999998E-2</v>
      </c>
      <c r="E88" s="3">
        <v>5.0999999999999997E-2</v>
      </c>
      <c r="F88" s="3">
        <v>0.05</v>
      </c>
      <c r="G88" s="3">
        <v>4.9000000000000002E-2</v>
      </c>
      <c r="H88" s="3">
        <v>4.8000000000000001E-2</v>
      </c>
      <c r="I88" s="3">
        <v>4.7E-2</v>
      </c>
    </row>
    <row r="89" spans="1:17" x14ac:dyDescent="0.2">
      <c r="A89" t="s">
        <v>3</v>
      </c>
      <c r="B89">
        <v>19007</v>
      </c>
      <c r="C89">
        <v>24167</v>
      </c>
      <c r="D89" s="1">
        <f>D88*D66</f>
        <v>24020.255999999998</v>
      </c>
      <c r="E89" s="1">
        <f t="shared" ref="E89:I89" si="41">E88*E66</f>
        <v>22380.411599999996</v>
      </c>
      <c r="F89" s="1">
        <f t="shared" si="41"/>
        <v>19747.422000000002</v>
      </c>
      <c r="G89" s="1">
        <f t="shared" si="41"/>
        <v>17417.226204000002</v>
      </c>
      <c r="H89" s="1">
        <f t="shared" si="41"/>
        <v>16208.6839776</v>
      </c>
      <c r="I89" s="1">
        <f t="shared" si="41"/>
        <v>15077.452908329997</v>
      </c>
    </row>
    <row r="90" spans="1:17" x14ac:dyDescent="0.2">
      <c r="A90" s="2" t="s">
        <v>15</v>
      </c>
      <c r="B90" s="4">
        <f>B84-B85-B87-B89</f>
        <v>20977</v>
      </c>
      <c r="C90" s="4">
        <f>C84-C85-C87-C89</f>
        <v>25482</v>
      </c>
      <c r="D90" s="4">
        <f>D84-D85-D87-D89</f>
        <v>26106.880000000001</v>
      </c>
      <c r="E90" s="4">
        <f t="shared" ref="E90:I90" si="42">E84-E85-E87-E89</f>
        <v>33494.399279999998</v>
      </c>
      <c r="F90" s="4">
        <f t="shared" si="42"/>
        <v>31481.778984000008</v>
      </c>
      <c r="G90" s="4">
        <f t="shared" si="42"/>
        <v>31777.551482399995</v>
      </c>
      <c r="H90" s="4">
        <f t="shared" si="42"/>
        <v>21572.478741240004</v>
      </c>
      <c r="I90" s="4">
        <f>I84-I85-I87-I89</f>
        <v>14976.148633469995</v>
      </c>
    </row>
    <row r="91" spans="1:17" x14ac:dyDescent="0.2">
      <c r="H91" t="s">
        <v>28</v>
      </c>
      <c r="I91" s="1">
        <f>SUM(D90:I90)</f>
        <v>159409.23712111003</v>
      </c>
    </row>
    <row r="92" spans="1:17" x14ac:dyDescent="0.2">
      <c r="K92" s="1"/>
      <c r="L92">
        <v>1</v>
      </c>
      <c r="M92">
        <v>2</v>
      </c>
      <c r="N92">
        <v>3</v>
      </c>
      <c r="O92">
        <v>4</v>
      </c>
      <c r="P92">
        <v>5</v>
      </c>
      <c r="Q92" t="s">
        <v>24</v>
      </c>
    </row>
    <row r="93" spans="1:17" x14ac:dyDescent="0.2">
      <c r="K93" t="s">
        <v>33</v>
      </c>
      <c r="L93" s="3">
        <v>0.06</v>
      </c>
      <c r="M93" s="3">
        <v>0.06</v>
      </c>
      <c r="N93" s="3">
        <v>0.06</v>
      </c>
      <c r="O93" s="3">
        <v>0.06</v>
      </c>
      <c r="P93" s="3">
        <v>0.06</v>
      </c>
      <c r="Q93" s="3">
        <v>0.06</v>
      </c>
    </row>
    <row r="94" spans="1:17" x14ac:dyDescent="0.2">
      <c r="K94" t="s">
        <v>32</v>
      </c>
      <c r="L94">
        <f>(L93+1)^L92</f>
        <v>1.06</v>
      </c>
      <c r="M94">
        <f>(M93+1)^M92</f>
        <v>1.1236000000000002</v>
      </c>
      <c r="N94">
        <f>(N93+1)^N92</f>
        <v>1.1910160000000003</v>
      </c>
      <c r="O94">
        <f>(O93+1)^O92</f>
        <v>1.2624769600000003</v>
      </c>
      <c r="P94">
        <f>(P93+1)^P92</f>
        <v>1.3382255776000005</v>
      </c>
    </row>
    <row r="96" spans="1:17" x14ac:dyDescent="0.2">
      <c r="K96" s="1">
        <f>D90</f>
        <v>26106.880000000001</v>
      </c>
      <c r="L96">
        <f>E90/L94</f>
        <v>31598.489886792449</v>
      </c>
      <c r="M96">
        <f>F90/M94</f>
        <v>28018.671221075118</v>
      </c>
      <c r="N96">
        <f>G90/N94</f>
        <v>26681.044992174739</v>
      </c>
      <c r="O96">
        <f>H90/O94</f>
        <v>17087.423711273113</v>
      </c>
      <c r="P96">
        <f>I90/P94</f>
        <v>11191.049464417283</v>
      </c>
      <c r="Q96" s="1">
        <f>(I90*(1+J66))/(Q93-J66)/P94</f>
        <v>186517.49107362138</v>
      </c>
    </row>
    <row r="97" spans="11:17" x14ac:dyDescent="0.2">
      <c r="K97" t="s">
        <v>35</v>
      </c>
      <c r="L97" s="1">
        <f>SUM(K96:P96)</f>
        <v>140683.5592757327</v>
      </c>
      <c r="Q97" s="1"/>
    </row>
    <row r="98" spans="11:17" x14ac:dyDescent="0.2">
      <c r="K98" t="s">
        <v>36</v>
      </c>
      <c r="L98" s="1">
        <f>Q96</f>
        <v>186517.49107362138</v>
      </c>
    </row>
    <row r="99" spans="11:17" x14ac:dyDescent="0.2">
      <c r="K99" s="2" t="s">
        <v>34</v>
      </c>
      <c r="L99" s="4">
        <f>L97+L98</f>
        <v>327201.05034935405</v>
      </c>
    </row>
    <row r="100" spans="11:17" x14ac:dyDescent="0.2">
      <c r="K100" t="s">
        <v>37</v>
      </c>
      <c r="L100">
        <f>49228+105028-18380-8867-517-34868</f>
        <v>91624</v>
      </c>
    </row>
    <row r="101" spans="11:17" x14ac:dyDescent="0.2">
      <c r="K101" s="2" t="s">
        <v>38</v>
      </c>
      <c r="L101" s="4">
        <f>L99-L100</f>
        <v>235577.05034935405</v>
      </c>
    </row>
    <row r="102" spans="11:17" x14ac:dyDescent="0.2">
      <c r="K102" t="s">
        <v>39</v>
      </c>
      <c r="L102" s="6">
        <f>L101/28000</f>
        <v>8.4134660839055009</v>
      </c>
    </row>
  </sheetData>
  <mergeCells count="3">
    <mergeCell ref="B32:D32"/>
    <mergeCell ref="B63:D63"/>
    <mergeCell ref="B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workbookViewId="0">
      <selection activeCell="F32" sqref="F32"/>
    </sheetView>
  </sheetViews>
  <sheetFormatPr baseColWidth="10" defaultRowHeight="16" x14ac:dyDescent="0.2"/>
  <cols>
    <col min="2" max="2" width="26.1640625" customWidth="1"/>
    <col min="3" max="3" width="11.6640625" bestFit="1" customWidth="1"/>
    <col min="4" max="4" width="24.33203125" customWidth="1"/>
    <col min="5" max="5" width="23.5" customWidth="1"/>
    <col min="6" max="6" width="21.5" customWidth="1"/>
    <col min="8" max="8" width="21" customWidth="1"/>
    <col min="9" max="9" width="21.6640625" customWidth="1"/>
    <col min="10" max="10" width="20.83203125" customWidth="1"/>
    <col min="11" max="12" width="21.1640625" customWidth="1"/>
  </cols>
  <sheetData>
    <row r="1" spans="2:6" x14ac:dyDescent="0.2">
      <c r="B1" s="15"/>
      <c r="C1" s="15" t="s">
        <v>25</v>
      </c>
      <c r="D1" s="16" t="s">
        <v>47</v>
      </c>
      <c r="E1" s="16" t="s">
        <v>46</v>
      </c>
      <c r="F1" s="17" t="s">
        <v>26</v>
      </c>
    </row>
    <row r="2" spans="2:6" x14ac:dyDescent="0.2">
      <c r="B2" s="9" t="s">
        <v>40</v>
      </c>
      <c r="C2" s="18">
        <f>Taul1!L66</f>
        <v>301767.42751935124</v>
      </c>
      <c r="D2" s="22">
        <f>Taul1!L35</f>
        <v>204643.07261658181</v>
      </c>
      <c r="E2" s="22">
        <f>Taul1!L44</f>
        <v>199806.54873510386</v>
      </c>
      <c r="F2" s="10">
        <f>Taul1!L97</f>
        <v>140683.5592757327</v>
      </c>
    </row>
    <row r="3" spans="2:6" x14ac:dyDescent="0.2">
      <c r="B3" s="9" t="s">
        <v>41</v>
      </c>
      <c r="C3" s="18">
        <f>Taul1!L67</f>
        <v>1524213.5281397149</v>
      </c>
      <c r="D3" s="23">
        <f>Taul1!L36</f>
        <v>841933.14269125066</v>
      </c>
      <c r="E3" s="23">
        <f>Taul1!L45</f>
        <v>642655.20708673401</v>
      </c>
      <c r="F3" s="10">
        <f>Taul1!L98</f>
        <v>186517.49107362138</v>
      </c>
    </row>
    <row r="4" spans="2:6" x14ac:dyDescent="0.2">
      <c r="B4" s="9" t="s">
        <v>42</v>
      </c>
      <c r="C4" s="19">
        <f>Taul1!L69</f>
        <v>91624</v>
      </c>
      <c r="D4" s="24">
        <f>Taul1!L38</f>
        <v>91624</v>
      </c>
      <c r="E4" s="24">
        <f>D4</f>
        <v>91624</v>
      </c>
      <c r="F4" s="11">
        <f>Taul1!L100</f>
        <v>91624</v>
      </c>
    </row>
    <row r="5" spans="2:6" x14ac:dyDescent="0.2">
      <c r="B5" s="9" t="s">
        <v>43</v>
      </c>
      <c r="C5" s="18">
        <f>C2+C3-C4</f>
        <v>1734356.9556590661</v>
      </c>
      <c r="D5" s="23">
        <f>D2+D3-D4</f>
        <v>954952.21530783246</v>
      </c>
      <c r="E5" s="23">
        <f>E2+E3-E4</f>
        <v>750837.75582183781</v>
      </c>
      <c r="F5" s="10">
        <f>F2+F3-F4</f>
        <v>235577.05034935405</v>
      </c>
    </row>
    <row r="6" spans="2:6" x14ac:dyDescent="0.2">
      <c r="B6" s="9" t="s">
        <v>44</v>
      </c>
      <c r="C6" s="20">
        <f>C3/C5</f>
        <v>0.87883496137650885</v>
      </c>
      <c r="D6" s="25">
        <f>D3/D5</f>
        <v>0.88164949951956528</v>
      </c>
      <c r="E6" s="25">
        <f>E3/E5</f>
        <v>0.85591754290953126</v>
      </c>
      <c r="F6" s="12">
        <f>F3/F5</f>
        <v>0.79174728946228534</v>
      </c>
    </row>
    <row r="7" spans="2:6" x14ac:dyDescent="0.2">
      <c r="B7" s="13" t="s">
        <v>45</v>
      </c>
      <c r="C7" s="21">
        <f>C5/28000</f>
        <v>61.94131984496665</v>
      </c>
      <c r="D7" s="26">
        <f>D5/28000</f>
        <v>34.105436260994018</v>
      </c>
      <c r="E7" s="26">
        <f>E5/28000</f>
        <v>26.815634136494207</v>
      </c>
      <c r="F7" s="14">
        <f>F5/28000</f>
        <v>8.4134660839055009</v>
      </c>
    </row>
    <row r="21" spans="8:12" x14ac:dyDescent="0.2">
      <c r="H21" s="15"/>
      <c r="I21" s="15" t="s">
        <v>25</v>
      </c>
      <c r="J21" s="16" t="s">
        <v>47</v>
      </c>
      <c r="K21" s="16" t="s">
        <v>46</v>
      </c>
      <c r="L21" s="17" t="s">
        <v>26</v>
      </c>
    </row>
    <row r="22" spans="8:12" x14ac:dyDescent="0.2">
      <c r="H22" s="9" t="s">
        <v>43</v>
      </c>
      <c r="I22" s="18">
        <v>1734</v>
      </c>
      <c r="J22" s="23">
        <v>955</v>
      </c>
      <c r="K22" s="23">
        <v>760</v>
      </c>
      <c r="L22" s="10">
        <v>236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52"/>
  <sheetViews>
    <sheetView workbookViewId="0">
      <selection activeCell="G29" sqref="G29"/>
    </sheetView>
  </sheetViews>
  <sheetFormatPr baseColWidth="10" defaultRowHeight="16" x14ac:dyDescent="0.2"/>
  <cols>
    <col min="2" max="2" width="14.1640625" bestFit="1" customWidth="1"/>
    <col min="3" max="3" width="14.6640625" bestFit="1" customWidth="1"/>
    <col min="4" max="5" width="13.6640625" bestFit="1" customWidth="1"/>
    <col min="6" max="10" width="12.6640625" bestFit="1" customWidth="1"/>
  </cols>
  <sheetData>
    <row r="1" spans="2:10" x14ac:dyDescent="0.2">
      <c r="B1" t="s">
        <v>29</v>
      </c>
    </row>
    <row r="3" spans="2:10" x14ac:dyDescent="0.2">
      <c r="C3" s="2">
        <v>2014</v>
      </c>
      <c r="D3" s="2">
        <v>2015</v>
      </c>
      <c r="E3" s="2">
        <v>2016</v>
      </c>
      <c r="F3" s="2">
        <v>2017</v>
      </c>
      <c r="G3" s="2">
        <v>2018</v>
      </c>
      <c r="H3" s="2">
        <v>2019</v>
      </c>
      <c r="I3" s="2">
        <v>2020</v>
      </c>
      <c r="J3" s="2">
        <v>2021</v>
      </c>
    </row>
    <row r="4" spans="2:10" x14ac:dyDescent="0.2">
      <c r="B4" t="s">
        <v>18</v>
      </c>
      <c r="C4">
        <v>92734</v>
      </c>
      <c r="D4">
        <v>104584</v>
      </c>
      <c r="E4" s="1">
        <f>Taul1!D4*'Working capital'!E5</f>
        <v>114327.18000000001</v>
      </c>
      <c r="F4" s="1">
        <f>Taul1!E4*'Working capital'!F5</f>
        <v>120729.50208000001</v>
      </c>
      <c r="G4" s="1">
        <f>Taul1!F4*'Working capital'!G5</f>
        <v>123308.72326080002</v>
      </c>
      <c r="H4" s="1">
        <f>Taul1!G4*'Working capital'!H5</f>
        <v>124483.09205376003</v>
      </c>
      <c r="I4" s="1">
        <f>Taul1!H4*'Working capital'!I5</f>
        <v>130707.24665644806</v>
      </c>
      <c r="J4" s="1">
        <f>Taul1!I4*'Working capital'!J5</f>
        <v>135935.53652270598</v>
      </c>
    </row>
    <row r="5" spans="2:10" x14ac:dyDescent="0.2">
      <c r="B5" t="s">
        <v>19</v>
      </c>
      <c r="C5" s="3">
        <f>C4/Taul1!B4</f>
        <v>0.23727391123017366</v>
      </c>
      <c r="D5" s="3">
        <f>D4/Taul1!C4</f>
        <v>0.22640757867026895</v>
      </c>
      <c r="E5" s="3">
        <v>0.22500000000000001</v>
      </c>
      <c r="F5" s="3">
        <v>0.22</v>
      </c>
      <c r="G5" s="3">
        <v>0.21</v>
      </c>
      <c r="H5" s="3">
        <v>0.2</v>
      </c>
      <c r="I5" s="3">
        <v>0.2</v>
      </c>
      <c r="J5" s="3">
        <v>0.2</v>
      </c>
    </row>
    <row r="6" spans="2:10" x14ac:dyDescent="0.2">
      <c r="B6" t="s">
        <v>20</v>
      </c>
      <c r="C6" s="1">
        <f>C4- 85767</f>
        <v>6967</v>
      </c>
      <c r="D6" s="1">
        <f>D4-C4</f>
        <v>11850</v>
      </c>
      <c r="E6" s="1">
        <f>E4-D4</f>
        <v>9743.1800000000076</v>
      </c>
      <c r="F6" s="1">
        <f>F4-E4</f>
        <v>6402.3220799999981</v>
      </c>
      <c r="G6" s="1">
        <f t="shared" ref="G6:I6" si="0">G4-F4</f>
        <v>2579.2211808000138</v>
      </c>
      <c r="H6" s="1">
        <f t="shared" si="0"/>
        <v>1174.3687929600128</v>
      </c>
      <c r="I6" s="1">
        <f t="shared" si="0"/>
        <v>6224.1546026880242</v>
      </c>
      <c r="J6" s="1">
        <f>J4-I4</f>
        <v>5228.2898662579246</v>
      </c>
    </row>
    <row r="8" spans="2:10" x14ac:dyDescent="0.2">
      <c r="B8" t="s">
        <v>21</v>
      </c>
      <c r="C8">
        <v>29927</v>
      </c>
      <c r="D8">
        <v>49487</v>
      </c>
      <c r="E8">
        <f>E9*Taul1!D4</f>
        <v>55893.288000000008</v>
      </c>
      <c r="F8">
        <f>F9*Taul1!E4</f>
        <v>54877.046400000007</v>
      </c>
      <c r="G8">
        <f>G9*Taul1!F4</f>
        <v>52846.595683200008</v>
      </c>
      <c r="H8">
        <f>H9*Taul1!G4</f>
        <v>49793.236821504011</v>
      </c>
      <c r="I8">
        <f>I9*Taul1!H4</f>
        <v>45747.536329756818</v>
      </c>
      <c r="J8">
        <f>J9*Taul1!I4</f>
        <v>47577.43778294709</v>
      </c>
    </row>
    <row r="9" spans="2:10" x14ac:dyDescent="0.2">
      <c r="B9" t="s">
        <v>19</v>
      </c>
      <c r="C9" s="3">
        <f>C8/Taul1!B4</f>
        <v>7.6572738600571608E-2</v>
      </c>
      <c r="D9" s="3">
        <f>D8/Taul1!C4</f>
        <v>0.10713141441956323</v>
      </c>
      <c r="E9" s="3">
        <v>0.11</v>
      </c>
      <c r="F9" s="3">
        <v>0.1</v>
      </c>
      <c r="G9" s="3">
        <v>0.09</v>
      </c>
      <c r="H9" s="3">
        <v>0.08</v>
      </c>
      <c r="I9" s="3">
        <v>7.0000000000000007E-2</v>
      </c>
      <c r="J9" s="3">
        <v>7.0000000000000007E-2</v>
      </c>
    </row>
    <row r="10" spans="2:10" x14ac:dyDescent="0.2">
      <c r="B10" t="s">
        <v>20</v>
      </c>
      <c r="C10" s="1">
        <f>C8-29208</f>
        <v>719</v>
      </c>
      <c r="D10" s="1">
        <f>D8-C8</f>
        <v>19560</v>
      </c>
      <c r="E10" s="1">
        <f t="shared" ref="E10:J10" si="1">E8-D8</f>
        <v>6406.2880000000077</v>
      </c>
      <c r="F10" s="1">
        <f t="shared" si="1"/>
        <v>-1016.2416000000012</v>
      </c>
      <c r="G10" s="1">
        <f t="shared" si="1"/>
        <v>-2030.4507167999982</v>
      </c>
      <c r="H10" s="1">
        <f t="shared" si="1"/>
        <v>-3053.3588616959969</v>
      </c>
      <c r="I10" s="1">
        <f t="shared" si="1"/>
        <v>-4045.7004917471932</v>
      </c>
      <c r="J10" s="1">
        <f t="shared" si="1"/>
        <v>1829.9014531902722</v>
      </c>
    </row>
    <row r="12" spans="2:10" x14ac:dyDescent="0.2">
      <c r="B12" t="s">
        <v>22</v>
      </c>
      <c r="C12" s="1">
        <v>85200</v>
      </c>
      <c r="D12" s="1">
        <v>109487</v>
      </c>
      <c r="E12" s="1">
        <f>E13*Taul1!D4</f>
        <v>121948.99200000001</v>
      </c>
      <c r="F12" s="1">
        <f>F13*Taul1!E4</f>
        <v>126217.20672000002</v>
      </c>
      <c r="G12" s="1">
        <f>G13*Taul1!F4</f>
        <v>129180.56722560003</v>
      </c>
      <c r="H12" s="1">
        <f>H13*Taul1!G4</f>
        <v>130707.24665644803</v>
      </c>
      <c r="I12" s="1">
        <f>I13*Taul1!H4</f>
        <v>130707.24665644806</v>
      </c>
      <c r="J12" s="1">
        <f>J13*Taul1!I4</f>
        <v>135935.53652270598</v>
      </c>
    </row>
    <row r="13" spans="2:10" x14ac:dyDescent="0.2">
      <c r="B13" t="s">
        <v>19</v>
      </c>
      <c r="C13" s="3">
        <f>C12/Taul1!B4</f>
        <v>0.21799703708252416</v>
      </c>
      <c r="D13" s="3">
        <f>D12/Taul1!C4</f>
        <v>0.23702178694515164</v>
      </c>
      <c r="E13" s="3">
        <v>0.24</v>
      </c>
      <c r="F13" s="3">
        <v>0.23</v>
      </c>
      <c r="G13" s="3">
        <v>0.22</v>
      </c>
      <c r="H13" s="3">
        <v>0.21</v>
      </c>
      <c r="I13" s="3">
        <v>0.2</v>
      </c>
      <c r="J13" s="3">
        <v>0.2</v>
      </c>
    </row>
    <row r="14" spans="2:10" x14ac:dyDescent="0.2">
      <c r="B14" t="s">
        <v>20</v>
      </c>
      <c r="C14" s="1">
        <f>C12-79032</f>
        <v>6168</v>
      </c>
      <c r="D14" s="1">
        <f>D12-C12</f>
        <v>24287</v>
      </c>
      <c r="E14" s="1">
        <f>E12-D12</f>
        <v>12461.992000000013</v>
      </c>
      <c r="F14" s="1">
        <f t="shared" ref="F14:J14" si="2">F12-E12</f>
        <v>4268.2147200000036</v>
      </c>
      <c r="G14" s="1">
        <f t="shared" si="2"/>
        <v>2963.3605056000088</v>
      </c>
      <c r="H14" s="1">
        <f t="shared" si="2"/>
        <v>1526.6794308480021</v>
      </c>
      <c r="I14" s="1">
        <f t="shared" si="2"/>
        <v>0</v>
      </c>
      <c r="J14" s="1">
        <f t="shared" si="2"/>
        <v>5228.2898662579246</v>
      </c>
    </row>
    <row r="16" spans="2:10" x14ac:dyDescent="0.2">
      <c r="B16" t="s">
        <v>23</v>
      </c>
      <c r="C16" s="1">
        <f>C6+C10-C14</f>
        <v>1518</v>
      </c>
      <c r="D16" s="1">
        <f>D6+D10-D14</f>
        <v>7123</v>
      </c>
      <c r="E16" s="1">
        <f>E6+E10-E14</f>
        <v>3687.4760000000024</v>
      </c>
      <c r="F16" s="1">
        <f t="shared" ref="F16:J16" si="3">F6+F10-F14</f>
        <v>1117.8657599999933</v>
      </c>
      <c r="G16" s="1">
        <f t="shared" si="3"/>
        <v>-2414.5900415999931</v>
      </c>
      <c r="H16" s="1">
        <f t="shared" si="3"/>
        <v>-3405.6694995839862</v>
      </c>
      <c r="I16" s="1">
        <f t="shared" si="3"/>
        <v>2178.454110940831</v>
      </c>
      <c r="J16" s="1">
        <f t="shared" si="3"/>
        <v>1829.9014531902722</v>
      </c>
    </row>
    <row r="19" spans="2:10" x14ac:dyDescent="0.2">
      <c r="B19" s="2" t="s">
        <v>30</v>
      </c>
    </row>
    <row r="21" spans="2:10" x14ac:dyDescent="0.2">
      <c r="C21" s="2">
        <v>2014</v>
      </c>
      <c r="D21" s="2">
        <v>2015</v>
      </c>
      <c r="E21" s="2">
        <v>2016</v>
      </c>
      <c r="F21" s="2">
        <v>2017</v>
      </c>
      <c r="G21" s="2">
        <v>2018</v>
      </c>
      <c r="H21" s="2">
        <v>2019</v>
      </c>
      <c r="I21" s="2">
        <v>2020</v>
      </c>
      <c r="J21" s="2">
        <v>2021</v>
      </c>
    </row>
    <row r="22" spans="2:10" x14ac:dyDescent="0.2">
      <c r="B22" t="s">
        <v>18</v>
      </c>
      <c r="C22">
        <v>92734</v>
      </c>
      <c r="D22">
        <v>104584</v>
      </c>
      <c r="E22" s="1">
        <f>E23*Taul1!D35</f>
        <v>119523.87</v>
      </c>
      <c r="F22" s="1">
        <f>F23*Taul1!E35</f>
        <v>136735.30727999998</v>
      </c>
      <c r="G22" s="1">
        <f>G23*Taul1!F35</f>
        <v>154013.67792719998</v>
      </c>
      <c r="H22" s="1">
        <f>H23*Taul1!G35</f>
        <v>173082.03805151998</v>
      </c>
      <c r="I22" s="1">
        <f>I23*Taul1!H35</f>
        <v>202505.98452027835</v>
      </c>
      <c r="J22" s="1">
        <f>J23*Taul1!I35</f>
        <v>234906.94204352284</v>
      </c>
    </row>
    <row r="23" spans="2:10" x14ac:dyDescent="0.2">
      <c r="B23" t="s">
        <v>19</v>
      </c>
      <c r="C23" s="3">
        <f>C22/Taul1!B35</f>
        <v>0.23727391123017366</v>
      </c>
      <c r="D23" s="3">
        <f>D22/Taul1!C35</f>
        <v>0.22640757867026895</v>
      </c>
      <c r="E23" s="3">
        <v>0.22500000000000001</v>
      </c>
      <c r="F23" s="3">
        <v>0.22</v>
      </c>
      <c r="G23" s="3">
        <v>0.21</v>
      </c>
      <c r="H23" s="3">
        <v>0.2</v>
      </c>
      <c r="I23" s="3">
        <v>0.2</v>
      </c>
      <c r="J23" s="3">
        <v>0.2</v>
      </c>
    </row>
    <row r="24" spans="2:10" x14ac:dyDescent="0.2">
      <c r="B24" t="s">
        <v>20</v>
      </c>
      <c r="C24" s="1">
        <f>C22- 85767</f>
        <v>6967</v>
      </c>
      <c r="D24" s="1">
        <f>D22-C22</f>
        <v>11850</v>
      </c>
      <c r="E24" s="1">
        <f>E22-D22</f>
        <v>14939.869999999995</v>
      </c>
      <c r="F24" s="1">
        <f>F22-E22</f>
        <v>17211.437279999984</v>
      </c>
      <c r="G24" s="1">
        <f t="shared" ref="G24" si="4">G22-F22</f>
        <v>17278.370647200005</v>
      </c>
      <c r="H24" s="1">
        <f t="shared" ref="H24" si="5">H22-G22</f>
        <v>19068.360124319996</v>
      </c>
      <c r="I24" s="1">
        <f t="shared" ref="I24" si="6">I22-H22</f>
        <v>29423.946468758368</v>
      </c>
      <c r="J24" s="1">
        <f>J22-I22</f>
        <v>32400.957523244491</v>
      </c>
    </row>
    <row r="26" spans="2:10" x14ac:dyDescent="0.2">
      <c r="B26" t="s">
        <v>21</v>
      </c>
      <c r="C26">
        <v>29927</v>
      </c>
      <c r="D26">
        <v>49487</v>
      </c>
      <c r="E26" s="1">
        <f>E27*Taul1!D35</f>
        <v>58433.891999999993</v>
      </c>
      <c r="F26" s="1">
        <f>F27*Taul1!E35</f>
        <v>62152.412400000001</v>
      </c>
      <c r="G26" s="1">
        <f>G27*Taul1!F35</f>
        <v>66005.861968799989</v>
      </c>
      <c r="H26" s="1">
        <f>H27*Taul1!G35</f>
        <v>69232.815220607983</v>
      </c>
      <c r="I26" s="1">
        <f>I27*Taul1!H35</f>
        <v>70877.09458209743</v>
      </c>
      <c r="J26" s="1">
        <f>J27*Taul1!I35</f>
        <v>82217.429715232996</v>
      </c>
    </row>
    <row r="27" spans="2:10" x14ac:dyDescent="0.2">
      <c r="B27" t="s">
        <v>19</v>
      </c>
      <c r="C27" s="3">
        <f>C26/Taul1!B35</f>
        <v>7.6572738600571608E-2</v>
      </c>
      <c r="D27" s="3">
        <f>D26/Taul1!C35</f>
        <v>0.10713141441956323</v>
      </c>
      <c r="E27" s="3">
        <v>0.11</v>
      </c>
      <c r="F27" s="3">
        <v>0.1</v>
      </c>
      <c r="G27" s="3">
        <v>0.09</v>
      </c>
      <c r="H27" s="3">
        <v>0.08</v>
      </c>
      <c r="I27" s="3">
        <v>7.0000000000000007E-2</v>
      </c>
      <c r="J27" s="3">
        <v>7.0000000000000007E-2</v>
      </c>
    </row>
    <row r="28" spans="2:10" x14ac:dyDescent="0.2">
      <c r="B28" t="s">
        <v>20</v>
      </c>
      <c r="C28" s="1">
        <f>C26-29208</f>
        <v>719</v>
      </c>
      <c r="D28" s="1">
        <f>D26-C26</f>
        <v>19560</v>
      </c>
      <c r="E28" s="1">
        <f>E26-D26</f>
        <v>8946.8919999999925</v>
      </c>
      <c r="F28" s="1">
        <f>F26-E26</f>
        <v>3718.5204000000085</v>
      </c>
      <c r="G28" s="1">
        <f>G26-F26</f>
        <v>3853.4495687999879</v>
      </c>
      <c r="H28" s="1">
        <f t="shared" ref="H28" si="7">H26-G26</f>
        <v>3226.9532518079941</v>
      </c>
      <c r="I28" s="1">
        <f t="shared" ref="I28" si="8">I26-H26</f>
        <v>1644.2793614894472</v>
      </c>
      <c r="J28" s="1">
        <f t="shared" ref="J28" si="9">J26-I26</f>
        <v>11340.335133135566</v>
      </c>
    </row>
    <row r="30" spans="2:10" x14ac:dyDescent="0.2">
      <c r="B30" t="s">
        <v>22</v>
      </c>
      <c r="C30" s="1">
        <v>85200</v>
      </c>
      <c r="D30" s="1">
        <v>109487</v>
      </c>
      <c r="E30" s="1">
        <f>E31*Taul1!D35</f>
        <v>132804.29999999999</v>
      </c>
      <c r="F30" s="1">
        <f>F31*Taul1!E35</f>
        <v>149165.78975999999</v>
      </c>
      <c r="G30" s="1">
        <f>G31*Taul1!F35</f>
        <v>168681.64725359998</v>
      </c>
      <c r="H30" s="1">
        <f>H31*Taul1!G35</f>
        <v>199044.34375924797</v>
      </c>
      <c r="I30" s="1">
        <f>I31*Taul1!H35</f>
        <v>222756.58297230618</v>
      </c>
      <c r="J30" s="1">
        <f>J31*Taul1!I35</f>
        <v>246652.28914569897</v>
      </c>
    </row>
    <row r="31" spans="2:10" x14ac:dyDescent="0.2">
      <c r="B31" t="s">
        <v>19</v>
      </c>
      <c r="C31" s="3">
        <f>C30/Taul1!B35</f>
        <v>0.21799703708252416</v>
      </c>
      <c r="D31" s="3">
        <f>D30/Taul1!C35</f>
        <v>0.23702178694515164</v>
      </c>
      <c r="E31" s="3">
        <v>0.25</v>
      </c>
      <c r="F31" s="3">
        <v>0.24</v>
      </c>
      <c r="G31" s="3">
        <v>0.23</v>
      </c>
      <c r="H31" s="3">
        <v>0.23</v>
      </c>
      <c r="I31" s="3">
        <v>0.22</v>
      </c>
      <c r="J31" s="3">
        <v>0.21</v>
      </c>
    </row>
    <row r="32" spans="2:10" x14ac:dyDescent="0.2">
      <c r="B32" t="s">
        <v>20</v>
      </c>
      <c r="C32" s="1">
        <f>C30-79032</f>
        <v>6168</v>
      </c>
      <c r="D32" s="1">
        <f>D30-C30</f>
        <v>24287</v>
      </c>
      <c r="E32" s="1">
        <f>E30-D30</f>
        <v>23317.299999999988</v>
      </c>
      <c r="F32" s="1">
        <f t="shared" ref="F32" si="10">F30-E30</f>
        <v>16361.489759999997</v>
      </c>
      <c r="G32" s="1">
        <f t="shared" ref="G32" si="11">G30-F30</f>
        <v>19515.857493599993</v>
      </c>
      <c r="H32" s="1">
        <f t="shared" ref="H32" si="12">H30-G30</f>
        <v>30362.696505647997</v>
      </c>
      <c r="I32" s="1">
        <f t="shared" ref="I32" si="13">I30-H30</f>
        <v>23712.239213058201</v>
      </c>
      <c r="J32" s="1">
        <f t="shared" ref="J32" si="14">J30-I30</f>
        <v>23895.706173392799</v>
      </c>
    </row>
    <row r="34" spans="2:10" x14ac:dyDescent="0.2">
      <c r="B34" t="s">
        <v>23</v>
      </c>
      <c r="C34" s="1">
        <f>C24+C28-C32</f>
        <v>1518</v>
      </c>
      <c r="D34" s="1">
        <f>D24+D28-D32</f>
        <v>7123</v>
      </c>
      <c r="E34" s="1">
        <f>E24+E28-E32</f>
        <v>569.46199999999953</v>
      </c>
      <c r="F34" s="1">
        <f t="shared" ref="F34:J34" si="15">F24+F28-F32</f>
        <v>4568.4679199999955</v>
      </c>
      <c r="G34" s="1">
        <f t="shared" si="15"/>
        <v>1615.9627223999996</v>
      </c>
      <c r="H34" s="1">
        <f t="shared" si="15"/>
        <v>-8067.3831295200071</v>
      </c>
      <c r="I34" s="1">
        <f t="shared" si="15"/>
        <v>7355.9866171896138</v>
      </c>
      <c r="J34" s="1">
        <f t="shared" si="15"/>
        <v>19845.586482987259</v>
      </c>
    </row>
    <row r="37" spans="2:10" x14ac:dyDescent="0.2">
      <c r="B37" t="s">
        <v>31</v>
      </c>
    </row>
    <row r="39" spans="2:10" x14ac:dyDescent="0.2">
      <c r="C39" s="2">
        <v>2014</v>
      </c>
      <c r="D39" s="2">
        <v>2015</v>
      </c>
      <c r="E39" s="2">
        <v>2016</v>
      </c>
      <c r="F39" s="2">
        <v>2017</v>
      </c>
      <c r="G39" s="2">
        <v>2018</v>
      </c>
      <c r="H39" s="2">
        <v>2019</v>
      </c>
      <c r="I39" s="2">
        <v>2020</v>
      </c>
      <c r="J39" s="2">
        <v>2021</v>
      </c>
    </row>
    <row r="40" spans="2:10" x14ac:dyDescent="0.2">
      <c r="B40" t="s">
        <v>18</v>
      </c>
      <c r="C40">
        <v>92734</v>
      </c>
      <c r="D40">
        <v>104584</v>
      </c>
      <c r="E40" s="1">
        <f>E41*Taul1!D66</f>
        <v>103933.8</v>
      </c>
      <c r="F40" s="1">
        <f>F41*Taul1!E66</f>
        <v>96542.95199999999</v>
      </c>
      <c r="G40" s="1">
        <f>G41*Taul1!F66</f>
        <v>82939.172399999996</v>
      </c>
      <c r="H40" s="1">
        <f>H41*Taul1!G66</f>
        <v>71090.719200000007</v>
      </c>
      <c r="I40" s="1">
        <f>I41*Taul1!H66</f>
        <v>67536.183239999998</v>
      </c>
      <c r="J40" s="1">
        <f>J41*Taul1!I66</f>
        <v>64159.374077999993</v>
      </c>
    </row>
    <row r="41" spans="2:10" x14ac:dyDescent="0.2">
      <c r="B41" t="s">
        <v>19</v>
      </c>
      <c r="C41" s="3">
        <f>C40/Taul1!B66</f>
        <v>0.23727391123017366</v>
      </c>
      <c r="D41" s="3">
        <f>D40/Taul1!C66</f>
        <v>0.22640757867026895</v>
      </c>
      <c r="E41" s="3">
        <v>0.22500000000000001</v>
      </c>
      <c r="F41" s="3">
        <v>0.22</v>
      </c>
      <c r="G41" s="3">
        <v>0.21</v>
      </c>
      <c r="H41" s="3">
        <v>0.2</v>
      </c>
      <c r="I41" s="3">
        <v>0.2</v>
      </c>
      <c r="J41" s="3">
        <v>0.2</v>
      </c>
    </row>
    <row r="42" spans="2:10" x14ac:dyDescent="0.2">
      <c r="B42" t="s">
        <v>20</v>
      </c>
      <c r="C42" s="1">
        <f>C40- 85767</f>
        <v>6967</v>
      </c>
      <c r="D42" s="1">
        <f>D40-C40</f>
        <v>11850</v>
      </c>
      <c r="E42" s="1">
        <f>E40-D40</f>
        <v>-650.19999999999709</v>
      </c>
      <c r="F42" s="1">
        <f>F40-E40</f>
        <v>-7390.8480000000127</v>
      </c>
      <c r="G42" s="1">
        <f t="shared" ref="G42" si="16">G40-F40</f>
        <v>-13603.779599999994</v>
      </c>
      <c r="H42" s="1">
        <f t="shared" ref="H42" si="17">H40-G40</f>
        <v>-11848.453199999989</v>
      </c>
      <c r="I42" s="1">
        <f t="shared" ref="I42" si="18">I40-H40</f>
        <v>-3554.5359600000083</v>
      </c>
      <c r="J42" s="1">
        <f>J40-I40</f>
        <v>-3376.809162000005</v>
      </c>
    </row>
    <row r="44" spans="2:10" x14ac:dyDescent="0.2">
      <c r="B44" t="s">
        <v>21</v>
      </c>
      <c r="C44">
        <v>29927</v>
      </c>
      <c r="D44">
        <v>49487</v>
      </c>
      <c r="E44">
        <f>E45*Taul1!D66</f>
        <v>50812.08</v>
      </c>
      <c r="F44">
        <f>F45*Taul1!E66</f>
        <v>43883.16</v>
      </c>
      <c r="G44">
        <f>G45*Taul1!F66</f>
        <v>35545.359599999996</v>
      </c>
      <c r="H44">
        <f>H45*Taul1!G66</f>
        <v>28436.287680000001</v>
      </c>
      <c r="I44">
        <f>I45*Taul1!H66</f>
        <v>23637.664134000002</v>
      </c>
      <c r="J44">
        <f>J45*Taul1!I66</f>
        <v>22455.780927299998</v>
      </c>
    </row>
    <row r="45" spans="2:10" x14ac:dyDescent="0.2">
      <c r="B45" t="s">
        <v>19</v>
      </c>
      <c r="C45" s="3">
        <f>C44/Taul1!B66</f>
        <v>7.6572738600571608E-2</v>
      </c>
      <c r="D45" s="3">
        <f>D44/Taul1!C66</f>
        <v>0.10713141441956323</v>
      </c>
      <c r="E45" s="3">
        <v>0.11</v>
      </c>
      <c r="F45" s="3">
        <v>0.1</v>
      </c>
      <c r="G45" s="3">
        <v>0.09</v>
      </c>
      <c r="H45" s="3">
        <v>0.08</v>
      </c>
      <c r="I45" s="3">
        <v>7.0000000000000007E-2</v>
      </c>
      <c r="J45" s="3">
        <v>7.0000000000000007E-2</v>
      </c>
    </row>
    <row r="46" spans="2:10" x14ac:dyDescent="0.2">
      <c r="B46" t="s">
        <v>20</v>
      </c>
      <c r="C46" s="1">
        <f>C44-29208</f>
        <v>719</v>
      </c>
      <c r="D46" s="1">
        <f>D44-C44</f>
        <v>19560</v>
      </c>
      <c r="E46" s="1">
        <f t="shared" ref="E46" si="19">E44-D44</f>
        <v>1325.0800000000017</v>
      </c>
      <c r="F46" s="1">
        <f t="shared" ref="F46" si="20">F44-E44</f>
        <v>-6928.9199999999983</v>
      </c>
      <c r="G46" s="1">
        <f t="shared" ref="G46" si="21">G44-F44</f>
        <v>-8337.8004000000074</v>
      </c>
      <c r="H46" s="1">
        <f t="shared" ref="H46" si="22">H44-G44</f>
        <v>-7109.0719199999949</v>
      </c>
      <c r="I46" s="1">
        <f t="shared" ref="I46" si="23">I44-H44</f>
        <v>-4798.6235459999989</v>
      </c>
      <c r="J46" s="1">
        <f t="shared" ref="J46" si="24">J44-I44</f>
        <v>-1181.8832067000039</v>
      </c>
    </row>
    <row r="48" spans="2:10" x14ac:dyDescent="0.2">
      <c r="B48" t="s">
        <v>22</v>
      </c>
      <c r="C48" s="1">
        <v>85200</v>
      </c>
      <c r="D48" s="1">
        <v>109487</v>
      </c>
      <c r="E48" s="1">
        <f>E49*Taul1!D66</f>
        <v>106243.44</v>
      </c>
      <c r="F48" s="1">
        <f>F49*Taul1!E66</f>
        <v>96542.95199999999</v>
      </c>
      <c r="G48" s="1">
        <f>G49*Taul1!F66</f>
        <v>82939.172399999996</v>
      </c>
      <c r="H48" s="1">
        <f>H49*Taul1!G66</f>
        <v>74645.255160000001</v>
      </c>
      <c r="I48" s="1">
        <f>I49*Taul1!H66</f>
        <v>67536.183239999998</v>
      </c>
      <c r="J48" s="1">
        <f>J49*Taul1!I66</f>
        <v>60951.405374099988</v>
      </c>
    </row>
    <row r="49" spans="2:10" x14ac:dyDescent="0.2">
      <c r="B49" t="s">
        <v>19</v>
      </c>
      <c r="C49" s="3">
        <f>C48/Taul1!B66</f>
        <v>0.21799703708252416</v>
      </c>
      <c r="D49" s="3">
        <f>D48/Taul1!C66</f>
        <v>0.23702178694515164</v>
      </c>
      <c r="E49" s="3">
        <v>0.23</v>
      </c>
      <c r="F49" s="3">
        <v>0.22</v>
      </c>
      <c r="G49" s="3">
        <v>0.21</v>
      </c>
      <c r="H49" s="3">
        <v>0.21</v>
      </c>
      <c r="I49" s="3">
        <v>0.2</v>
      </c>
      <c r="J49" s="3">
        <v>0.19</v>
      </c>
    </row>
    <row r="50" spans="2:10" x14ac:dyDescent="0.2">
      <c r="B50" t="s">
        <v>20</v>
      </c>
      <c r="C50" s="1">
        <f>C48-79032</f>
        <v>6168</v>
      </c>
      <c r="D50" s="1">
        <f>D48-C48</f>
        <v>24287</v>
      </c>
      <c r="E50" s="1">
        <f>E48-D48</f>
        <v>-3243.5599999999977</v>
      </c>
      <c r="F50" s="1">
        <f t="shared" ref="F50" si="25">F48-E48</f>
        <v>-9700.4880000000121</v>
      </c>
      <c r="G50" s="1">
        <f t="shared" ref="G50" si="26">G48-F48</f>
        <v>-13603.779599999994</v>
      </c>
      <c r="H50" s="1">
        <f t="shared" ref="H50" si="27">H48-G48</f>
        <v>-8293.9172399999952</v>
      </c>
      <c r="I50" s="1">
        <f t="shared" ref="I50" si="28">I48-H48</f>
        <v>-7109.0719200000021</v>
      </c>
      <c r="J50" s="1">
        <f t="shared" ref="J50" si="29">J48-I48</f>
        <v>-6584.7778659000105</v>
      </c>
    </row>
    <row r="52" spans="2:10" x14ac:dyDescent="0.2">
      <c r="B52" t="s">
        <v>23</v>
      </c>
      <c r="C52" s="1">
        <f>C42+C46-C50</f>
        <v>1518</v>
      </c>
      <c r="D52" s="1">
        <f>D42+D46-D50</f>
        <v>7123</v>
      </c>
      <c r="E52" s="1">
        <f>E42+E46-E50</f>
        <v>3918.4400000000023</v>
      </c>
      <c r="F52" s="1">
        <f t="shared" ref="F52:J52" si="30">F42+F46-F50</f>
        <v>-4619.2799999999988</v>
      </c>
      <c r="G52" s="1">
        <f t="shared" si="30"/>
        <v>-8337.8004000000074</v>
      </c>
      <c r="H52" s="1">
        <f t="shared" si="30"/>
        <v>-10663.607879999989</v>
      </c>
      <c r="I52" s="1">
        <f t="shared" si="30"/>
        <v>-1244.0875860000051</v>
      </c>
      <c r="J52" s="1">
        <f t="shared" si="30"/>
        <v>2026.0854972000016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Taul1</vt:lpstr>
      <vt:lpstr>Esitystaulukot</vt:lpstr>
      <vt:lpstr>Working capital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-käyttäjä</dc:creator>
  <cp:lastModifiedBy>Microsoft Office -käyttäjä</cp:lastModifiedBy>
  <dcterms:created xsi:type="dcterms:W3CDTF">2016-11-22T08:55:28Z</dcterms:created>
  <dcterms:modified xsi:type="dcterms:W3CDTF">2016-11-28T15:09:50Z</dcterms:modified>
</cp:coreProperties>
</file>