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tony_ochoa/Documents/Bremen University/___Thesis____/My work/HSC det&amp;stoch model_14.02.2019 - Main Copy (2)/data/"/>
    </mc:Choice>
  </mc:AlternateContent>
  <xr:revisionPtr revIDLastSave="0" documentId="13_ncr:1_{E0BC6A35-A5E3-5440-9628-3BD1272F8687}" xr6:coauthVersionLast="36" xr6:coauthVersionMax="36" xr10:uidLastSave="{00000000-0000-0000-0000-000000000000}"/>
  <bookViews>
    <workbookView xWindow="700" yWindow="460" windowWidth="24900" windowHeight="14800" tabRatio="668" activeTab="2" xr2:uid="{00000000-000D-0000-FFFF-FFFF00000000}"/>
  </bookViews>
  <sheets>
    <sheet name="Chemical reaction" sheetId="1" r:id="rId1"/>
    <sheet name="Basic Info" sheetId="4" r:id="rId2"/>
    <sheet name="Distance" sheetId="5" r:id="rId3"/>
    <sheet name="Risk" sheetId="11" r:id="rId4"/>
    <sheet name="Demand" sheetId="9" r:id="rId5"/>
    <sheet name="Supply" sheetId="3" r:id="rId6"/>
    <sheet name="Electricity consumption" sheetId="8" r:id="rId7"/>
    <sheet name="Electricity generation" sheetId="10" r:id="rId8"/>
    <sheet name="Power generation_NEW" sheetId="7" r:id="rId9"/>
  </sheets>
  <definedNames>
    <definedName name="_xlnm._FilterDatabase" localSheetId="4" hidden="1">Demand!$B$4:$P$19</definedName>
    <definedName name="_xlnm.Print_Area" localSheetId="7">'Electricity generation'!$A$1:$Q$66</definedName>
    <definedName name="solver_adj" localSheetId="6" hidden="1">'Electricity consumption'!$L$13:$M$13</definedName>
    <definedName name="solver_adj" localSheetId="7" hidden="1">'Electricity generation'!$N$15:$O$15</definedName>
    <definedName name="solver_cvg" localSheetId="6" hidden="1">0.0001</definedName>
    <definedName name="solver_cvg" localSheetId="7" hidden="1">0.0001</definedName>
    <definedName name="solver_drv" localSheetId="6" hidden="1">1</definedName>
    <definedName name="solver_drv" localSheetId="7" hidden="1">1</definedName>
    <definedName name="solver_eng" localSheetId="6" hidden="1">1</definedName>
    <definedName name="solver_eng" localSheetId="7" hidden="1">1</definedName>
    <definedName name="solver_est" localSheetId="6" hidden="1">1</definedName>
    <definedName name="solver_est" localSheetId="7" hidden="1">1</definedName>
    <definedName name="solver_itr" localSheetId="6" hidden="1">2147483647</definedName>
    <definedName name="solver_itr" localSheetId="7" hidden="1">2147483647</definedName>
    <definedName name="solver_mip" localSheetId="6" hidden="1">2147483647</definedName>
    <definedName name="solver_mip" localSheetId="7" hidden="1">2147483647</definedName>
    <definedName name="solver_mni" localSheetId="6" hidden="1">30</definedName>
    <definedName name="solver_mni" localSheetId="7" hidden="1">30</definedName>
    <definedName name="solver_mrt" localSheetId="6" hidden="1">0.075</definedName>
    <definedName name="solver_mrt" localSheetId="7" hidden="1">0.075</definedName>
    <definedName name="solver_msl" localSheetId="6" hidden="1">2</definedName>
    <definedName name="solver_msl" localSheetId="7" hidden="1">2</definedName>
    <definedName name="solver_neg" localSheetId="6" hidden="1">1</definedName>
    <definedName name="solver_neg" localSheetId="7" hidden="1">1</definedName>
    <definedName name="solver_nod" localSheetId="6" hidden="1">2147483647</definedName>
    <definedName name="solver_nod" localSheetId="7" hidden="1">2147483647</definedName>
    <definedName name="solver_num" localSheetId="6" hidden="1">0</definedName>
    <definedName name="solver_num" localSheetId="7" hidden="1">0</definedName>
    <definedName name="solver_nwt" localSheetId="6" hidden="1">1</definedName>
    <definedName name="solver_nwt" localSheetId="7" hidden="1">1</definedName>
    <definedName name="solver_opt" localSheetId="6" hidden="1">'Electricity consumption'!$S$61</definedName>
    <definedName name="solver_opt" localSheetId="7" hidden="1">'Electricity generation'!$W$33</definedName>
    <definedName name="solver_pre" localSheetId="6" hidden="1">0.000001</definedName>
    <definedName name="solver_pre" localSheetId="7" hidden="1">0.000001</definedName>
    <definedName name="solver_rbv" localSheetId="6" hidden="1">1</definedName>
    <definedName name="solver_rbv" localSheetId="7" hidden="1">1</definedName>
    <definedName name="solver_rlx" localSheetId="6" hidden="1">2</definedName>
    <definedName name="solver_rlx" localSheetId="7" hidden="1">2</definedName>
    <definedName name="solver_rsd" localSheetId="6" hidden="1">0</definedName>
    <definedName name="solver_rsd" localSheetId="7" hidden="1">0</definedName>
    <definedName name="solver_scl" localSheetId="6" hidden="1">1</definedName>
    <definedName name="solver_scl" localSheetId="7" hidden="1">1</definedName>
    <definedName name="solver_sho" localSheetId="6" hidden="1">2</definedName>
    <definedName name="solver_sho" localSheetId="7" hidden="1">2</definedName>
    <definedName name="solver_ssz" localSheetId="6" hidden="1">100</definedName>
    <definedName name="solver_ssz" localSheetId="7" hidden="1">100</definedName>
    <definedName name="solver_tim" localSheetId="6" hidden="1">2147483647</definedName>
    <definedName name="solver_tim" localSheetId="7" hidden="1">2147483647</definedName>
    <definedName name="solver_tol" localSheetId="6" hidden="1">0.01</definedName>
    <definedName name="solver_tol" localSheetId="7" hidden="1">0.01</definedName>
    <definedName name="solver_typ" localSheetId="6" hidden="1">2</definedName>
    <definedName name="solver_typ" localSheetId="7" hidden="1">2</definedName>
    <definedName name="solver_val" localSheetId="6" hidden="1">0</definedName>
    <definedName name="solver_val" localSheetId="7" hidden="1">0</definedName>
    <definedName name="solver_ver" localSheetId="6" hidden="1">3</definedName>
    <definedName name="solver_ver" localSheetId="7" hidden="1">3</definedName>
  </definedNames>
  <calcPr calcId="181029" calcMode="manual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4" l="1"/>
  <c r="E36" i="4"/>
  <c r="F7" i="4"/>
  <c r="F36" i="4"/>
  <c r="B7" i="4"/>
  <c r="B37" i="4"/>
  <c r="N15" i="11"/>
  <c r="N16" i="11"/>
  <c r="N17" i="11"/>
  <c r="M14" i="11"/>
  <c r="M15" i="11"/>
  <c r="M16" i="11"/>
  <c r="M17" i="11"/>
  <c r="L13" i="11"/>
  <c r="L14" i="11"/>
  <c r="L15" i="11"/>
  <c r="L16" i="11"/>
  <c r="L17" i="11"/>
  <c r="K12" i="11"/>
  <c r="K13" i="11"/>
  <c r="K14" i="11"/>
  <c r="K15" i="11"/>
  <c r="K16" i="11"/>
  <c r="K17" i="11"/>
  <c r="J11" i="11"/>
  <c r="J12" i="11"/>
  <c r="J13" i="11"/>
  <c r="J14" i="11"/>
  <c r="J15" i="11"/>
  <c r="J16" i="11"/>
  <c r="J17" i="11"/>
  <c r="I10" i="11"/>
  <c r="I11" i="11"/>
  <c r="I12" i="11"/>
  <c r="I13" i="11"/>
  <c r="I14" i="11"/>
  <c r="I15" i="11"/>
  <c r="I16" i="11"/>
  <c r="H9" i="11"/>
  <c r="H10" i="11"/>
  <c r="H11" i="11"/>
  <c r="H12" i="11"/>
  <c r="H13" i="11"/>
  <c r="H14" i="11"/>
  <c r="H15" i="11"/>
  <c r="H16" i="11"/>
  <c r="H17" i="11"/>
  <c r="G8" i="11"/>
  <c r="G9" i="11"/>
  <c r="G10" i="11"/>
  <c r="G11" i="11"/>
  <c r="G12" i="11"/>
  <c r="G13" i="11"/>
  <c r="G14" i="11"/>
  <c r="G15" i="11"/>
  <c r="G16" i="11"/>
  <c r="G17" i="11"/>
  <c r="F7" i="11"/>
  <c r="F8" i="11"/>
  <c r="F9" i="11"/>
  <c r="F10" i="11"/>
  <c r="F11" i="11"/>
  <c r="F12" i="11"/>
  <c r="F13" i="11"/>
  <c r="F14" i="11"/>
  <c r="F15" i="11"/>
  <c r="F16" i="11"/>
  <c r="F17" i="11"/>
  <c r="E6" i="11"/>
  <c r="E7" i="11"/>
  <c r="E8" i="11"/>
  <c r="E9" i="11"/>
  <c r="E10" i="11"/>
  <c r="E11" i="11"/>
  <c r="E12" i="11"/>
  <c r="E13" i="11"/>
  <c r="E14" i="11"/>
  <c r="E15" i="11"/>
  <c r="E16" i="11"/>
  <c r="E17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G12" i="4"/>
  <c r="G23" i="4"/>
  <c r="G19" i="4"/>
  <c r="G29" i="4"/>
  <c r="G30" i="4"/>
  <c r="G7" i="4"/>
  <c r="G36" i="4"/>
  <c r="G42" i="4"/>
  <c r="F12" i="4"/>
  <c r="F23" i="4"/>
  <c r="F19" i="4"/>
  <c r="F29" i="4"/>
  <c r="F37" i="4"/>
  <c r="F42" i="4"/>
  <c r="C23" i="4"/>
  <c r="C19" i="4"/>
  <c r="C29" i="4"/>
  <c r="C30" i="4"/>
  <c r="D12" i="4"/>
  <c r="D23" i="4"/>
  <c r="D19" i="4"/>
  <c r="D29" i="4"/>
  <c r="E12" i="4"/>
  <c r="E23" i="4"/>
  <c r="E19" i="4"/>
  <c r="E29" i="4"/>
  <c r="E30" i="4"/>
  <c r="H12" i="4"/>
  <c r="H23" i="4"/>
  <c r="H19" i="4"/>
  <c r="H29" i="4"/>
  <c r="I12" i="4"/>
  <c r="I23" i="4"/>
  <c r="I19" i="4"/>
  <c r="I29" i="4"/>
  <c r="I30" i="4"/>
  <c r="B23" i="4"/>
  <c r="B19" i="4"/>
  <c r="B29" i="4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48" i="7"/>
  <c r="B74" i="4"/>
  <c r="C55" i="9"/>
  <c r="E55" i="9"/>
  <c r="C70" i="9"/>
  <c r="H7" i="3"/>
  <c r="S15" i="5"/>
  <c r="B36" i="11"/>
  <c r="B18" i="11"/>
  <c r="C18" i="11"/>
  <c r="C36" i="11"/>
  <c r="D18" i="11"/>
  <c r="D36" i="11"/>
  <c r="E36" i="11"/>
  <c r="E18" i="11"/>
  <c r="F18" i="11"/>
  <c r="G18" i="11"/>
  <c r="F36" i="11"/>
  <c r="G36" i="11"/>
  <c r="H36" i="11"/>
  <c r="H18" i="11"/>
  <c r="I18" i="11"/>
  <c r="I36" i="11"/>
  <c r="J18" i="11"/>
  <c r="J36" i="11"/>
  <c r="K36" i="11"/>
  <c r="K18" i="11"/>
  <c r="L18" i="11"/>
  <c r="L36" i="11"/>
  <c r="M18" i="11"/>
  <c r="M36" i="11"/>
  <c r="N18" i="11"/>
  <c r="N36" i="11"/>
  <c r="O18" i="11"/>
  <c r="O36" i="11"/>
  <c r="Q36" i="11"/>
  <c r="Q18" i="11"/>
  <c r="P18" i="11"/>
  <c r="P36" i="11"/>
  <c r="P35" i="11"/>
  <c r="P17" i="11"/>
  <c r="O17" i="11"/>
  <c r="O35" i="11"/>
  <c r="N35" i="11"/>
  <c r="M35" i="11"/>
  <c r="L35" i="11"/>
  <c r="K35" i="11"/>
  <c r="J35" i="11"/>
  <c r="I17" i="11"/>
  <c r="I35" i="11"/>
  <c r="H35" i="11"/>
  <c r="G35" i="11"/>
  <c r="F35" i="11"/>
  <c r="E35" i="11"/>
  <c r="D35" i="11"/>
  <c r="C35" i="11"/>
  <c r="B35" i="11"/>
  <c r="B17" i="11"/>
  <c r="B16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16" i="11"/>
  <c r="O34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15" i="11"/>
  <c r="B33" i="11"/>
  <c r="B32" i="11"/>
  <c r="B14" i="11"/>
  <c r="C32" i="11"/>
  <c r="D32" i="11"/>
  <c r="E32" i="11"/>
  <c r="M32" i="11"/>
  <c r="F32" i="11"/>
  <c r="G32" i="11"/>
  <c r="H32" i="11"/>
  <c r="I32" i="11"/>
  <c r="J32" i="11"/>
  <c r="L32" i="11"/>
  <c r="K32" i="11"/>
  <c r="L31" i="11"/>
  <c r="K31" i="11"/>
  <c r="J31" i="11"/>
  <c r="I31" i="11"/>
  <c r="H31" i="11"/>
  <c r="G31" i="11"/>
  <c r="F31" i="11"/>
  <c r="E31" i="11"/>
  <c r="D31" i="11"/>
  <c r="C31" i="11"/>
  <c r="B31" i="11"/>
  <c r="B13" i="11"/>
  <c r="B12" i="11"/>
  <c r="B30" i="11"/>
  <c r="C30" i="11"/>
  <c r="D30" i="11"/>
  <c r="E30" i="11"/>
  <c r="F30" i="11"/>
  <c r="G30" i="11"/>
  <c r="H30" i="11"/>
  <c r="I30" i="11"/>
  <c r="J30" i="11"/>
  <c r="K30" i="11"/>
  <c r="J29" i="11"/>
  <c r="I29" i="11"/>
  <c r="H29" i="11"/>
  <c r="G29" i="11"/>
  <c r="F29" i="11"/>
  <c r="E29" i="11"/>
  <c r="D29" i="11"/>
  <c r="C29" i="11"/>
  <c r="B29" i="11"/>
  <c r="B11" i="11"/>
  <c r="I28" i="11"/>
  <c r="F27" i="11"/>
  <c r="E27" i="11"/>
  <c r="D27" i="11"/>
  <c r="H28" i="11"/>
  <c r="G28" i="11"/>
  <c r="F28" i="11"/>
  <c r="E28" i="11"/>
  <c r="D28" i="11"/>
  <c r="C28" i="11"/>
  <c r="B28" i="11"/>
  <c r="B10" i="11"/>
  <c r="H27" i="11"/>
  <c r="G27" i="11"/>
  <c r="C27" i="11"/>
  <c r="B27" i="11"/>
  <c r="B9" i="11"/>
  <c r="G26" i="11"/>
  <c r="F26" i="11"/>
  <c r="E26" i="11"/>
  <c r="D26" i="11"/>
  <c r="C26" i="11"/>
  <c r="B26" i="11"/>
  <c r="C25" i="11"/>
  <c r="B8" i="11"/>
  <c r="F25" i="11"/>
  <c r="E25" i="11"/>
  <c r="D25" i="11"/>
  <c r="B7" i="11"/>
  <c r="B25" i="11"/>
  <c r="E24" i="11"/>
  <c r="D24" i="11"/>
  <c r="C24" i="11"/>
  <c r="B24" i="11"/>
  <c r="D23" i="11"/>
  <c r="C23" i="11"/>
  <c r="B23" i="11"/>
  <c r="C22" i="11"/>
  <c r="B21" i="11"/>
  <c r="B22" i="11"/>
  <c r="B5" i="11"/>
  <c r="F41" i="11"/>
  <c r="G41" i="11"/>
  <c r="H41" i="11"/>
  <c r="I41" i="11"/>
  <c r="J41" i="11"/>
  <c r="K41" i="11"/>
  <c r="F42" i="11"/>
  <c r="G42" i="11"/>
  <c r="H42" i="11"/>
  <c r="I42" i="11"/>
  <c r="J42" i="11"/>
  <c r="K42" i="11"/>
  <c r="F43" i="11"/>
  <c r="G43" i="11"/>
  <c r="H43" i="11"/>
  <c r="I43" i="11"/>
  <c r="J43" i="11"/>
  <c r="K43" i="11"/>
  <c r="F44" i="11"/>
  <c r="G44" i="11"/>
  <c r="H44" i="11"/>
  <c r="I44" i="11"/>
  <c r="J44" i="11"/>
  <c r="K44" i="11"/>
  <c r="F45" i="11"/>
  <c r="G45" i="11"/>
  <c r="H45" i="11"/>
  <c r="I45" i="11"/>
  <c r="J45" i="11"/>
  <c r="K45" i="11"/>
  <c r="F46" i="11"/>
  <c r="G46" i="11"/>
  <c r="H46" i="11"/>
  <c r="I46" i="11"/>
  <c r="J46" i="11"/>
  <c r="K46" i="11"/>
  <c r="F47" i="11"/>
  <c r="G47" i="11"/>
  <c r="H47" i="11"/>
  <c r="I47" i="11"/>
  <c r="J47" i="11"/>
  <c r="K47" i="11"/>
  <c r="F48" i="11"/>
  <c r="G48" i="11"/>
  <c r="H48" i="11"/>
  <c r="I48" i="11"/>
  <c r="J48" i="11"/>
  <c r="K48" i="11"/>
  <c r="F49" i="11"/>
  <c r="G49" i="11"/>
  <c r="H49" i="11"/>
  <c r="I49" i="11"/>
  <c r="J49" i="11"/>
  <c r="K49" i="11"/>
  <c r="F50" i="11"/>
  <c r="G50" i="11"/>
  <c r="H50" i="11"/>
  <c r="I50" i="11"/>
  <c r="J50" i="11"/>
  <c r="K50" i="11"/>
  <c r="F51" i="11"/>
  <c r="G51" i="11"/>
  <c r="H51" i="11"/>
  <c r="I51" i="11"/>
  <c r="J51" i="11"/>
  <c r="K51" i="11"/>
  <c r="F52" i="11"/>
  <c r="G52" i="11"/>
  <c r="H52" i="11"/>
  <c r="I52" i="11"/>
  <c r="J52" i="11"/>
  <c r="K52" i="11"/>
  <c r="F53" i="11"/>
  <c r="G53" i="11"/>
  <c r="H53" i="11"/>
  <c r="I53" i="11"/>
  <c r="J53" i="11"/>
  <c r="K53" i="11"/>
  <c r="B6" i="11"/>
  <c r="K54" i="11"/>
  <c r="K55" i="11"/>
  <c r="K56" i="11"/>
  <c r="J54" i="11"/>
  <c r="J55" i="11"/>
  <c r="J56" i="11"/>
  <c r="I54" i="11"/>
  <c r="I55" i="11"/>
  <c r="I56" i="11"/>
  <c r="H54" i="11"/>
  <c r="H55" i="11"/>
  <c r="H56" i="11"/>
  <c r="G54" i="11"/>
  <c r="G55" i="11"/>
  <c r="G56" i="11"/>
  <c r="F54" i="11"/>
  <c r="F55" i="11"/>
  <c r="F56" i="11"/>
  <c r="B57" i="11"/>
  <c r="B4" i="11"/>
  <c r="B3" i="11"/>
  <c r="J6" i="10"/>
  <c r="I6" i="10"/>
  <c r="J49" i="3"/>
  <c r="B36" i="4"/>
  <c r="P22" i="4"/>
  <c r="O22" i="4"/>
  <c r="P10" i="4"/>
  <c r="O10" i="4"/>
  <c r="N22" i="4"/>
  <c r="M22" i="4"/>
  <c r="N10" i="4"/>
  <c r="M10" i="4"/>
  <c r="L22" i="4"/>
  <c r="K22" i="4"/>
  <c r="L10" i="4"/>
  <c r="K10" i="4"/>
  <c r="P19" i="4"/>
  <c r="O19" i="4"/>
  <c r="P12" i="4"/>
  <c r="P23" i="4"/>
  <c r="P29" i="4"/>
  <c r="O12" i="4"/>
  <c r="O23" i="4"/>
  <c r="O29" i="4"/>
  <c r="P9" i="4"/>
  <c r="O9" i="4"/>
  <c r="P7" i="4"/>
  <c r="O7" i="4"/>
  <c r="N7" i="4"/>
  <c r="N37" i="4"/>
  <c r="N19" i="4"/>
  <c r="M19" i="4"/>
  <c r="N12" i="4"/>
  <c r="N23" i="4"/>
  <c r="N29" i="4"/>
  <c r="M12" i="4"/>
  <c r="M23" i="4"/>
  <c r="M29" i="4"/>
  <c r="N9" i="4"/>
  <c r="M9" i="4"/>
  <c r="N36" i="4"/>
  <c r="M7" i="4"/>
  <c r="M37" i="4"/>
  <c r="K7" i="4"/>
  <c r="K37" i="4"/>
  <c r="L19" i="4"/>
  <c r="K19" i="4"/>
  <c r="L12" i="4"/>
  <c r="L23" i="4"/>
  <c r="L29" i="4"/>
  <c r="K12" i="4"/>
  <c r="K23" i="4"/>
  <c r="K29" i="4"/>
  <c r="L9" i="4"/>
  <c r="K9" i="4"/>
  <c r="L7" i="4"/>
  <c r="L37" i="4"/>
  <c r="P37" i="4"/>
  <c r="O37" i="4"/>
  <c r="K36" i="4"/>
  <c r="O33" i="4"/>
  <c r="O31" i="4"/>
  <c r="O32" i="4"/>
  <c r="O30" i="4"/>
  <c r="O34" i="4"/>
  <c r="P33" i="4"/>
  <c r="P31" i="4"/>
  <c r="P32" i="4"/>
  <c r="P30" i="4"/>
  <c r="P34" i="4"/>
  <c r="O36" i="4"/>
  <c r="P36" i="4"/>
  <c r="M33" i="4"/>
  <c r="M31" i="4"/>
  <c r="M32" i="4"/>
  <c r="M30" i="4"/>
  <c r="M34" i="4"/>
  <c r="N33" i="4"/>
  <c r="N32" i="4"/>
  <c r="N30" i="4"/>
  <c r="N31" i="4"/>
  <c r="N34" i="4"/>
  <c r="M36" i="4"/>
  <c r="L33" i="4"/>
  <c r="L31" i="4"/>
  <c r="L32" i="4"/>
  <c r="L30" i="4"/>
  <c r="L34" i="4"/>
  <c r="K32" i="4"/>
  <c r="K30" i="4"/>
  <c r="K33" i="4"/>
  <c r="K31" i="4"/>
  <c r="K34" i="4"/>
  <c r="L36" i="4"/>
  <c r="P39" i="4"/>
  <c r="P35" i="4"/>
  <c r="P38" i="4"/>
  <c r="P40" i="4"/>
  <c r="P41" i="4"/>
  <c r="O39" i="4"/>
  <c r="O35" i="4"/>
  <c r="O38" i="4"/>
  <c r="M39" i="4"/>
  <c r="M35" i="4"/>
  <c r="M38" i="4"/>
  <c r="M40" i="4"/>
  <c r="M41" i="4"/>
  <c r="N38" i="4"/>
  <c r="N39" i="4"/>
  <c r="N35" i="4"/>
  <c r="N40" i="4"/>
  <c r="N41" i="4"/>
  <c r="K38" i="4"/>
  <c r="K39" i="4"/>
  <c r="K35" i="4"/>
  <c r="L39" i="4"/>
  <c r="L35" i="4"/>
  <c r="L38" i="4"/>
  <c r="O40" i="4"/>
  <c r="O41" i="4"/>
  <c r="L40" i="4"/>
  <c r="L41" i="4"/>
  <c r="K40" i="4"/>
  <c r="K41" i="4"/>
  <c r="C9" i="4"/>
  <c r="D9" i="4"/>
  <c r="E9" i="4"/>
  <c r="F9" i="4"/>
  <c r="G9" i="4"/>
  <c r="H9" i="4"/>
  <c r="I9" i="4"/>
  <c r="B9" i="4"/>
  <c r="C7" i="4"/>
  <c r="D7" i="4"/>
  <c r="D37" i="4"/>
  <c r="H7" i="4"/>
  <c r="I7" i="4"/>
  <c r="C36" i="4"/>
  <c r="C37" i="4"/>
  <c r="I36" i="4"/>
  <c r="I37" i="4"/>
  <c r="E37" i="4"/>
  <c r="H36" i="4"/>
  <c r="H37" i="4"/>
  <c r="D36" i="4"/>
  <c r="C98" i="9"/>
  <c r="B98" i="9"/>
  <c r="D55" i="9"/>
  <c r="F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D44" i="9"/>
  <c r="D50" i="9"/>
  <c r="D71" i="9"/>
  <c r="C71" i="9"/>
  <c r="E71" i="9"/>
  <c r="F57" i="9"/>
  <c r="B71" i="9"/>
  <c r="E67" i="9"/>
  <c r="E63" i="9"/>
  <c r="E59" i="9"/>
  <c r="F68" i="9"/>
  <c r="F64" i="9"/>
  <c r="F60" i="9"/>
  <c r="F56" i="9"/>
  <c r="E70" i="9"/>
  <c r="E66" i="9"/>
  <c r="E62" i="9"/>
  <c r="E58" i="9"/>
  <c r="F71" i="9"/>
  <c r="F67" i="9"/>
  <c r="F63" i="9"/>
  <c r="F59" i="9"/>
  <c r="E69" i="9"/>
  <c r="E65" i="9"/>
  <c r="E61" i="9"/>
  <c r="E57" i="9"/>
  <c r="F70" i="9"/>
  <c r="F66" i="9"/>
  <c r="F62" i="9"/>
  <c r="F58" i="9"/>
  <c r="E68" i="9"/>
  <c r="E64" i="9"/>
  <c r="E60" i="9"/>
  <c r="E56" i="9"/>
  <c r="F69" i="9"/>
  <c r="F65" i="9"/>
  <c r="F61" i="9"/>
  <c r="O49" i="3"/>
  <c r="E34" i="3"/>
  <c r="E33" i="3"/>
  <c r="E35" i="3"/>
  <c r="E36" i="3"/>
  <c r="E37" i="3"/>
  <c r="E38" i="3"/>
  <c r="E39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E49" i="3"/>
  <c r="F34" i="3"/>
  <c r="O34" i="3"/>
  <c r="G49" i="3"/>
  <c r="H34" i="3"/>
  <c r="J34" i="3"/>
  <c r="P34" i="3"/>
  <c r="Q34" i="3"/>
  <c r="F35" i="3"/>
  <c r="O35" i="3"/>
  <c r="H35" i="3"/>
  <c r="J35" i="3"/>
  <c r="P35" i="3"/>
  <c r="Q35" i="3"/>
  <c r="F36" i="3"/>
  <c r="O36" i="3"/>
  <c r="H36" i="3"/>
  <c r="J36" i="3"/>
  <c r="P36" i="3"/>
  <c r="Q36" i="3"/>
  <c r="F37" i="3"/>
  <c r="O37" i="3"/>
  <c r="H37" i="3"/>
  <c r="J37" i="3"/>
  <c r="P37" i="3"/>
  <c r="Q37" i="3"/>
  <c r="F38" i="3"/>
  <c r="O38" i="3"/>
  <c r="H38" i="3"/>
  <c r="J38" i="3"/>
  <c r="P38" i="3"/>
  <c r="Q38" i="3"/>
  <c r="F39" i="3"/>
  <c r="O39" i="3"/>
  <c r="H39" i="3"/>
  <c r="J39" i="3"/>
  <c r="P39" i="3"/>
  <c r="Q39" i="3"/>
  <c r="F40" i="3"/>
  <c r="O40" i="3"/>
  <c r="H40" i="3"/>
  <c r="J40" i="3"/>
  <c r="P40" i="3"/>
  <c r="Q40" i="3"/>
  <c r="F41" i="3"/>
  <c r="O41" i="3"/>
  <c r="H41" i="3"/>
  <c r="J41" i="3"/>
  <c r="P41" i="3"/>
  <c r="Q41" i="3"/>
  <c r="F42" i="3"/>
  <c r="O42" i="3"/>
  <c r="H42" i="3"/>
  <c r="J42" i="3"/>
  <c r="P42" i="3"/>
  <c r="Q42" i="3"/>
  <c r="F43" i="3"/>
  <c r="O43" i="3"/>
  <c r="H43" i="3"/>
  <c r="J43" i="3"/>
  <c r="P43" i="3"/>
  <c r="Q43" i="3"/>
  <c r="F44" i="3"/>
  <c r="O44" i="3"/>
  <c r="H44" i="3"/>
  <c r="J44" i="3"/>
  <c r="P44" i="3"/>
  <c r="Q44" i="3"/>
  <c r="F45" i="3"/>
  <c r="O45" i="3"/>
  <c r="H45" i="3"/>
  <c r="J45" i="3"/>
  <c r="P45" i="3"/>
  <c r="Q45" i="3"/>
  <c r="F46" i="3"/>
  <c r="O46" i="3"/>
  <c r="H46" i="3"/>
  <c r="J46" i="3"/>
  <c r="P46" i="3"/>
  <c r="Q46" i="3"/>
  <c r="F47" i="3"/>
  <c r="O47" i="3"/>
  <c r="H47" i="3"/>
  <c r="J47" i="3"/>
  <c r="P47" i="3"/>
  <c r="Q47" i="3"/>
  <c r="F48" i="3"/>
  <c r="O48" i="3"/>
  <c r="H48" i="3"/>
  <c r="J48" i="3"/>
  <c r="P48" i="3"/>
  <c r="Q48" i="3"/>
  <c r="P49" i="3"/>
  <c r="Q49" i="3"/>
  <c r="F33" i="3"/>
  <c r="O33" i="3"/>
  <c r="H33" i="3"/>
  <c r="P33" i="3"/>
  <c r="Q33" i="3"/>
  <c r="L49" i="3"/>
  <c r="L34" i="3"/>
  <c r="M49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N49" i="3"/>
  <c r="L33" i="3"/>
  <c r="M33" i="3"/>
  <c r="N33" i="3"/>
  <c r="I49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45" i="3"/>
  <c r="K45" i="3"/>
  <c r="I46" i="3"/>
  <c r="K46" i="3"/>
  <c r="I47" i="3"/>
  <c r="K47" i="3"/>
  <c r="I48" i="3"/>
  <c r="K48" i="3"/>
  <c r="K49" i="3"/>
  <c r="I33" i="3"/>
  <c r="J33" i="3"/>
  <c r="K33" i="3"/>
  <c r="M44" i="9"/>
  <c r="L4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28" i="9"/>
  <c r="K44" i="9"/>
  <c r="B6" i="8"/>
  <c r="P6" i="8"/>
  <c r="K6" i="8"/>
  <c r="H44" i="9"/>
  <c r="F44" i="9"/>
  <c r="B47" i="9"/>
  <c r="I20" i="3"/>
  <c r="J4" i="3"/>
  <c r="K4" i="3"/>
  <c r="N4" i="3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J44" i="9"/>
  <c r="N6" i="8"/>
  <c r="C44" i="9"/>
  <c r="E44" i="9"/>
  <c r="G44" i="9"/>
  <c r="B44" i="9"/>
  <c r="L20" i="9"/>
  <c r="G20" i="9"/>
  <c r="B20" i="9"/>
  <c r="I44" i="9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L6" i="8"/>
  <c r="K7" i="8"/>
  <c r="L7" i="8"/>
  <c r="A61" i="8"/>
  <c r="A62" i="8"/>
  <c r="A63" i="8"/>
  <c r="A64" i="8"/>
  <c r="A65" i="8"/>
  <c r="A66" i="8"/>
  <c r="C23" i="3"/>
  <c r="C26" i="3"/>
  <c r="D25" i="3"/>
  <c r="J5" i="3"/>
  <c r="K5" i="3"/>
  <c r="N5" i="3"/>
  <c r="P5" i="3"/>
  <c r="J6" i="3"/>
  <c r="K6" i="3"/>
  <c r="N6" i="3"/>
  <c r="P6" i="3"/>
  <c r="J7" i="3"/>
  <c r="K7" i="3"/>
  <c r="N7" i="3"/>
  <c r="P7" i="3"/>
  <c r="J8" i="3"/>
  <c r="K8" i="3"/>
  <c r="N8" i="3"/>
  <c r="P8" i="3"/>
  <c r="J9" i="3"/>
  <c r="K9" i="3"/>
  <c r="N9" i="3"/>
  <c r="P9" i="3"/>
  <c r="J10" i="3"/>
  <c r="K10" i="3"/>
  <c r="N10" i="3"/>
  <c r="P10" i="3"/>
  <c r="J11" i="3"/>
  <c r="K11" i="3"/>
  <c r="N11" i="3"/>
  <c r="P11" i="3"/>
  <c r="J12" i="3"/>
  <c r="K12" i="3"/>
  <c r="N12" i="3"/>
  <c r="P12" i="3"/>
  <c r="J13" i="3"/>
  <c r="K13" i="3"/>
  <c r="N13" i="3"/>
  <c r="P13" i="3"/>
  <c r="J14" i="3"/>
  <c r="K14" i="3"/>
  <c r="N14" i="3"/>
  <c r="P14" i="3"/>
  <c r="J15" i="3"/>
  <c r="K15" i="3"/>
  <c r="N15" i="3"/>
  <c r="P15" i="3"/>
  <c r="J16" i="3"/>
  <c r="K16" i="3"/>
  <c r="N16" i="3"/>
  <c r="P16" i="3"/>
  <c r="J17" i="3"/>
  <c r="K17" i="3"/>
  <c r="N17" i="3"/>
  <c r="P17" i="3"/>
  <c r="J18" i="3"/>
  <c r="K18" i="3"/>
  <c r="N18" i="3"/>
  <c r="P18" i="3"/>
  <c r="J19" i="3"/>
  <c r="K19" i="3"/>
  <c r="N19" i="3"/>
  <c r="P19" i="3"/>
  <c r="P4" i="3"/>
  <c r="F49" i="3"/>
  <c r="C49" i="3"/>
  <c r="M6" i="8"/>
  <c r="O6" i="8"/>
  <c r="B7" i="8"/>
  <c r="A67" i="8"/>
  <c r="A68" i="8"/>
  <c r="A69" i="8"/>
  <c r="A70" i="8"/>
  <c r="A71" i="8"/>
  <c r="A72" i="8"/>
  <c r="A73" i="8"/>
  <c r="A74" i="8"/>
  <c r="P20" i="3"/>
  <c r="D49" i="3"/>
  <c r="B8" i="8"/>
  <c r="P7" i="8"/>
  <c r="N7" i="8"/>
  <c r="O7" i="8"/>
  <c r="A75" i="8"/>
  <c r="A76" i="8"/>
  <c r="A77" i="8"/>
  <c r="A78" i="8"/>
  <c r="H49" i="3"/>
  <c r="D19" i="7"/>
  <c r="E19" i="7"/>
  <c r="O27" i="7"/>
  <c r="C28" i="7"/>
  <c r="H19" i="7"/>
  <c r="D28" i="7"/>
  <c r="I19" i="7"/>
  <c r="E28" i="7"/>
  <c r="J19" i="7"/>
  <c r="F28" i="7"/>
  <c r="K19" i="7"/>
  <c r="G28" i="7"/>
  <c r="L19" i="7"/>
  <c r="H28" i="7"/>
  <c r="M19" i="7"/>
  <c r="I28" i="7"/>
  <c r="N19" i="7"/>
  <c r="J28" i="7"/>
  <c r="O19" i="7"/>
  <c r="K28" i="7"/>
  <c r="P19" i="7"/>
  <c r="L28" i="7"/>
  <c r="Q19" i="7"/>
  <c r="M28" i="7"/>
  <c r="R19" i="7"/>
  <c r="N28" i="7"/>
  <c r="S19" i="7"/>
  <c r="T19" i="7"/>
  <c r="B9" i="8"/>
  <c r="N8" i="8"/>
  <c r="O8" i="8"/>
  <c r="P8" i="8"/>
  <c r="A79" i="8"/>
  <c r="A80" i="8"/>
  <c r="A81" i="8"/>
  <c r="A82" i="8"/>
  <c r="F5" i="3"/>
  <c r="F6" i="3"/>
  <c r="F8" i="3"/>
  <c r="F9" i="3"/>
  <c r="F10" i="3"/>
  <c r="F11" i="3"/>
  <c r="F12" i="3"/>
  <c r="F14" i="3"/>
  <c r="F15" i="3"/>
  <c r="F18" i="3"/>
  <c r="F19" i="3"/>
  <c r="F4" i="3"/>
  <c r="L8" i="3"/>
  <c r="O20" i="3"/>
  <c r="B10" i="8"/>
  <c r="N9" i="8"/>
  <c r="O9" i="8"/>
  <c r="P9" i="8"/>
  <c r="A83" i="8"/>
  <c r="A84" i="8"/>
  <c r="A85" i="8"/>
  <c r="A86" i="8"/>
  <c r="M8" i="3"/>
  <c r="L4" i="3"/>
  <c r="G20" i="7"/>
  <c r="O29" i="7"/>
  <c r="C30" i="7"/>
  <c r="W20" i="7"/>
  <c r="D30" i="7"/>
  <c r="X20" i="7"/>
  <c r="E30" i="7"/>
  <c r="Y20" i="7"/>
  <c r="F30" i="7"/>
  <c r="Z20" i="7"/>
  <c r="G30" i="7"/>
  <c r="AA20" i="7"/>
  <c r="H30" i="7"/>
  <c r="AB20" i="7"/>
  <c r="I30" i="7"/>
  <c r="AC20" i="7"/>
  <c r="J30" i="7"/>
  <c r="AD20" i="7"/>
  <c r="K30" i="7"/>
  <c r="AE20" i="7"/>
  <c r="L30" i="7"/>
  <c r="AF20" i="7"/>
  <c r="M30" i="7"/>
  <c r="AG20" i="7"/>
  <c r="N30" i="7"/>
  <c r="AH20" i="7"/>
  <c r="AI20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4" i="7"/>
  <c r="E4" i="7"/>
  <c r="H4" i="7"/>
  <c r="I4" i="7"/>
  <c r="J4" i="7"/>
  <c r="K4" i="7"/>
  <c r="L4" i="7"/>
  <c r="M4" i="7"/>
  <c r="N4" i="7"/>
  <c r="O4" i="7"/>
  <c r="P4" i="7"/>
  <c r="Q4" i="7"/>
  <c r="R4" i="7"/>
  <c r="S4" i="7"/>
  <c r="T4" i="7"/>
  <c r="V4" i="7"/>
  <c r="E5" i="7"/>
  <c r="S5" i="7"/>
  <c r="E6" i="7"/>
  <c r="S6" i="7"/>
  <c r="E7" i="7"/>
  <c r="S7" i="7"/>
  <c r="E8" i="7"/>
  <c r="S8" i="7"/>
  <c r="E9" i="7"/>
  <c r="S9" i="7"/>
  <c r="E10" i="7"/>
  <c r="S10" i="7"/>
  <c r="E11" i="7"/>
  <c r="S11" i="7"/>
  <c r="D12" i="7"/>
  <c r="E12" i="7"/>
  <c r="S12" i="7"/>
  <c r="D13" i="7"/>
  <c r="E13" i="7"/>
  <c r="S13" i="7"/>
  <c r="D14" i="7"/>
  <c r="E14" i="7"/>
  <c r="S14" i="7"/>
  <c r="D15" i="7"/>
  <c r="E15" i="7"/>
  <c r="S15" i="7"/>
  <c r="D16" i="7"/>
  <c r="E16" i="7"/>
  <c r="S16" i="7"/>
  <c r="D17" i="7"/>
  <c r="E17" i="7"/>
  <c r="S17" i="7"/>
  <c r="D18" i="7"/>
  <c r="E18" i="7"/>
  <c r="S18" i="7"/>
  <c r="E20" i="7"/>
  <c r="S20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20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20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20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20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20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20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20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20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20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20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20" i="7"/>
  <c r="AK20" i="7"/>
  <c r="T20" i="7"/>
  <c r="V20" i="7"/>
  <c r="AI19" i="7"/>
  <c r="AK19" i="7"/>
  <c r="V19" i="7"/>
  <c r="AI18" i="7"/>
  <c r="AK18" i="7"/>
  <c r="T18" i="7"/>
  <c r="V18" i="7"/>
  <c r="AI17" i="7"/>
  <c r="AK17" i="7"/>
  <c r="T17" i="7"/>
  <c r="V17" i="7"/>
  <c r="AI16" i="7"/>
  <c r="AK16" i="7"/>
  <c r="T16" i="7"/>
  <c r="V16" i="7"/>
  <c r="AI15" i="7"/>
  <c r="AK15" i="7"/>
  <c r="T15" i="7"/>
  <c r="V15" i="7"/>
  <c r="AI14" i="7"/>
  <c r="AK14" i="7"/>
  <c r="T14" i="7"/>
  <c r="V14" i="7"/>
  <c r="O31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I13" i="7"/>
  <c r="AK13" i="7"/>
  <c r="T13" i="7"/>
  <c r="V13" i="7"/>
  <c r="AI12" i="7"/>
  <c r="AK12" i="7"/>
  <c r="T12" i="7"/>
  <c r="V12" i="7"/>
  <c r="O30" i="7"/>
  <c r="AI11" i="7"/>
  <c r="AK11" i="7"/>
  <c r="T11" i="7"/>
  <c r="V11" i="7"/>
  <c r="AI10" i="7"/>
  <c r="AK10" i="7"/>
  <c r="T10" i="7"/>
  <c r="V10" i="7"/>
  <c r="O28" i="7"/>
  <c r="AI9" i="7"/>
  <c r="AK9" i="7"/>
  <c r="T9" i="7"/>
  <c r="V9" i="7"/>
  <c r="AI8" i="7"/>
  <c r="AK8" i="7"/>
  <c r="T8" i="7"/>
  <c r="V8" i="7"/>
  <c r="AI7" i="7"/>
  <c r="AK7" i="7"/>
  <c r="T7" i="7"/>
  <c r="V7" i="7"/>
  <c r="AI6" i="7"/>
  <c r="AK6" i="7"/>
  <c r="T6" i="7"/>
  <c r="V6" i="7"/>
  <c r="AI5" i="7"/>
  <c r="AK5" i="7"/>
  <c r="T5" i="7"/>
  <c r="V5" i="7"/>
  <c r="AI4" i="7"/>
  <c r="AK4" i="7"/>
  <c r="AJ20" i="7"/>
  <c r="U20" i="7"/>
  <c r="F20" i="7"/>
  <c r="D20" i="7"/>
  <c r="C20" i="7"/>
  <c r="AJ19" i="7"/>
  <c r="U19" i="7"/>
  <c r="F19" i="7"/>
  <c r="AJ18" i="7"/>
  <c r="U18" i="7"/>
  <c r="F18" i="7"/>
  <c r="AJ17" i="7"/>
  <c r="U17" i="7"/>
  <c r="F17" i="7"/>
  <c r="AJ16" i="7"/>
  <c r="U16" i="7"/>
  <c r="F16" i="7"/>
  <c r="AJ15" i="7"/>
  <c r="U15" i="7"/>
  <c r="F15" i="7"/>
  <c r="AJ14" i="7"/>
  <c r="U14" i="7"/>
  <c r="F14" i="7"/>
  <c r="AJ13" i="7"/>
  <c r="U13" i="7"/>
  <c r="F13" i="7"/>
  <c r="AJ12" i="7"/>
  <c r="U12" i="7"/>
  <c r="F12" i="7"/>
  <c r="AJ11" i="7"/>
  <c r="U11" i="7"/>
  <c r="F11" i="7"/>
  <c r="AJ10" i="7"/>
  <c r="U10" i="7"/>
  <c r="F10" i="7"/>
  <c r="AJ9" i="7"/>
  <c r="U9" i="7"/>
  <c r="F9" i="7"/>
  <c r="AJ8" i="7"/>
  <c r="U8" i="7"/>
  <c r="F8" i="7"/>
  <c r="AJ7" i="7"/>
  <c r="U7" i="7"/>
  <c r="F7" i="7"/>
  <c r="AJ6" i="7"/>
  <c r="U6" i="7"/>
  <c r="F6" i="7"/>
  <c r="AJ5" i="7"/>
  <c r="U5" i="7"/>
  <c r="F5" i="7"/>
  <c r="AJ4" i="7"/>
  <c r="U4" i="7"/>
  <c r="F4" i="7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H17" i="3"/>
  <c r="F17" i="3"/>
  <c r="H16" i="3"/>
  <c r="F16" i="3"/>
  <c r="H13" i="3"/>
  <c r="F13" i="3"/>
  <c r="F7" i="3"/>
  <c r="G20" i="3"/>
  <c r="E20" i="3"/>
  <c r="D20" i="3"/>
  <c r="C20" i="3"/>
  <c r="S4" i="5"/>
  <c r="S5" i="5"/>
  <c r="S6" i="5"/>
  <c r="S7" i="5"/>
  <c r="S8" i="5"/>
  <c r="S9" i="5"/>
  <c r="S10" i="5"/>
  <c r="S11" i="5"/>
  <c r="S12" i="5"/>
  <c r="S13" i="5"/>
  <c r="S14" i="5"/>
  <c r="S16" i="5"/>
  <c r="S17" i="5"/>
  <c r="S18" i="5"/>
  <c r="S3" i="5"/>
  <c r="A111" i="1"/>
  <c r="C111" i="1"/>
  <c r="D111" i="1"/>
  <c r="D115" i="1"/>
  <c r="A101" i="1"/>
  <c r="C101" i="1"/>
  <c r="B111" i="1"/>
  <c r="B101" i="1"/>
  <c r="D91" i="1"/>
  <c r="C91" i="1"/>
  <c r="B91" i="1"/>
  <c r="A91" i="1"/>
  <c r="D80" i="1"/>
  <c r="E80" i="1"/>
  <c r="C80" i="1"/>
  <c r="A80" i="1"/>
  <c r="B80" i="1"/>
  <c r="C71" i="1"/>
  <c r="B71" i="1"/>
  <c r="A71" i="1"/>
  <c r="D73" i="1"/>
  <c r="D59" i="1"/>
  <c r="E59" i="1"/>
  <c r="C59" i="1"/>
  <c r="B59" i="1"/>
  <c r="A59" i="1"/>
  <c r="C48" i="1"/>
  <c r="E48" i="1"/>
  <c r="D48" i="1"/>
  <c r="B48" i="1"/>
  <c r="A48" i="1"/>
  <c r="C37" i="1"/>
  <c r="D37" i="1"/>
  <c r="B37" i="1"/>
  <c r="A37" i="1"/>
  <c r="E37" i="1"/>
  <c r="B25" i="1"/>
  <c r="D25" i="1"/>
  <c r="F25" i="1"/>
  <c r="E25" i="1"/>
  <c r="C25" i="1"/>
  <c r="A25" i="1"/>
  <c r="D15" i="1"/>
  <c r="E15" i="1"/>
  <c r="C15" i="1"/>
  <c r="B15" i="1"/>
  <c r="A15" i="1"/>
  <c r="B6" i="1"/>
  <c r="C6" i="1"/>
  <c r="D6" i="1"/>
  <c r="A6" i="1"/>
  <c r="D7" i="1"/>
  <c r="B11" i="8"/>
  <c r="P10" i="8"/>
  <c r="N10" i="8"/>
  <c r="O10" i="8"/>
  <c r="A87" i="8"/>
  <c r="A88" i="8"/>
  <c r="A89" i="8"/>
  <c r="A90" i="8"/>
  <c r="D53" i="1"/>
  <c r="D51" i="1"/>
  <c r="D61" i="1"/>
  <c r="D64" i="1"/>
  <c r="D74" i="1"/>
  <c r="D9" i="1"/>
  <c r="D29" i="1"/>
  <c r="D62" i="1"/>
  <c r="D8" i="1"/>
  <c r="D18" i="1"/>
  <c r="D31" i="1"/>
  <c r="D63" i="1"/>
  <c r="D82" i="1"/>
  <c r="D94" i="1"/>
  <c r="D19" i="1"/>
  <c r="D27" i="1"/>
  <c r="D95" i="1"/>
  <c r="D114" i="1"/>
  <c r="D17" i="1"/>
  <c r="D28" i="1"/>
  <c r="D41" i="1"/>
  <c r="D52" i="1"/>
  <c r="D104" i="1"/>
  <c r="D30" i="1"/>
  <c r="D39" i="1"/>
  <c r="D93" i="1"/>
  <c r="D40" i="1"/>
  <c r="D50" i="1"/>
  <c r="D85" i="1"/>
  <c r="D113" i="1"/>
  <c r="D16" i="1"/>
  <c r="D42" i="1"/>
  <c r="D83" i="1"/>
  <c r="D84" i="1"/>
  <c r="D103" i="1"/>
  <c r="L12" i="3"/>
  <c r="M12" i="3"/>
  <c r="L19" i="3"/>
  <c r="M19" i="3"/>
  <c r="L6" i="3"/>
  <c r="M6" i="3"/>
  <c r="M4" i="3"/>
  <c r="L5" i="3"/>
  <c r="M5" i="3"/>
  <c r="L14" i="3"/>
  <c r="M14" i="3"/>
  <c r="L15" i="3"/>
  <c r="M15" i="3"/>
  <c r="L13" i="3"/>
  <c r="M13" i="3"/>
  <c r="L7" i="3"/>
  <c r="M7" i="3"/>
  <c r="L16" i="3"/>
  <c r="M16" i="3"/>
  <c r="L10" i="3"/>
  <c r="M10" i="3"/>
  <c r="L17" i="3"/>
  <c r="M17" i="3"/>
  <c r="L9" i="3"/>
  <c r="M9" i="3"/>
  <c r="L11" i="3"/>
  <c r="M11" i="3"/>
  <c r="L18" i="3"/>
  <c r="M18" i="3"/>
  <c r="H20" i="3"/>
  <c r="F20" i="3"/>
  <c r="B12" i="8"/>
  <c r="N11" i="8"/>
  <c r="O11" i="8"/>
  <c r="P11" i="8"/>
  <c r="A91" i="8"/>
  <c r="A92" i="8"/>
  <c r="A93" i="8"/>
  <c r="A94" i="8"/>
  <c r="N20" i="3"/>
  <c r="B13" i="8"/>
  <c r="P12" i="8"/>
  <c r="N12" i="8"/>
  <c r="O12" i="8"/>
  <c r="A95" i="8"/>
  <c r="A96" i="8"/>
  <c r="B14" i="8"/>
  <c r="P13" i="8"/>
  <c r="N13" i="8"/>
  <c r="O13" i="8"/>
  <c r="B15" i="8"/>
  <c r="P14" i="8"/>
  <c r="N14" i="8"/>
  <c r="O14" i="8"/>
  <c r="B16" i="8"/>
  <c r="P15" i="8"/>
  <c r="N15" i="8"/>
  <c r="O15" i="8"/>
  <c r="B17" i="8"/>
  <c r="P16" i="8"/>
  <c r="N16" i="8"/>
  <c r="O16" i="8"/>
  <c r="B18" i="8"/>
  <c r="P17" i="8"/>
  <c r="N17" i="8"/>
  <c r="O17" i="8"/>
  <c r="B19" i="8"/>
  <c r="P18" i="8"/>
  <c r="N18" i="8"/>
  <c r="O18" i="8"/>
  <c r="B20" i="8"/>
  <c r="P19" i="8"/>
  <c r="N19" i="8"/>
  <c r="O19" i="8"/>
  <c r="B21" i="8"/>
  <c r="N20" i="8"/>
  <c r="O20" i="8"/>
  <c r="P20" i="8"/>
  <c r="B22" i="8"/>
  <c r="P21" i="8"/>
  <c r="N21" i="8"/>
  <c r="O21" i="8"/>
  <c r="B23" i="8"/>
  <c r="N22" i="8"/>
  <c r="O22" i="8"/>
  <c r="P22" i="8"/>
  <c r="B24" i="8"/>
  <c r="P23" i="8"/>
  <c r="N23" i="8"/>
  <c r="O23" i="8"/>
  <c r="B25" i="8"/>
  <c r="P24" i="8"/>
  <c r="N24" i="8"/>
  <c r="O24" i="8"/>
  <c r="B26" i="8"/>
  <c r="P25" i="8"/>
  <c r="N25" i="8"/>
  <c r="O25" i="8"/>
  <c r="B27" i="8"/>
  <c r="N26" i="8"/>
  <c r="O26" i="8"/>
  <c r="P26" i="8"/>
  <c r="B28" i="8"/>
  <c r="N27" i="8"/>
  <c r="O27" i="8"/>
  <c r="P27" i="8"/>
  <c r="B29" i="8"/>
  <c r="P28" i="8"/>
  <c r="N28" i="8"/>
  <c r="O28" i="8"/>
  <c r="B30" i="8"/>
  <c r="P29" i="8"/>
  <c r="N29" i="8"/>
  <c r="O29" i="8"/>
  <c r="B31" i="8"/>
  <c r="N30" i="8"/>
  <c r="O30" i="8"/>
  <c r="P30" i="8"/>
  <c r="B32" i="8"/>
  <c r="P31" i="8"/>
  <c r="N31" i="8"/>
  <c r="O31" i="8"/>
  <c r="B33" i="8"/>
  <c r="P32" i="8"/>
  <c r="N32" i="8"/>
  <c r="O32" i="8"/>
  <c r="P33" i="8"/>
  <c r="N33" i="8"/>
  <c r="O33" i="8"/>
  <c r="B34" i="8"/>
  <c r="P34" i="8"/>
  <c r="N34" i="8"/>
  <c r="O34" i="8"/>
  <c r="B35" i="8"/>
  <c r="P35" i="8"/>
  <c r="N35" i="8"/>
  <c r="O35" i="8"/>
  <c r="B36" i="8"/>
  <c r="N36" i="8"/>
  <c r="O36" i="8"/>
  <c r="P36" i="8"/>
  <c r="B37" i="8"/>
  <c r="N37" i="8"/>
  <c r="O37" i="8"/>
  <c r="P37" i="8"/>
  <c r="B38" i="8"/>
  <c r="P38" i="8"/>
  <c r="N38" i="8"/>
  <c r="O38" i="8"/>
  <c r="B39" i="8"/>
  <c r="P39" i="8"/>
  <c r="N39" i="8"/>
  <c r="O39" i="8"/>
  <c r="B40" i="8"/>
  <c r="P40" i="8"/>
  <c r="N40" i="8"/>
  <c r="O40" i="8"/>
  <c r="B41" i="8"/>
  <c r="N41" i="8"/>
  <c r="O41" i="8"/>
  <c r="P41" i="8"/>
  <c r="B42" i="8"/>
  <c r="P42" i="8"/>
  <c r="N42" i="8"/>
  <c r="O42" i="8"/>
  <c r="B43" i="8"/>
  <c r="N43" i="8"/>
  <c r="O43" i="8"/>
  <c r="P43" i="8"/>
  <c r="B44" i="8"/>
  <c r="P44" i="8"/>
  <c r="N44" i="8"/>
  <c r="O44" i="8"/>
  <c r="B45" i="8"/>
  <c r="P45" i="8"/>
  <c r="N45" i="8"/>
  <c r="O45" i="8"/>
  <c r="B46" i="8"/>
  <c r="N46" i="8"/>
  <c r="O46" i="8"/>
  <c r="P46" i="8"/>
  <c r="B47" i="8"/>
  <c r="N47" i="8"/>
  <c r="O47" i="8"/>
  <c r="P47" i="8"/>
  <c r="B48" i="8"/>
  <c r="N48" i="8"/>
  <c r="O48" i="8"/>
  <c r="P48" i="8"/>
  <c r="B49" i="8"/>
  <c r="P49" i="8"/>
  <c r="N49" i="8"/>
  <c r="O49" i="8"/>
  <c r="B50" i="8"/>
  <c r="P50" i="8"/>
  <c r="N50" i="8"/>
  <c r="O50" i="8"/>
  <c r="B51" i="8"/>
  <c r="P51" i="8"/>
  <c r="N51" i="8"/>
  <c r="O51" i="8"/>
  <c r="B52" i="8"/>
  <c r="N52" i="8"/>
  <c r="O52" i="8"/>
  <c r="P52" i="8"/>
  <c r="B53" i="8"/>
  <c r="N53" i="8"/>
  <c r="O53" i="8"/>
  <c r="P53" i="8"/>
  <c r="B54" i="8"/>
  <c r="N54" i="8"/>
  <c r="O54" i="8"/>
  <c r="P54" i="8"/>
  <c r="B55" i="8"/>
  <c r="N55" i="8"/>
  <c r="O55" i="8"/>
  <c r="P55" i="8"/>
  <c r="B56" i="8"/>
  <c r="P56" i="8"/>
  <c r="N56" i="8"/>
  <c r="O56" i="8"/>
  <c r="B57" i="8"/>
  <c r="P57" i="8"/>
  <c r="N57" i="8"/>
  <c r="O57" i="8"/>
  <c r="B58" i="8"/>
  <c r="P58" i="8"/>
  <c r="N58" i="8"/>
  <c r="O58" i="8"/>
  <c r="B59" i="8"/>
  <c r="N59" i="8"/>
  <c r="O59" i="8"/>
  <c r="P59" i="8"/>
  <c r="B60" i="8"/>
  <c r="P60" i="8"/>
  <c r="N60" i="8"/>
  <c r="O60" i="8"/>
  <c r="B61" i="8"/>
  <c r="P61" i="8"/>
  <c r="N61" i="8"/>
  <c r="O61" i="8"/>
  <c r="B62" i="8"/>
  <c r="P62" i="8"/>
  <c r="N62" i="8"/>
  <c r="O62" i="8"/>
  <c r="B63" i="8"/>
  <c r="P63" i="8"/>
  <c r="N63" i="8"/>
  <c r="O63" i="8"/>
  <c r="B64" i="8"/>
  <c r="N64" i="8"/>
  <c r="O64" i="8"/>
  <c r="P64" i="8"/>
  <c r="B65" i="8"/>
  <c r="P65" i="8"/>
  <c r="N65" i="8"/>
  <c r="O65" i="8"/>
  <c r="B66" i="8"/>
  <c r="N66" i="8"/>
  <c r="O66" i="8"/>
  <c r="P66" i="8"/>
  <c r="B67" i="8"/>
  <c r="N67" i="8"/>
  <c r="O67" i="8"/>
  <c r="B68" i="8"/>
  <c r="N68" i="8"/>
  <c r="O68" i="8"/>
  <c r="B69" i="8"/>
  <c r="N69" i="8"/>
  <c r="O69" i="8"/>
  <c r="B70" i="8"/>
  <c r="N70" i="8"/>
  <c r="O70" i="8"/>
  <c r="B71" i="8"/>
  <c r="N71" i="8"/>
  <c r="O71" i="8"/>
  <c r="B72" i="8"/>
  <c r="N72" i="8"/>
  <c r="O72" i="8"/>
  <c r="B73" i="8"/>
  <c r="N73" i="8"/>
  <c r="O73" i="8"/>
  <c r="B74" i="8"/>
  <c r="N74" i="8"/>
  <c r="O74" i="8"/>
  <c r="B75" i="8"/>
  <c r="N75" i="8"/>
  <c r="O75" i="8"/>
  <c r="B76" i="8"/>
  <c r="N76" i="8"/>
  <c r="O76" i="8"/>
  <c r="B77" i="8"/>
  <c r="N77" i="8"/>
  <c r="O77" i="8"/>
  <c r="B78" i="8"/>
  <c r="N78" i="8"/>
  <c r="O78" i="8"/>
  <c r="B79" i="8"/>
  <c r="Q32" i="8"/>
  <c r="Q47" i="8"/>
  <c r="Q49" i="8"/>
  <c r="Q43" i="8"/>
  <c r="Q54" i="8"/>
  <c r="Q41" i="8"/>
  <c r="Q39" i="8"/>
  <c r="Q50" i="8"/>
  <c r="Q35" i="8"/>
  <c r="Q62" i="8"/>
  <c r="Q61" i="8"/>
  <c r="Q31" i="8"/>
  <c r="Q57" i="8"/>
  <c r="Q38" i="8"/>
  <c r="Q60" i="8"/>
  <c r="Q45" i="8"/>
  <c r="Q34" i="8"/>
  <c r="Q52" i="8"/>
  <c r="Q37" i="8"/>
  <c r="Q46" i="8"/>
  <c r="Q40" i="8"/>
  <c r="Q58" i="8"/>
  <c r="Q56" i="8"/>
  <c r="Q65" i="8"/>
  <c r="Q44" i="8"/>
  <c r="Q53" i="8"/>
  <c r="Q63" i="8"/>
  <c r="Q33" i="8"/>
  <c r="Q42" i="8"/>
  <c r="Q59" i="8"/>
  <c r="Q64" i="8"/>
  <c r="Q55" i="8"/>
  <c r="Q66" i="8"/>
  <c r="Q48" i="8"/>
  <c r="Q51" i="8"/>
  <c r="Q36" i="8"/>
  <c r="K10" i="8"/>
  <c r="L10" i="8"/>
  <c r="Q10" i="8"/>
  <c r="R10" i="8"/>
  <c r="S10" i="8"/>
  <c r="Q17" i="8"/>
  <c r="R17" i="8"/>
  <c r="S17" i="8"/>
  <c r="Q13" i="8"/>
  <c r="R13" i="8"/>
  <c r="S13" i="8"/>
  <c r="K9" i="8"/>
  <c r="L9" i="8"/>
  <c r="Q26" i="8"/>
  <c r="R26" i="8"/>
  <c r="S26" i="8"/>
  <c r="Q30" i="8"/>
  <c r="R30" i="8"/>
  <c r="S30" i="8"/>
  <c r="Q24" i="8"/>
  <c r="R24" i="8"/>
  <c r="S24" i="8"/>
  <c r="Q8" i="8"/>
  <c r="R8" i="8"/>
  <c r="S8" i="8"/>
  <c r="Q9" i="8"/>
  <c r="R9" i="8"/>
  <c r="S9" i="8"/>
  <c r="Q22" i="8"/>
  <c r="R22" i="8"/>
  <c r="S22" i="8"/>
  <c r="Q6" i="8"/>
  <c r="Q23" i="8"/>
  <c r="R23" i="8"/>
  <c r="S23" i="8"/>
  <c r="Q11" i="8"/>
  <c r="R11" i="8"/>
  <c r="S11" i="8"/>
  <c r="Q20" i="8"/>
  <c r="R20" i="8"/>
  <c r="S20" i="8"/>
  <c r="Q16" i="8"/>
  <c r="R16" i="8"/>
  <c r="S16" i="8"/>
  <c r="Q18" i="8"/>
  <c r="R18" i="8"/>
  <c r="S18" i="8"/>
  <c r="Q29" i="8"/>
  <c r="R29" i="8"/>
  <c r="S29" i="8"/>
  <c r="Q12" i="8"/>
  <c r="R12" i="8"/>
  <c r="S12" i="8"/>
  <c r="Q19" i="8"/>
  <c r="R19" i="8"/>
  <c r="S19" i="8"/>
  <c r="Q7" i="8"/>
  <c r="R7" i="8"/>
  <c r="S7" i="8"/>
  <c r="Q25" i="8"/>
  <c r="R25" i="8"/>
  <c r="S25" i="8"/>
  <c r="Q15" i="8"/>
  <c r="R15" i="8"/>
  <c r="S15" i="8"/>
  <c r="Q28" i="8"/>
  <c r="R28" i="8"/>
  <c r="S28" i="8"/>
  <c r="Q14" i="8"/>
  <c r="R14" i="8"/>
  <c r="S14" i="8"/>
  <c r="Q21" i="8"/>
  <c r="R21" i="8"/>
  <c r="S21" i="8"/>
  <c r="Q27" i="8"/>
  <c r="R27" i="8"/>
  <c r="S27" i="8"/>
  <c r="R6" i="8"/>
  <c r="S6" i="8"/>
  <c r="S61" i="8"/>
  <c r="N79" i="8"/>
  <c r="O79" i="8"/>
  <c r="B80" i="8"/>
  <c r="M9" i="8"/>
  <c r="N80" i="8"/>
  <c r="O80" i="8"/>
  <c r="B81" i="8"/>
  <c r="N81" i="8"/>
  <c r="O81" i="8"/>
  <c r="B82" i="8"/>
  <c r="N82" i="8"/>
  <c r="O82" i="8"/>
  <c r="B83" i="8"/>
  <c r="N83" i="8"/>
  <c r="O83" i="8"/>
  <c r="B84" i="8"/>
  <c r="N84" i="8"/>
  <c r="O84" i="8"/>
  <c r="B85" i="8"/>
  <c r="N85" i="8"/>
  <c r="O85" i="8"/>
  <c r="B86" i="8"/>
  <c r="N86" i="8"/>
  <c r="O86" i="8"/>
  <c r="B87" i="8"/>
  <c r="N87" i="8"/>
  <c r="O87" i="8"/>
  <c r="B88" i="8"/>
  <c r="N88" i="8"/>
  <c r="O88" i="8"/>
  <c r="B89" i="8"/>
  <c r="N89" i="8"/>
  <c r="O89" i="8"/>
  <c r="B90" i="8"/>
  <c r="N90" i="8"/>
  <c r="O90" i="8"/>
  <c r="B91" i="8"/>
  <c r="N91" i="8"/>
  <c r="O91" i="8"/>
  <c r="B92" i="8"/>
  <c r="N92" i="8"/>
  <c r="O92" i="8"/>
  <c r="B93" i="8"/>
  <c r="N93" i="8"/>
  <c r="O93" i="8"/>
  <c r="B94" i="8"/>
  <c r="N94" i="8"/>
  <c r="O94" i="8"/>
  <c r="B95" i="8"/>
  <c r="N95" i="8"/>
  <c r="O95" i="8"/>
  <c r="B96" i="8"/>
  <c r="N96" i="8"/>
  <c r="O96" i="8"/>
  <c r="G37" i="4"/>
  <c r="D32" i="4"/>
  <c r="D33" i="4"/>
  <c r="D30" i="4"/>
  <c r="D31" i="4"/>
  <c r="D34" i="4"/>
  <c r="H32" i="4"/>
  <c r="H33" i="4"/>
  <c r="H31" i="4"/>
  <c r="H30" i="4"/>
  <c r="H34" i="4"/>
  <c r="F33" i="4"/>
  <c r="F32" i="4"/>
  <c r="F30" i="4"/>
  <c r="F31" i="4"/>
  <c r="F34" i="4"/>
  <c r="C33" i="4"/>
  <c r="I32" i="4"/>
  <c r="E32" i="4"/>
  <c r="C32" i="4"/>
  <c r="G32" i="4"/>
  <c r="G31" i="4"/>
  <c r="G33" i="4"/>
  <c r="G34" i="4"/>
  <c r="E33" i="4"/>
  <c r="I31" i="4"/>
  <c r="E31" i="4"/>
  <c r="E34" i="4"/>
  <c r="C31" i="4"/>
  <c r="C34" i="4"/>
  <c r="I33" i="4"/>
  <c r="I34" i="4"/>
  <c r="B32" i="4"/>
  <c r="B33" i="4"/>
  <c r="B30" i="4"/>
  <c r="B31" i="4"/>
  <c r="B34" i="4"/>
  <c r="C35" i="4"/>
  <c r="C38" i="4"/>
  <c r="C39" i="4"/>
  <c r="G35" i="4"/>
  <c r="G38" i="4"/>
  <c r="G39" i="4"/>
  <c r="G40" i="4"/>
  <c r="G41" i="4"/>
  <c r="E38" i="4"/>
  <c r="E35" i="4"/>
  <c r="E39" i="4"/>
  <c r="E40" i="4"/>
  <c r="E41" i="4"/>
  <c r="D38" i="4"/>
  <c r="D39" i="4"/>
  <c r="D35" i="4"/>
  <c r="D40" i="4"/>
  <c r="D41" i="4"/>
  <c r="I39" i="4"/>
  <c r="I35" i="4"/>
  <c r="I38" i="4"/>
  <c r="F38" i="4"/>
  <c r="F35" i="4"/>
  <c r="F39" i="4"/>
  <c r="H35" i="4"/>
  <c r="H39" i="4"/>
  <c r="H38" i="4"/>
  <c r="B39" i="4"/>
  <c r="B35" i="4"/>
  <c r="B38" i="4"/>
  <c r="H40" i="4"/>
  <c r="H41" i="4"/>
  <c r="I40" i="4"/>
  <c r="I41" i="4"/>
  <c r="F40" i="4"/>
  <c r="F41" i="4"/>
  <c r="C40" i="4"/>
  <c r="C41" i="4"/>
  <c r="B40" i="4"/>
  <c r="B41" i="4"/>
</calcChain>
</file>

<file path=xl/sharedStrings.xml><?xml version="1.0" encoding="utf-8"?>
<sst xmlns="http://schemas.openxmlformats.org/spreadsheetml/2006/main" count="1007" uniqueCount="354">
  <si>
    <t>Steam reforming</t>
  </si>
  <si>
    <t>2H20     -&gt;</t>
  </si>
  <si>
    <t xml:space="preserve">CH4      +          </t>
  </si>
  <si>
    <t>CO2     +</t>
  </si>
  <si>
    <t>4H2</t>
  </si>
  <si>
    <t>mol</t>
  </si>
  <si>
    <t>g/mol</t>
  </si>
  <si>
    <t>g</t>
  </si>
  <si>
    <t>CH4</t>
  </si>
  <si>
    <t>H20</t>
  </si>
  <si>
    <t xml:space="preserve">CO2 </t>
  </si>
  <si>
    <t>kg--</t>
  </si>
  <si>
    <t>kg++</t>
  </si>
  <si>
    <t>Steam reforming with sodium hydroxide</t>
  </si>
  <si>
    <t>2NaOH  +</t>
  </si>
  <si>
    <t>CH4  +</t>
  </si>
  <si>
    <t>H20  -&gt;</t>
  </si>
  <si>
    <t>Na2CO3+</t>
  </si>
  <si>
    <t>NaOH</t>
  </si>
  <si>
    <t>Na2CO3</t>
  </si>
  <si>
    <t>1kg(H2)++</t>
  </si>
  <si>
    <t>Autothermal reforming</t>
  </si>
  <si>
    <t>2CH4  +</t>
  </si>
  <si>
    <t>O2   +</t>
  </si>
  <si>
    <t>CO2  -&gt;</t>
  </si>
  <si>
    <t>3H2 +</t>
  </si>
  <si>
    <t>3CO  +</t>
  </si>
  <si>
    <t>O2</t>
  </si>
  <si>
    <t>CO2</t>
  </si>
  <si>
    <t>CO</t>
  </si>
  <si>
    <t>4CH4   +</t>
  </si>
  <si>
    <t>O2  +</t>
  </si>
  <si>
    <t>2H2O  -&gt;</t>
  </si>
  <si>
    <t>10H2  +</t>
  </si>
  <si>
    <t>4CO</t>
  </si>
  <si>
    <t>Coal gasification</t>
  </si>
  <si>
    <t>2C  +</t>
  </si>
  <si>
    <t>3H2O  -&gt;</t>
  </si>
  <si>
    <t>CO  +</t>
  </si>
  <si>
    <t>CO2  +</t>
  </si>
  <si>
    <t>3H2</t>
  </si>
  <si>
    <t>C</t>
  </si>
  <si>
    <t>Coal gasification with sodium hydroxide</t>
  </si>
  <si>
    <t xml:space="preserve">   C  +</t>
  </si>
  <si>
    <t>H2O  -&gt;</t>
  </si>
  <si>
    <t>Na2CO3 +</t>
  </si>
  <si>
    <t>2H2</t>
  </si>
  <si>
    <t>Water electrolysis</t>
  </si>
  <si>
    <t>2H20  -&gt;</t>
  </si>
  <si>
    <t>2H2 +</t>
  </si>
  <si>
    <t>Electrolysis of brine</t>
  </si>
  <si>
    <t>2NaCl  +</t>
  </si>
  <si>
    <t>2NaOH +</t>
  </si>
  <si>
    <t>Cl2</t>
  </si>
  <si>
    <t>Cl2 +</t>
  </si>
  <si>
    <t>H2</t>
  </si>
  <si>
    <t>NaCl</t>
  </si>
  <si>
    <t>Diesel production by FT synthesis</t>
  </si>
  <si>
    <t>C12H26 +</t>
  </si>
  <si>
    <t>12H20</t>
  </si>
  <si>
    <t>25H2 +</t>
  </si>
  <si>
    <t>12 CO -&gt;</t>
  </si>
  <si>
    <t>1kg(C12H26)++</t>
  </si>
  <si>
    <t>H2O</t>
  </si>
  <si>
    <t>Methanol production</t>
  </si>
  <si>
    <t>Hydrogen production</t>
  </si>
  <si>
    <t>CO +</t>
  </si>
  <si>
    <t>2H2  -&gt;</t>
  </si>
  <si>
    <t>CH3OH</t>
  </si>
  <si>
    <t>1kg(CH3OH)++</t>
  </si>
  <si>
    <t>CO2 +</t>
  </si>
  <si>
    <t>3H2 -&gt;</t>
  </si>
  <si>
    <t>CH3OH +</t>
  </si>
  <si>
    <t>C12H26</t>
  </si>
  <si>
    <t>RAW MATIREALS</t>
  </si>
  <si>
    <t>REFORMING</t>
  </si>
  <si>
    <t>GAS</t>
  </si>
  <si>
    <t>ELEC</t>
  </si>
  <si>
    <t>FT</t>
  </si>
  <si>
    <t>MetOH</t>
  </si>
  <si>
    <t>H2 PRODUCTION</t>
  </si>
  <si>
    <t>SCENARIO</t>
  </si>
  <si>
    <t>MATERIAL</t>
  </si>
  <si>
    <t>Prise $/kg</t>
  </si>
  <si>
    <t>Production</t>
  </si>
  <si>
    <t>City</t>
  </si>
  <si>
    <t>Stuttgart</t>
  </si>
  <si>
    <t>Munich</t>
  </si>
  <si>
    <t>Berlin</t>
  </si>
  <si>
    <t>Bremen</t>
  </si>
  <si>
    <t>Hamburg</t>
  </si>
  <si>
    <t>Frankfurt</t>
  </si>
  <si>
    <t>Rostock</t>
  </si>
  <si>
    <t>Hannover</t>
  </si>
  <si>
    <t>Cologne</t>
  </si>
  <si>
    <t>Mainz</t>
  </si>
  <si>
    <t>Saarbrucken</t>
  </si>
  <si>
    <t>Dresden</t>
  </si>
  <si>
    <t>Halle</t>
  </si>
  <si>
    <t>Kiel</t>
  </si>
  <si>
    <t>Erfurt</t>
  </si>
  <si>
    <t>Density g/cm3</t>
  </si>
  <si>
    <t>Capital and unit production costs of hydrogen production technologies</t>
  </si>
  <si>
    <t>Plant type</t>
  </si>
  <si>
    <t>Steam refoming</t>
  </si>
  <si>
    <t>Water electolysis</t>
  </si>
  <si>
    <t>Product form</t>
  </si>
  <si>
    <t>LH</t>
  </si>
  <si>
    <t>CH</t>
  </si>
  <si>
    <t>Parameters used to estimate the capital and operating costs of transportation modes</t>
  </si>
  <si>
    <t>Transporation mode</t>
  </si>
  <si>
    <t>Tanker truck</t>
  </si>
  <si>
    <t>Tube trailer</t>
  </si>
  <si>
    <t>Tank railcar</t>
  </si>
  <si>
    <t>Tube railcar</t>
  </si>
  <si>
    <t>Capacity (kg trip-1)</t>
  </si>
  <si>
    <t>Container cost ($)</t>
  </si>
  <si>
    <t>Undercarriage cost ($)</t>
  </si>
  <si>
    <t>Cab cost ($)</t>
  </si>
  <si>
    <t>Total cost  ($)</t>
  </si>
  <si>
    <t>Fuel economy (km L-1)</t>
  </si>
  <si>
    <t>Average speed (km h-1)</t>
  </si>
  <si>
    <t>Mode availability (h d-1)</t>
  </si>
  <si>
    <t>Load/unload time (h trip-1)</t>
  </si>
  <si>
    <t>Driver wage ($ h-1)</t>
  </si>
  <si>
    <t>Fuel price ($ L-1)</t>
  </si>
  <si>
    <t>Maintenance expenses ($ km-1)</t>
  </si>
  <si>
    <t>General expenses ($ d-1)</t>
  </si>
  <si>
    <t>Capital and unit storage costs of hydrogen storage facilities</t>
  </si>
  <si>
    <t>Storage type</t>
  </si>
  <si>
    <t>Storage capital cost (million $)</t>
  </si>
  <si>
    <t>Unit storage cost ($ kg-1 d-1)</t>
  </si>
  <si>
    <t>Cryogenic spherical tank</t>
  </si>
  <si>
    <t>Pressurized cylindrical vessel</t>
  </si>
  <si>
    <t>Total</t>
  </si>
  <si>
    <t>Land</t>
  </si>
  <si>
    <t>Baden-Wurttemberg</t>
  </si>
  <si>
    <t>Bavaria</t>
  </si>
  <si>
    <t>Brandenburg</t>
  </si>
  <si>
    <t>Hesse</t>
  </si>
  <si>
    <t>Mecklenburg-Vorpommern</t>
  </si>
  <si>
    <t>Lower Saxony</t>
  </si>
  <si>
    <t>North Rhine-Westphalia</t>
  </si>
  <si>
    <t>Rhineland-Palatinate</t>
  </si>
  <si>
    <t>Saarland</t>
  </si>
  <si>
    <t>Saxony</t>
  </si>
  <si>
    <t>Saxony-Anhalt</t>
  </si>
  <si>
    <t>Schleswig-Holstein</t>
  </si>
  <si>
    <t>Thuringia</t>
  </si>
  <si>
    <t xml:space="preserve"> Grid location</t>
  </si>
  <si>
    <t>Grid, g</t>
  </si>
  <si>
    <t>German region</t>
  </si>
  <si>
    <t>Energy sources, e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</si>
  <si>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</si>
  <si>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</si>
  <si>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</si>
  <si>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</si>
  <si>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</si>
  <si>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</si>
  <si>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</si>
  <si>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</si>
  <si>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</si>
  <si>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</si>
  <si>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</si>
  <si>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</si>
  <si>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</si>
  <si>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</si>
  <si>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</si>
  <si>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</si>
  <si>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Demand</t>
  </si>
  <si>
    <t>Biomass (kg/d) 2011</t>
  </si>
  <si>
    <t>H2 demand by grid kg/d 2030</t>
  </si>
  <si>
    <t>Biomass (MWh/d) 2015</t>
  </si>
  <si>
    <t>Coal (kg/d)</t>
  </si>
  <si>
    <t>https://de.wikipedia.org/wiki/Liste_der_aktiven_Bergwerke_in_Deutschland</t>
  </si>
  <si>
    <t>Germany is a net-importer of natural gas. In addition to 12% domestic production, natural gas is imported from mainly four countries: Norway (12%), Netherlands (45%), Russia (34%) and UK/Denmark (23%).</t>
  </si>
  <si>
    <t>Distance (by car)</t>
  </si>
  <si>
    <t>Distance (by train)</t>
  </si>
  <si>
    <t>Potsdam</t>
  </si>
  <si>
    <t>onshore</t>
  </si>
  <si>
    <t>offshore</t>
  </si>
  <si>
    <t>total</t>
  </si>
  <si>
    <t>part</t>
  </si>
  <si>
    <t>%</t>
  </si>
  <si>
    <t>Wind</t>
  </si>
  <si>
    <t>Jan</t>
  </si>
  <si>
    <t>Feb</t>
  </si>
  <si>
    <t>Mar</t>
  </si>
  <si>
    <t>May</t>
  </si>
  <si>
    <t>Jun</t>
  </si>
  <si>
    <t>Jul</t>
  </si>
  <si>
    <t>Aug</t>
  </si>
  <si>
    <t>Apr</t>
  </si>
  <si>
    <t>Sep</t>
  </si>
  <si>
    <t>Oct</t>
  </si>
  <si>
    <t>Nov</t>
  </si>
  <si>
    <t>Dec</t>
  </si>
  <si>
    <t>Monthly electricity  generation TWh</t>
  </si>
  <si>
    <t>Solar</t>
  </si>
  <si>
    <t>Conventional</t>
  </si>
  <si>
    <t>Full load hours</t>
  </si>
  <si>
    <t>Sources</t>
  </si>
  <si>
    <t>average</t>
  </si>
  <si>
    <t>monthly/solar</t>
  </si>
  <si>
    <t>GWh</t>
  </si>
  <si>
    <t>Exclusive economic zone was included in Lower Saxony supply</t>
  </si>
  <si>
    <t>GWh/month</t>
  </si>
  <si>
    <t>GWh/d</t>
  </si>
  <si>
    <t xml:space="preserve">Wind energy </t>
  </si>
  <si>
    <t>Solar energy</t>
  </si>
  <si>
    <t>https://www.destatis.de/DE/PresseService/Presse/Pressemitteilungen/2016/08/PD16_295_12411.html   population of Germany</t>
  </si>
  <si>
    <t>Population 2015</t>
  </si>
  <si>
    <t xml:space="preserve">Solar(GWh/d) </t>
  </si>
  <si>
    <t xml:space="preserve">Wind(GWh/d) </t>
  </si>
  <si>
    <t xml:space="preserve">Ratio </t>
  </si>
  <si>
    <t>Prediction of Population 2060  based on
higher immigration</t>
  </si>
  <si>
    <t>https://www.destatis.de/EN/Publications/Specialized/Population/GermanyPopulation2060_5124206159004.pdf?__blob=publicationFile</t>
  </si>
  <si>
    <t>Prediction of Population 2030  based on
higher immigration</t>
  </si>
  <si>
    <t>http://data.worldbank.org/indicator/EG.USE.ELEC.KH.PC</t>
  </si>
  <si>
    <t>Electric power consumption (kWh per capita)</t>
  </si>
  <si>
    <t>Electric power consumption kWh</t>
  </si>
  <si>
    <t>Prediction of Population 2017  based on
higher immigration</t>
  </si>
  <si>
    <t>Coal(kWh/d)</t>
  </si>
  <si>
    <t>Year</t>
  </si>
  <si>
    <t>http://data.worldbank.org/indicator/EG.USE.ELEC.KH.PC?locations=DE</t>
  </si>
  <si>
    <t>Wind onshore</t>
  </si>
  <si>
    <t>Wind offshore</t>
  </si>
  <si>
    <t>Total Wind</t>
  </si>
  <si>
    <t>3-member household with an electricity consumption of 3,500 kWh</t>
  </si>
  <si>
    <t xml:space="preserve">Electric power consumption </t>
  </si>
  <si>
    <t>kWh per capita</t>
  </si>
  <si>
    <t>Fmax</t>
  </si>
  <si>
    <t>C1</t>
  </si>
  <si>
    <t>C2</t>
  </si>
  <si>
    <t>F</t>
  </si>
  <si>
    <t>Prediction</t>
  </si>
  <si>
    <t>Average EC per  household</t>
  </si>
  <si>
    <t>Aver F</t>
  </si>
  <si>
    <t>Projection</t>
  </si>
  <si>
    <t>0.84 of renewable are wind and photovoltaics</t>
  </si>
  <si>
    <t>err</t>
  </si>
  <si>
    <t>https://service.destatis.de/laenderpyramiden/</t>
  </si>
  <si>
    <t>Population</t>
  </si>
  <si>
    <t>&lt;20</t>
  </si>
  <si>
    <t>20-64</t>
  </si>
  <si>
    <t>65-79</t>
  </si>
  <si>
    <t>80&gt;</t>
  </si>
  <si>
    <t>Mil</t>
  </si>
  <si>
    <t>Total &lt;18</t>
  </si>
  <si>
    <t>Total 18-79</t>
  </si>
  <si>
    <t>18-79</t>
  </si>
  <si>
    <t>population</t>
  </si>
  <si>
    <t xml:space="preserve">Installed wind power </t>
  </si>
  <si>
    <t xml:space="preserve">Installed solar power </t>
  </si>
  <si>
    <t>MW</t>
  </si>
  <si>
    <t>Max elec wind generation</t>
  </si>
  <si>
    <t>Max elec solar generation</t>
  </si>
  <si>
    <t>Average elec consumption per capita</t>
  </si>
  <si>
    <t>Pregger, T., Nitsch, J. &amp; Naegler, T., 2013. Long-term scenarios and strategies for the deployment of renewable energies in Germany. Energy Policy, 59, pp.350–360.</t>
  </si>
  <si>
    <t xml:space="preserve">3-member household  electricity consumption </t>
  </si>
  <si>
    <t>Household elec consumption 2050</t>
  </si>
  <si>
    <t>Household elec consumption 2030</t>
  </si>
  <si>
    <t>Household elec consumption 2015</t>
  </si>
  <si>
    <t>H2 demand by grid kg/d 2015</t>
  </si>
  <si>
    <t>H2 demand by grid kg/d 2050</t>
  </si>
  <si>
    <t>kWh/d</t>
  </si>
  <si>
    <t>Electric power generation kWh/d from Wind plants 2030</t>
  </si>
  <si>
    <t>Electric power generation kWh/d from Solar plants 2030</t>
  </si>
  <si>
    <t>Electric power generation kWh/d from Wind plants 2015</t>
  </si>
  <si>
    <t>Electric power generation kWh/d from Solar plants 2015</t>
  </si>
  <si>
    <t>Total 2030  kWh/d</t>
  </si>
  <si>
    <t>Total 2015  kWh/d</t>
  </si>
  <si>
    <t xml:space="preserve"> kWh/d</t>
  </si>
  <si>
    <t>Total 2030  production</t>
  </si>
  <si>
    <t>Total 2015 production</t>
  </si>
  <si>
    <t>Total 2050  production</t>
  </si>
  <si>
    <t>Passenger transoprt system in Germany</t>
  </si>
  <si>
    <t>Number</t>
  </si>
  <si>
    <t>Average distance travelled (km y-1)</t>
  </si>
  <si>
    <t>Fuel economy (kg H2 km-1)</t>
  </si>
  <si>
    <t>Number of passenger cars</t>
  </si>
  <si>
    <t>http://www.statistik-portal.de/Statistik-Portal/en/en_jb16_jahrtab37.asp</t>
  </si>
  <si>
    <t>http://www.ecoglobe.org/nz/energy/hydrogen.htm</t>
  </si>
  <si>
    <t>H2 demand kg/d</t>
  </si>
  <si>
    <t>Household energy consumption</t>
  </si>
  <si>
    <t>Hydrogen demand</t>
  </si>
  <si>
    <t>kg/d</t>
  </si>
  <si>
    <t xml:space="preserve">Population </t>
  </si>
  <si>
    <t>MM</t>
  </si>
  <si>
    <t>Biomass gasification</t>
  </si>
  <si>
    <t>Design production capacity kg d-1</t>
  </si>
  <si>
    <t>Plant availability d</t>
  </si>
  <si>
    <t xml:space="preserve">Annual production </t>
  </si>
  <si>
    <t>Fuel required per H2 generated</t>
  </si>
  <si>
    <t>Fuel consumed</t>
  </si>
  <si>
    <t>CO2 produced kg kg-1 H2</t>
  </si>
  <si>
    <t>Dispencer rate kg h-1</t>
  </si>
  <si>
    <t>Unit cost $ kg-1 d-1 H2</t>
  </si>
  <si>
    <t>Unit liq/gas cost $ kg-1 d-1 H2</t>
  </si>
  <si>
    <t>Number of Dispencer</t>
  </si>
  <si>
    <t>H2 Dispencer unit cost</t>
  </si>
  <si>
    <t>Unit storage cost $ kg-1 H2</t>
  </si>
  <si>
    <t>CO2 cost $ kg-1</t>
  </si>
  <si>
    <t>SMR/Gasifier/Electrol $ unit-1</t>
  </si>
  <si>
    <t>Size factor Process</t>
  </si>
  <si>
    <t xml:space="preserve">Size factor liq/gas </t>
  </si>
  <si>
    <t>Size factor of storage</t>
  </si>
  <si>
    <t>Energy cost $ kW-1</t>
  </si>
  <si>
    <t>Total process unit cost (UC) $</t>
  </si>
  <si>
    <t>General facilities cost 20% of UC $</t>
  </si>
  <si>
    <t>Engineering Permitting 10% of UC $</t>
  </si>
  <si>
    <t>Contingencies 10% of UC $</t>
  </si>
  <si>
    <t>Working Capital, Land 5% of UC $</t>
  </si>
  <si>
    <t>Total Capital Cost (CC)  $</t>
  </si>
  <si>
    <t>Electricity cost $ kWh-1</t>
  </si>
  <si>
    <t>Power consumption kWh kg-1 H2</t>
  </si>
  <si>
    <t>Fuel price $ y-1</t>
  </si>
  <si>
    <t>Fuel price $ unit-1</t>
  </si>
  <si>
    <t>Electricity cost $ y-1</t>
  </si>
  <si>
    <t>Fixed Operating Cost 5% y-1</t>
  </si>
  <si>
    <t>Capital Charges 12% of capital y-1</t>
  </si>
  <si>
    <t>Total Operating Cost $ y-1</t>
  </si>
  <si>
    <t>Unit Production cost $ kg-1</t>
  </si>
  <si>
    <t>O2 consumed per H2 generated</t>
  </si>
  <si>
    <t>Air separation unit $ kg-1 d-1 O2</t>
  </si>
  <si>
    <t>CO shift, cool and cleanup $ kg-1 d-1 CO2</t>
  </si>
  <si>
    <t>Sensitivity analysis</t>
  </si>
  <si>
    <t>Electric power generation kWh from Wind plants 2050</t>
  </si>
  <si>
    <t>Electric power generation kWh from Solar plants 2050</t>
  </si>
  <si>
    <t>Risk transportation</t>
  </si>
  <si>
    <t>Population (Mil)</t>
  </si>
  <si>
    <t>Population Level</t>
  </si>
  <si>
    <t>Transiting level (&lt;1 km)</t>
  </si>
  <si>
    <t>Transiting level (1-10 km)</t>
  </si>
  <si>
    <t>coal gasification</t>
  </si>
  <si>
    <t>steam methane reforming</t>
  </si>
  <si>
    <t>biomass gasification</t>
  </si>
  <si>
    <t>water electrolysis</t>
  </si>
  <si>
    <t>Weight factor</t>
  </si>
  <si>
    <t>Production type</t>
  </si>
  <si>
    <t>Transportation type</t>
  </si>
  <si>
    <t>x</t>
  </si>
  <si>
    <t>y</t>
  </si>
  <si>
    <t>Total 2050  kWh/d</t>
  </si>
  <si>
    <t>Photovoltaic power potential (MW)</t>
  </si>
  <si>
    <t>Technical potential Photovoltaic (million kWh / a)</t>
  </si>
  <si>
    <t>Potential wind energy power generation (billion kWh)</t>
  </si>
  <si>
    <t>Potential wind energy power (MW)</t>
  </si>
  <si>
    <t>O&amp;M 3% of CC $ y-1</t>
  </si>
  <si>
    <t>H20 consumption cost $</t>
  </si>
  <si>
    <t>Driver working hour (h)</t>
  </si>
  <si>
    <t>Road</t>
  </si>
  <si>
    <t>Railway</t>
  </si>
  <si>
    <t xml:space="preserve"> Grid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</si>
</sst>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#,##0.0"/>
    <numFmt numFmtId="166" formatCode="yyyy"/>
    <numFmt numFmtId="167" formatCode="0.0%"/>
    <numFmt numFmtId="168" formatCode="0.00000"/>
    <numFmt numFmtId="169" formatCode="0.0000"/>
  </numFmts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  <font>
      <sz val="9.9"/>
      <color rgb="FF000000"/>
      <name val="Arial"/>
      <family val="2"/>
    </font>
    <font>
      <sz val="9"/>
      <color rgb="FF2B2B2D"/>
      <name val="Arial"/>
      <family val="2"/>
    </font>
    <font>
      <sz val="9"/>
      <color rgb="FF444444"/>
      <name val="Lucida Sans Unicode"/>
      <family val="2"/>
    </font>
    <font>
      <sz val="10"/>
      <name val="BundesSans Office"/>
      <family val="2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Times New Roman"/>
      <family val="1"/>
    </font>
    <font>
      <sz val="11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gradientFill degree="135">
        <stop position="0">
          <color theme="4" tint="0.59999389629810485"/>
        </stop>
        <stop position="1">
          <color theme="5" tint="0.40000610370189521"/>
        </stop>
      </gradientFill>
    </fill>
    <fill>
      <gradientFill degree="135">
        <stop position="0">
          <color theme="4" tint="0.59999389629810485"/>
        </stop>
        <stop position="1">
          <color theme="5" tint="0.59999389629810485"/>
        </stop>
      </gradientFill>
    </fill>
    <fill>
      <patternFill patternType="solid">
        <fgColor theme="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0" tint="-0.34998626667073579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medium">
        <color theme="4"/>
      </top>
      <bottom/>
      <diagonal/>
    </border>
    <border>
      <left style="thick">
        <color theme="9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ck">
        <color theme="9"/>
      </left>
      <right style="thin">
        <color theme="5"/>
      </right>
      <top style="thin">
        <color theme="5"/>
      </top>
      <bottom style="thick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ck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medium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 style="medium">
        <color theme="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theme="4"/>
      </left>
      <right style="thick">
        <color theme="9"/>
      </right>
      <top style="medium">
        <color theme="4"/>
      </top>
      <bottom/>
      <diagonal/>
    </border>
    <border>
      <left style="thick">
        <color theme="9"/>
      </left>
      <right style="medium">
        <color theme="4"/>
      </right>
      <top style="thick">
        <color theme="9"/>
      </top>
      <bottom/>
      <diagonal/>
    </border>
    <border>
      <left style="medium">
        <color theme="4"/>
      </left>
      <right style="medium">
        <color theme="4"/>
      </right>
      <top style="thick">
        <color theme="9"/>
      </top>
      <bottom/>
      <diagonal/>
    </border>
    <border>
      <left style="thin">
        <color theme="5"/>
      </left>
      <right style="thin">
        <color theme="5"/>
      </right>
      <top/>
      <bottom style="thin">
        <color theme="0" tint="-0.34998626667073579"/>
      </bottom>
      <diagonal/>
    </border>
    <border diagonalDown="1">
      <left/>
      <right/>
      <top/>
      <bottom/>
      <diagonal style="thick">
        <color theme="4"/>
      </diagonal>
    </border>
    <border>
      <left/>
      <right/>
      <top style="medium">
        <color theme="5"/>
      </top>
      <bottom style="medium">
        <color theme="5"/>
      </bottom>
      <diagonal/>
    </border>
    <border diagonalDown="1">
      <left/>
      <right style="medium">
        <color theme="4"/>
      </right>
      <top/>
      <bottom style="medium">
        <color theme="5"/>
      </bottom>
      <diagonal style="mediumDashDot">
        <color theme="0" tint="-0.34998626667073579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theme="5"/>
      </right>
      <top style="medium">
        <color theme="5"/>
      </top>
      <bottom/>
      <diagonal/>
    </border>
    <border>
      <left style="thin">
        <color auto="1"/>
      </left>
      <right style="thin">
        <color theme="5"/>
      </right>
      <top/>
      <bottom/>
      <diagonal/>
    </border>
    <border>
      <left style="thin">
        <color auto="1"/>
      </left>
      <right style="thin">
        <color theme="5"/>
      </right>
      <top/>
      <bottom style="thin">
        <color theme="5"/>
      </bottom>
      <diagonal/>
    </border>
    <border>
      <left style="thin">
        <color auto="1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auto="1"/>
      </left>
      <right style="thin">
        <color theme="5"/>
      </right>
      <top style="thin">
        <color theme="5"/>
      </top>
      <bottom/>
      <diagonal/>
    </border>
    <border>
      <left/>
      <right style="thin">
        <color auto="1"/>
      </right>
      <top style="medium">
        <color theme="4"/>
      </top>
      <bottom/>
      <diagonal/>
    </border>
    <border>
      <left style="medium">
        <color theme="4"/>
      </left>
      <right style="thin">
        <color auto="1"/>
      </right>
      <top style="thick">
        <color theme="9"/>
      </top>
      <bottom/>
      <diagonal/>
    </border>
    <border>
      <left style="thin">
        <color theme="5"/>
      </left>
      <right style="thin">
        <color auto="1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auto="1"/>
      </right>
      <top style="thin">
        <color theme="5"/>
      </top>
      <bottom style="thick">
        <color theme="9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29">
      <alignment horizontal="center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348">
    <xf numFmtId="0" fontId="0" fillId="0" borderId="0" xfId="0"/>
    <xf numFmtId="0" fontId="4" fillId="3" borderId="4" xfId="4" applyBorder="1"/>
    <xf numFmtId="0" fontId="4" fillId="3" borderId="5" xfId="4" applyBorder="1"/>
    <xf numFmtId="0" fontId="4" fillId="4" borderId="6" xfId="5" applyBorder="1" applyAlignment="1">
      <alignment horizontal="center"/>
    </xf>
    <xf numFmtId="0" fontId="4" fillId="10" borderId="6" xfId="11" applyBorder="1" applyAlignment="1">
      <alignment horizontal="center"/>
    </xf>
    <xf numFmtId="0" fontId="4" fillId="8" borderId="6" xfId="9" applyBorder="1" applyAlignment="1">
      <alignment horizontal="center"/>
    </xf>
    <xf numFmtId="0" fontId="4" fillId="7" borderId="9" xfId="8" applyBorder="1" applyAlignment="1">
      <alignment horizontal="center"/>
    </xf>
    <xf numFmtId="0" fontId="4" fillId="7" borderId="10" xfId="8" applyBorder="1" applyAlignment="1">
      <alignment horizontal="center"/>
    </xf>
    <xf numFmtId="0" fontId="4" fillId="4" borderId="11" xfId="5" applyBorder="1" applyAlignment="1">
      <alignment horizontal="center"/>
    </xf>
    <xf numFmtId="0" fontId="4" fillId="8" borderId="11" xfId="9" applyBorder="1" applyAlignment="1">
      <alignment horizontal="center"/>
    </xf>
    <xf numFmtId="0" fontId="4" fillId="10" borderId="11" xfId="11" applyBorder="1" applyAlignment="1">
      <alignment horizontal="center"/>
    </xf>
    <xf numFmtId="0" fontId="4" fillId="3" borderId="12" xfId="4" applyBorder="1"/>
    <xf numFmtId="0" fontId="4" fillId="4" borderId="13" xfId="5" applyBorder="1" applyAlignment="1">
      <alignment horizontal="center"/>
    </xf>
    <xf numFmtId="0" fontId="4" fillId="8" borderId="13" xfId="9" applyBorder="1" applyAlignment="1">
      <alignment horizontal="center"/>
    </xf>
    <xf numFmtId="0" fontId="4" fillId="10" borderId="13" xfId="11" applyBorder="1" applyAlignment="1">
      <alignment horizontal="center"/>
    </xf>
    <xf numFmtId="0" fontId="4" fillId="10" borderId="14" xfId="11" applyBorder="1" applyAlignment="1">
      <alignment horizontal="center"/>
    </xf>
    <xf numFmtId="0" fontId="4" fillId="10" borderId="15" xfId="11" applyBorder="1" applyAlignment="1">
      <alignment horizontal="center"/>
    </xf>
    <xf numFmtId="0" fontId="4" fillId="7" borderId="0" xfId="8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8" fillId="12" borderId="20" xfId="13" applyFont="1" applyBorder="1"/>
    <xf numFmtId="0" fontId="5" fillId="6" borderId="0" xfId="7" applyBorder="1"/>
    <xf numFmtId="0" fontId="0" fillId="0" borderId="0" xfId="0" applyBorder="1"/>
    <xf numFmtId="0" fontId="4" fillId="7" borderId="0" xfId="8" applyBorder="1"/>
    <xf numFmtId="0" fontId="0" fillId="0" borderId="21" xfId="0" applyBorder="1"/>
    <xf numFmtId="0" fontId="5" fillId="6" borderId="23" xfId="7" applyBorder="1"/>
    <xf numFmtId="0" fontId="5" fillId="12" borderId="22" xfId="13" applyBorder="1"/>
    <xf numFmtId="0" fontId="6" fillId="3" borderId="7" xfId="4" applyFont="1" applyBorder="1" applyAlignment="1">
      <alignment horizontal="center" vertical="center"/>
    </xf>
    <xf numFmtId="0" fontId="0" fillId="0" borderId="21" xfId="0" applyFill="1" applyBorder="1"/>
    <xf numFmtId="0" fontId="4" fillId="7" borderId="28" xfId="8" applyBorder="1" applyAlignment="1">
      <alignment horizontal="center"/>
    </xf>
    <xf numFmtId="0" fontId="4" fillId="14" borderId="31" xfId="14" applyFill="1" applyBorder="1">
      <alignment horizontal="center" vertical="center"/>
    </xf>
    <xf numFmtId="0" fontId="4" fillId="2" borderId="7" xfId="3" applyBorder="1" applyAlignment="1">
      <alignment horizontal="center"/>
    </xf>
    <xf numFmtId="0" fontId="0" fillId="2" borderId="7" xfId="3" applyFont="1" applyBorder="1" applyAlignment="1">
      <alignment horizontal="center"/>
    </xf>
    <xf numFmtId="0" fontId="4" fillId="2" borderId="25" xfId="3" applyBorder="1" applyAlignment="1">
      <alignment horizontal="center"/>
    </xf>
    <xf numFmtId="0" fontId="4" fillId="2" borderId="26" xfId="3" applyBorder="1" applyAlignment="1">
      <alignment horizontal="center"/>
    </xf>
    <xf numFmtId="0" fontId="0" fillId="2" borderId="27" xfId="3" applyFont="1" applyBorder="1" applyAlignment="1">
      <alignment horizontal="center"/>
    </xf>
    <xf numFmtId="0" fontId="0" fillId="0" borderId="32" xfId="0" applyBorder="1" applyAlignment="1">
      <alignment horizontal="left" vertical="center" wrapText="1" indent="3"/>
    </xf>
    <xf numFmtId="0" fontId="0" fillId="0" borderId="0" xfId="0" applyBorder="1" applyAlignment="1">
      <alignment horizontal="center"/>
    </xf>
    <xf numFmtId="0" fontId="15" fillId="0" borderId="0" xfId="15"/>
    <xf numFmtId="0" fontId="17" fillId="0" borderId="0" xfId="0" applyFont="1"/>
    <xf numFmtId="0" fontId="0" fillId="0" borderId="36" xfId="0" applyBorder="1"/>
    <xf numFmtId="0" fontId="0" fillId="0" borderId="43" xfId="0" applyBorder="1"/>
    <xf numFmtId="0" fontId="0" fillId="0" borderId="44" xfId="0" applyBorder="1"/>
    <xf numFmtId="0" fontId="0" fillId="0" borderId="37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14" fillId="0" borderId="43" xfId="0" applyFont="1" applyBorder="1"/>
    <xf numFmtId="0" fontId="14" fillId="0" borderId="0" xfId="0" applyFont="1" applyBorder="1"/>
    <xf numFmtId="0" fontId="0" fillId="0" borderId="46" xfId="0" applyBorder="1"/>
    <xf numFmtId="0" fontId="0" fillId="0" borderId="34" xfId="0" applyBorder="1" applyAlignment="1">
      <alignment horizontal="left" vertical="center" wrapText="1" indent="3"/>
    </xf>
    <xf numFmtId="0" fontId="0" fillId="0" borderId="34" xfId="0" applyBorder="1" applyAlignment="1">
      <alignment vertical="center"/>
    </xf>
    <xf numFmtId="0" fontId="0" fillId="0" borderId="38" xfId="0" applyBorder="1"/>
    <xf numFmtId="0" fontId="0" fillId="0" borderId="39" xfId="0" applyBorder="1"/>
    <xf numFmtId="0" fontId="0" fillId="0" borderId="42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18" fillId="0" borderId="0" xfId="0" applyFont="1"/>
    <xf numFmtId="0" fontId="14" fillId="0" borderId="0" xfId="0" applyFont="1" applyAlignment="1">
      <alignment vertical="center"/>
    </xf>
    <xf numFmtId="0" fontId="0" fillId="0" borderId="32" xfId="0" applyBorder="1" applyAlignment="1">
      <alignment vertical="center"/>
    </xf>
    <xf numFmtId="0" fontId="11" fillId="0" borderId="32" xfId="0" applyFont="1" applyBorder="1" applyAlignment="1">
      <alignment vertical="center" wrapText="1"/>
    </xf>
    <xf numFmtId="0" fontId="0" fillId="0" borderId="39" xfId="0" applyBorder="1" applyAlignment="1">
      <alignment horizontal="center"/>
    </xf>
    <xf numFmtId="165" fontId="0" fillId="0" borderId="0" xfId="0" applyNumberFormat="1" applyFill="1"/>
    <xf numFmtId="0" fontId="4" fillId="3" borderId="40" xfId="4" applyBorder="1" applyAlignment="1">
      <alignment horizontal="center"/>
    </xf>
    <xf numFmtId="0" fontId="4" fillId="3" borderId="44" xfId="4" applyBorder="1"/>
    <xf numFmtId="0" fontId="4" fillId="3" borderId="46" xfId="4" applyBorder="1"/>
    <xf numFmtId="0" fontId="4" fillId="2" borderId="40" xfId="3" applyBorder="1" applyAlignment="1">
      <alignment horizontal="center"/>
    </xf>
    <xf numFmtId="0" fontId="4" fillId="2" borderId="36" xfId="3" applyBorder="1"/>
    <xf numFmtId="0" fontId="4" fillId="2" borderId="43" xfId="3" applyBorder="1"/>
    <xf numFmtId="0" fontId="4" fillId="2" borderId="44" xfId="3" applyBorder="1"/>
    <xf numFmtId="0" fontId="4" fillId="2" borderId="41" xfId="3" applyBorder="1"/>
    <xf numFmtId="0" fontId="4" fillId="2" borderId="0" xfId="3" applyBorder="1"/>
    <xf numFmtId="0" fontId="4" fillId="2" borderId="46" xfId="3" applyBorder="1"/>
    <xf numFmtId="0" fontId="4" fillId="2" borderId="38" xfId="3" applyBorder="1"/>
    <xf numFmtId="0" fontId="4" fillId="2" borderId="39" xfId="3" applyBorder="1"/>
    <xf numFmtId="0" fontId="4" fillId="2" borderId="42" xfId="3" applyBorder="1"/>
    <xf numFmtId="0" fontId="4" fillId="9" borderId="40" xfId="10" applyBorder="1" applyAlignment="1">
      <alignment horizontal="center"/>
    </xf>
    <xf numFmtId="0" fontId="4" fillId="9" borderId="35" xfId="10" applyBorder="1" applyAlignment="1">
      <alignment horizontal="center"/>
    </xf>
    <xf numFmtId="0" fontId="4" fillId="9" borderId="36" xfId="10" applyBorder="1"/>
    <xf numFmtId="0" fontId="4" fillId="9" borderId="41" xfId="10" applyBorder="1"/>
    <xf numFmtId="0" fontId="4" fillId="9" borderId="38" xfId="10" applyBorder="1"/>
    <xf numFmtId="0" fontId="4" fillId="16" borderId="40" xfId="25" applyBorder="1" applyAlignment="1">
      <alignment horizontal="center"/>
    </xf>
    <xf numFmtId="0" fontId="4" fillId="16" borderId="43" xfId="25" applyBorder="1"/>
    <xf numFmtId="0" fontId="4" fillId="16" borderId="44" xfId="25" applyBorder="1"/>
    <xf numFmtId="0" fontId="4" fillId="17" borderId="40" xfId="26" applyBorder="1" applyAlignment="1">
      <alignment horizontal="center"/>
    </xf>
    <xf numFmtId="0" fontId="4" fillId="17" borderId="35" xfId="26" applyBorder="1" applyAlignment="1">
      <alignment horizontal="center"/>
    </xf>
    <xf numFmtId="0" fontId="4" fillId="5" borderId="40" xfId="6" applyBorder="1" applyAlignment="1">
      <alignment horizontal="center"/>
    </xf>
    <xf numFmtId="0" fontId="4" fillId="5" borderId="34" xfId="6" applyBorder="1" applyAlignment="1">
      <alignment horizontal="center"/>
    </xf>
    <xf numFmtId="0" fontId="4" fillId="5" borderId="35" xfId="6" applyBorder="1" applyAlignment="1">
      <alignment horizontal="center"/>
    </xf>
    <xf numFmtId="0" fontId="4" fillId="5" borderId="34" xfId="6" applyBorder="1"/>
    <xf numFmtId="0" fontId="4" fillId="5" borderId="40" xfId="6" applyBorder="1"/>
    <xf numFmtId="0" fontId="4" fillId="5" borderId="32" xfId="6" applyBorder="1"/>
    <xf numFmtId="0" fontId="5" fillId="18" borderId="42" xfId="27" applyBorder="1"/>
    <xf numFmtId="0" fontId="5" fillId="18" borderId="39" xfId="27" applyBorder="1"/>
    <xf numFmtId="0" fontId="5" fillId="15" borderId="39" xfId="24" applyBorder="1"/>
    <xf numFmtId="0" fontId="4" fillId="17" borderId="44" xfId="26" applyBorder="1"/>
    <xf numFmtId="0" fontId="4" fillId="17" borderId="46" xfId="26" applyBorder="1"/>
    <xf numFmtId="0" fontId="5" fillId="15" borderId="42" xfId="24" applyBorder="1"/>
    <xf numFmtId="0" fontId="4" fillId="16" borderId="0" xfId="25" applyBorder="1"/>
    <xf numFmtId="0" fontId="4" fillId="16" borderId="36" xfId="25" applyBorder="1"/>
    <xf numFmtId="0" fontId="4" fillId="16" borderId="41" xfId="25" applyBorder="1"/>
    <xf numFmtId="0" fontId="4" fillId="16" borderId="46" xfId="25" applyBorder="1"/>
    <xf numFmtId="0" fontId="4" fillId="16" borderId="38" xfId="25" applyBorder="1"/>
    <xf numFmtId="0" fontId="4" fillId="16" borderId="39" xfId="25" applyBorder="1"/>
    <xf numFmtId="0" fontId="4" fillId="16" borderId="42" xfId="25" applyBorder="1"/>
    <xf numFmtId="0" fontId="0" fillId="0" borderId="0" xfId="0" applyBorder="1" applyAlignment="1">
      <alignment vertical="center"/>
    </xf>
    <xf numFmtId="2" fontId="4" fillId="7" borderId="34" xfId="8" applyNumberFormat="1" applyBorder="1" applyAlignment="1">
      <alignment vertical="center" wrapText="1"/>
    </xf>
    <xf numFmtId="2" fontId="0" fillId="0" borderId="0" xfId="0" applyNumberFormat="1" applyBorder="1" applyAlignment="1">
      <alignment horizontal="right" vertical="center" wrapText="1"/>
    </xf>
    <xf numFmtId="2" fontId="0" fillId="0" borderId="0" xfId="0" applyNumberFormat="1" applyBorder="1" applyAlignment="1">
      <alignment vertical="center" wrapText="1"/>
    </xf>
    <xf numFmtId="2" fontId="0" fillId="0" borderId="0" xfId="0" applyNumberFormat="1" applyBorder="1" applyAlignment="1">
      <alignment vertical="center"/>
    </xf>
    <xf numFmtId="2" fontId="14" fillId="0" borderId="0" xfId="0" applyNumberFormat="1" applyFont="1" applyBorder="1" applyAlignment="1">
      <alignment horizontal="right" vertical="center" wrapText="1"/>
    </xf>
    <xf numFmtId="2" fontId="0" fillId="0" borderId="0" xfId="0" applyNumberFormat="1" applyBorder="1"/>
    <xf numFmtId="2" fontId="19" fillId="0" borderId="0" xfId="0" applyNumberFormat="1" applyFont="1" applyBorder="1"/>
    <xf numFmtId="2" fontId="14" fillId="0" borderId="0" xfId="0" applyNumberFormat="1" applyFont="1" applyBorder="1"/>
    <xf numFmtId="2" fontId="0" fillId="0" borderId="0" xfId="0" applyNumberFormat="1" applyFont="1" applyBorder="1"/>
    <xf numFmtId="0" fontId="0" fillId="0" borderId="36" xfId="0" applyBorder="1" applyAlignment="1">
      <alignment horizontal="left" vertical="center" wrapText="1" indent="3"/>
    </xf>
    <xf numFmtId="0" fontId="0" fillId="0" borderId="43" xfId="0" applyBorder="1" applyAlignment="1">
      <alignment vertical="center"/>
    </xf>
    <xf numFmtId="2" fontId="0" fillId="0" borderId="43" xfId="0" applyNumberFormat="1" applyBorder="1" applyAlignment="1">
      <alignment horizontal="right" vertical="center" wrapText="1"/>
    </xf>
    <xf numFmtId="2" fontId="0" fillId="0" borderId="43" xfId="0" applyNumberFormat="1" applyBorder="1" applyAlignment="1">
      <alignment vertical="center" wrapText="1"/>
    </xf>
    <xf numFmtId="2" fontId="0" fillId="0" borderId="43" xfId="0" applyNumberFormat="1" applyBorder="1" applyAlignment="1">
      <alignment vertical="center"/>
    </xf>
    <xf numFmtId="2" fontId="14" fillId="0" borderId="43" xfId="0" applyNumberFormat="1" applyFont="1" applyBorder="1" applyAlignment="1">
      <alignment horizontal="right" vertical="center" wrapText="1"/>
    </xf>
    <xf numFmtId="2" fontId="0" fillId="0" borderId="43" xfId="0" applyNumberFormat="1" applyBorder="1"/>
    <xf numFmtId="0" fontId="0" fillId="0" borderId="41" xfId="0" applyBorder="1" applyAlignment="1">
      <alignment horizontal="left" vertical="center" wrapText="1" indent="3"/>
    </xf>
    <xf numFmtId="0" fontId="11" fillId="0" borderId="38" xfId="0" applyFont="1" applyBorder="1" applyAlignment="1">
      <alignment vertical="center" wrapText="1"/>
    </xf>
    <xf numFmtId="0" fontId="0" fillId="0" borderId="39" xfId="0" applyBorder="1" applyAlignment="1">
      <alignment vertical="center"/>
    </xf>
    <xf numFmtId="2" fontId="13" fillId="0" borderId="39" xfId="0" applyNumberFormat="1" applyFont="1" applyBorder="1" applyAlignment="1">
      <alignment horizontal="right" vertical="center" wrapText="1"/>
    </xf>
    <xf numFmtId="2" fontId="11" fillId="0" borderId="39" xfId="0" applyNumberFormat="1" applyFont="1" applyBorder="1"/>
    <xf numFmtId="0" fontId="0" fillId="0" borderId="0" xfId="0" applyBorder="1" applyAlignment="1"/>
    <xf numFmtId="2" fontId="0" fillId="0" borderId="44" xfId="0" applyNumberFormat="1" applyBorder="1" applyAlignment="1">
      <alignment horizontal="right" vertical="center"/>
    </xf>
    <xf numFmtId="2" fontId="0" fillId="0" borderId="46" xfId="0" applyNumberFormat="1" applyBorder="1" applyAlignment="1">
      <alignment horizontal="right" vertical="center"/>
    </xf>
    <xf numFmtId="2" fontId="13" fillId="0" borderId="42" xfId="0" applyNumberFormat="1" applyFont="1" applyBorder="1" applyAlignment="1">
      <alignment horizontal="right" vertical="center" wrapText="1"/>
    </xf>
    <xf numFmtId="2" fontId="11" fillId="0" borderId="39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wrapText="1"/>
    </xf>
    <xf numFmtId="2" fontId="0" fillId="7" borderId="34" xfId="8" applyNumberFormat="1" applyFont="1" applyBorder="1" applyAlignment="1">
      <alignment vertical="center" wrapText="1"/>
    </xf>
    <xf numFmtId="0" fontId="0" fillId="0" borderId="0" xfId="0"/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11" fillId="0" borderId="0" xfId="0" applyNumberFormat="1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5" fillId="18" borderId="0" xfId="27" applyBorder="1"/>
    <xf numFmtId="0" fontId="0" fillId="0" borderId="45" xfId="0" applyBorder="1"/>
    <xf numFmtId="0" fontId="0" fillId="0" borderId="0" xfId="0" applyBorder="1" applyAlignment="1">
      <alignment horizontal="left" vertical="center" wrapText="1" indent="3"/>
    </xf>
    <xf numFmtId="165" fontId="0" fillId="0" borderId="0" xfId="0" applyNumberFormat="1" applyFill="1" applyBorder="1"/>
    <xf numFmtId="0" fontId="11" fillId="0" borderId="0" xfId="0" applyFont="1" applyBorder="1" applyAlignment="1">
      <alignment vertical="center" wrapText="1"/>
    </xf>
    <xf numFmtId="0" fontId="5" fillId="15" borderId="0" xfId="24" applyBorder="1"/>
    <xf numFmtId="166" fontId="0" fillId="0" borderId="0" xfId="0" applyNumberForma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4" fillId="9" borderId="51" xfId="10" applyBorder="1"/>
    <xf numFmtId="0" fontId="0" fillId="0" borderId="41" xfId="0" applyBorder="1"/>
    <xf numFmtId="0" fontId="4" fillId="3" borderId="53" xfId="4" applyBorder="1"/>
    <xf numFmtId="0" fontId="0" fillId="2" borderId="54" xfId="3" applyFont="1" applyBorder="1" applyAlignment="1">
      <alignment horizontal="center"/>
    </xf>
    <xf numFmtId="0" fontId="4" fillId="4" borderId="55" xfId="5" applyBorder="1" applyAlignment="1">
      <alignment horizontal="center"/>
    </xf>
    <xf numFmtId="0" fontId="4" fillId="8" borderId="55" xfId="9" applyBorder="1" applyAlignment="1">
      <alignment horizontal="center"/>
    </xf>
    <xf numFmtId="0" fontId="4" fillId="10" borderId="55" xfId="11" applyBorder="1" applyAlignment="1">
      <alignment horizontal="center"/>
    </xf>
    <xf numFmtId="0" fontId="4" fillId="10" borderId="56" xfId="11" applyBorder="1" applyAlignment="1">
      <alignment horizontal="center"/>
    </xf>
    <xf numFmtId="0" fontId="0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NumberFormat="1"/>
    <xf numFmtId="0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5" fillId="0" borderId="0" xfId="15" applyBorder="1" applyAlignment="1">
      <alignment vertical="center"/>
    </xf>
    <xf numFmtId="9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0" fontId="0" fillId="0" borderId="57" xfId="0" applyBorder="1"/>
    <xf numFmtId="0" fontId="0" fillId="0" borderId="23" xfId="0" applyBorder="1"/>
    <xf numFmtId="167" fontId="0" fillId="0" borderId="57" xfId="0" applyNumberFormat="1" applyBorder="1"/>
    <xf numFmtId="167" fontId="0" fillId="0" borderId="0" xfId="0" applyNumberFormat="1" applyBorder="1"/>
    <xf numFmtId="167" fontId="0" fillId="0" borderId="23" xfId="0" applyNumberFormat="1" applyBorder="1"/>
    <xf numFmtId="167" fontId="0" fillId="0" borderId="0" xfId="0" applyNumberFormat="1"/>
    <xf numFmtId="0" fontId="11" fillId="0" borderId="0" xfId="0" applyFont="1"/>
    <xf numFmtId="0" fontId="0" fillId="0" borderId="0" xfId="0" applyAlignment="1">
      <alignment horizontal="left" vertical="center" indent="3"/>
    </xf>
    <xf numFmtId="0" fontId="0" fillId="0" borderId="57" xfId="0" applyBorder="1" applyAlignment="1"/>
    <xf numFmtId="0" fontId="0" fillId="0" borderId="23" xfId="0" applyBorder="1" applyAlignment="1"/>
    <xf numFmtId="165" fontId="0" fillId="0" borderId="57" xfId="0" applyNumberFormat="1" applyFill="1" applyBorder="1"/>
    <xf numFmtId="0" fontId="14" fillId="0" borderId="57" xfId="0" applyFont="1" applyBorder="1"/>
    <xf numFmtId="165" fontId="0" fillId="0" borderId="23" xfId="0" applyNumberFormat="1" applyFill="1" applyBorder="1"/>
    <xf numFmtId="0" fontId="0" fillId="0" borderId="57" xfId="0" applyBorder="1" applyAlignment="1">
      <alignment horizontal="left" vertical="center" wrapText="1" indent="3"/>
    </xf>
    <xf numFmtId="0" fontId="0" fillId="0" borderId="57" xfId="0" applyBorder="1" applyAlignment="1">
      <alignment vertical="center"/>
    </xf>
    <xf numFmtId="0" fontId="0" fillId="0" borderId="23" xfId="0" applyBorder="1" applyAlignment="1">
      <alignment horizontal="left" vertical="center" wrapText="1" indent="3"/>
    </xf>
    <xf numFmtId="0" fontId="0" fillId="0" borderId="23" xfId="0" applyBorder="1" applyAlignment="1">
      <alignment vertical="center"/>
    </xf>
    <xf numFmtId="0" fontId="0" fillId="0" borderId="5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9" xfId="0" applyBorder="1" applyAlignment="1"/>
    <xf numFmtId="0" fontId="0" fillId="0" borderId="60" xfId="0" applyBorder="1" applyAlignment="1"/>
    <xf numFmtId="0" fontId="0" fillId="0" borderId="58" xfId="0" applyBorder="1" applyAlignment="1"/>
    <xf numFmtId="0" fontId="0" fillId="0" borderId="20" xfId="0" applyBorder="1" applyAlignment="1"/>
    <xf numFmtId="0" fontId="0" fillId="0" borderId="61" xfId="0" applyBorder="1" applyAlignment="1"/>
    <xf numFmtId="0" fontId="0" fillId="0" borderId="22" xfId="0" applyBorder="1" applyAlignment="1"/>
    <xf numFmtId="2" fontId="0" fillId="0" borderId="58" xfId="0" applyNumberFormat="1" applyBorder="1"/>
    <xf numFmtId="2" fontId="0" fillId="0" borderId="20" xfId="0" applyNumberFormat="1" applyBorder="1"/>
    <xf numFmtId="0" fontId="0" fillId="0" borderId="59" xfId="0" applyBorder="1"/>
    <xf numFmtId="0" fontId="0" fillId="0" borderId="60" xfId="0" applyBorder="1"/>
    <xf numFmtId="0" fontId="0" fillId="0" borderId="58" xfId="0" applyBorder="1"/>
    <xf numFmtId="0" fontId="0" fillId="0" borderId="20" xfId="0" applyBorder="1"/>
    <xf numFmtId="0" fontId="0" fillId="0" borderId="61" xfId="0" applyBorder="1"/>
    <xf numFmtId="0" fontId="0" fillId="0" borderId="22" xfId="0" applyBorder="1"/>
    <xf numFmtId="3" fontId="0" fillId="0" borderId="0" xfId="0" applyNumberFormat="1" applyBorder="1"/>
    <xf numFmtId="3" fontId="0" fillId="0" borderId="59" xfId="0" applyNumberFormat="1" applyBorder="1"/>
    <xf numFmtId="3" fontId="0" fillId="0" borderId="58" xfId="0" applyNumberFormat="1" applyBorder="1"/>
    <xf numFmtId="3" fontId="0" fillId="0" borderId="61" xfId="0" applyNumberFormat="1" applyBorder="1"/>
    <xf numFmtId="3" fontId="0" fillId="0" borderId="20" xfId="0" applyNumberFormat="1" applyBorder="1"/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11" fillId="0" borderId="0" xfId="0" applyNumberFormat="1" applyFont="1"/>
    <xf numFmtId="168" fontId="0" fillId="0" borderId="0" xfId="0" applyNumberFormat="1"/>
    <xf numFmtId="169" fontId="11" fillId="0" borderId="0" xfId="0" applyNumberFormat="1" applyFont="1"/>
    <xf numFmtId="0" fontId="0" fillId="0" borderId="0" xfId="0"/>
    <xf numFmtId="3" fontId="21" fillId="0" borderId="62" xfId="0" applyNumberFormat="1" applyFont="1" applyFill="1" applyBorder="1" applyAlignment="1">
      <alignment vertical="center"/>
    </xf>
    <xf numFmtId="0" fontId="0" fillId="0" borderId="0" xfId="0"/>
    <xf numFmtId="0" fontId="0" fillId="0" borderId="0" xfId="0"/>
    <xf numFmtId="0" fontId="10" fillId="6" borderId="0" xfId="7" applyFont="1" applyBorder="1" applyAlignment="1"/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 applyAlignment="1">
      <alignment textRotation="75" wrapText="1"/>
    </xf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  <xf numFmtId="0" fontId="0" fillId="19" borderId="0" xfId="0" applyFill="1"/>
    <xf numFmtId="0" fontId="0" fillId="19" borderId="20" xfId="0" applyFill="1" applyBorder="1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Alignment="1">
      <alignment horizontal="right"/>
    </xf>
    <xf numFmtId="0" fontId="0" fillId="0" borderId="0" xfId="0" applyAlignment="1">
      <alignment horizontal="right"/>
    </xf>
    <xf numFmtId="3" fontId="18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5" fillId="6" borderId="23" xfId="7" applyBorder="1" applyAlignment="1">
      <alignment horizontal="center"/>
    </xf>
    <xf numFmtId="0" fontId="22" fillId="22" borderId="0" xfId="0" applyFont="1" applyFill="1"/>
    <xf numFmtId="0" fontId="23" fillId="22" borderId="0" xfId="0" applyFont="1" applyFill="1"/>
    <xf numFmtId="0" fontId="23" fillId="19" borderId="0" xfId="0" applyFont="1" applyFill="1"/>
    <xf numFmtId="0" fontId="23" fillId="21" borderId="0" xfId="0" applyFont="1" applyFill="1"/>
    <xf numFmtId="0" fontId="23" fillId="0" borderId="0" xfId="0" applyFont="1"/>
    <xf numFmtId="0" fontId="23" fillId="20" borderId="33" xfId="0" applyFont="1" applyFill="1" applyBorder="1"/>
    <xf numFmtId="0" fontId="25" fillId="0" borderId="0" xfId="0" applyFont="1"/>
    <xf numFmtId="0" fontId="25" fillId="19" borderId="0" xfId="0" applyFont="1" applyFill="1" applyBorder="1"/>
    <xf numFmtId="0" fontId="25" fillId="21" borderId="0" xfId="0" applyFont="1" applyFill="1" applyBorder="1"/>
    <xf numFmtId="0" fontId="25" fillId="21" borderId="64" xfId="0" applyFont="1" applyFill="1" applyBorder="1"/>
    <xf numFmtId="0" fontId="25" fillId="0" borderId="0" xfId="0" applyFont="1" applyBorder="1"/>
    <xf numFmtId="0" fontId="25" fillId="0" borderId="65" xfId="0" applyFont="1" applyBorder="1"/>
    <xf numFmtId="0" fontId="25" fillId="19" borderId="66" xfId="0" applyFont="1" applyFill="1" applyBorder="1"/>
    <xf numFmtId="0" fontId="24" fillId="22" borderId="67" xfId="0" applyFont="1" applyFill="1" applyBorder="1"/>
    <xf numFmtId="0" fontId="24" fillId="22" borderId="68" xfId="0" applyFont="1" applyFill="1" applyBorder="1"/>
    <xf numFmtId="0" fontId="24" fillId="22" borderId="69" xfId="0" applyFont="1" applyFill="1" applyBorder="1"/>
    <xf numFmtId="0" fontId="24" fillId="22" borderId="70" xfId="0" applyFont="1" applyFill="1" applyBorder="1"/>
    <xf numFmtId="0" fontId="24" fillId="22" borderId="63" xfId="0" applyFont="1" applyFill="1" applyBorder="1"/>
    <xf numFmtId="0" fontId="7" fillId="0" borderId="36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5" fillId="6" borderId="41" xfId="7" applyBorder="1" applyAlignment="1">
      <alignment horizontal="center" vertical="center" wrapText="1"/>
    </xf>
    <xf numFmtId="0" fontId="5" fillId="6" borderId="19" xfId="7" applyBorder="1" applyAlignment="1">
      <alignment horizontal="center" vertical="center" wrapText="1"/>
    </xf>
    <xf numFmtId="0" fontId="4" fillId="5" borderId="48" xfId="6" applyBorder="1" applyAlignment="1">
      <alignment horizontal="center" vertical="center" textRotation="90"/>
    </xf>
    <xf numFmtId="0" fontId="4" fillId="5" borderId="49" xfId="6" applyBorder="1" applyAlignment="1">
      <alignment horizontal="center" vertical="center" textRotation="90"/>
    </xf>
    <xf numFmtId="0" fontId="4" fillId="5" borderId="50" xfId="6" applyBorder="1" applyAlignment="1">
      <alignment horizontal="center" vertical="center" textRotation="90"/>
    </xf>
    <xf numFmtId="0" fontId="4" fillId="4" borderId="17" xfId="5" applyBorder="1" applyAlignment="1">
      <alignment horizontal="center" textRotation="45"/>
    </xf>
    <xf numFmtId="0" fontId="4" fillId="4" borderId="18" xfId="5" applyBorder="1" applyAlignment="1">
      <alignment horizontal="center" textRotation="45"/>
    </xf>
    <xf numFmtId="0" fontId="4" fillId="4" borderId="8" xfId="5" applyBorder="1" applyAlignment="1">
      <alignment horizontal="center" textRotation="45"/>
    </xf>
    <xf numFmtId="0" fontId="4" fillId="4" borderId="16" xfId="5" applyBorder="1" applyAlignment="1">
      <alignment horizontal="center" textRotation="45"/>
    </xf>
    <xf numFmtId="0" fontId="4" fillId="11" borderId="52" xfId="12" applyBorder="1" applyAlignment="1">
      <alignment horizontal="center" vertical="center"/>
    </xf>
    <xf numFmtId="0" fontId="4" fillId="11" borderId="50" xfId="12" applyBorder="1" applyAlignment="1">
      <alignment horizontal="center" vertical="center"/>
    </xf>
    <xf numFmtId="0" fontId="4" fillId="10" borderId="16" xfId="11" applyBorder="1" applyAlignment="1">
      <alignment horizontal="center" textRotation="45"/>
    </xf>
    <xf numFmtId="0" fontId="4" fillId="10" borderId="8" xfId="11" applyBorder="1" applyAlignment="1">
      <alignment horizontal="center" textRotation="45"/>
    </xf>
    <xf numFmtId="0" fontId="4" fillId="5" borderId="47" xfId="6" applyBorder="1" applyAlignment="1">
      <alignment horizontal="center" vertical="center"/>
    </xf>
    <xf numFmtId="0" fontId="4" fillId="5" borderId="30" xfId="6" applyBorder="1" applyAlignment="1">
      <alignment horizontal="center" vertical="center"/>
    </xf>
    <xf numFmtId="0" fontId="3" fillId="0" borderId="2" xfId="2" applyAlignment="1">
      <alignment horizontal="center"/>
    </xf>
    <xf numFmtId="0" fontId="2" fillId="0" borderId="1" xfId="1" applyAlignment="1">
      <alignment horizontal="center"/>
    </xf>
    <xf numFmtId="0" fontId="3" fillId="0" borderId="3" xfId="2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10" fillId="6" borderId="0" xfId="7" applyFont="1" applyBorder="1" applyAlignment="1">
      <alignment horizontal="center"/>
    </xf>
    <xf numFmtId="0" fontId="5" fillId="6" borderId="20" xfId="7" applyBorder="1" applyAlignment="1">
      <alignment horizontal="center"/>
    </xf>
    <xf numFmtId="0" fontId="9" fillId="12" borderId="0" xfId="13" applyFont="1" applyBorder="1" applyAlignment="1">
      <alignment horizontal="center"/>
    </xf>
    <xf numFmtId="0" fontId="5" fillId="6" borderId="21" xfId="7" applyBorder="1" applyAlignment="1">
      <alignment horizontal="center"/>
    </xf>
    <xf numFmtId="0" fontId="5" fillId="6" borderId="24" xfId="7" applyBorder="1" applyAlignment="1">
      <alignment horizontal="center"/>
    </xf>
    <xf numFmtId="0" fontId="0" fillId="19" borderId="58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20" borderId="43" xfId="0" applyFont="1" applyFill="1" applyBorder="1" applyAlignment="1">
      <alignment horizontal="center" vertical="center" textRotation="180"/>
    </xf>
    <xf numFmtId="0" fontId="23" fillId="20" borderId="0" xfId="0" applyFont="1" applyFill="1" applyAlignment="1">
      <alignment horizontal="center" vertical="center" textRotation="180"/>
    </xf>
    <xf numFmtId="0" fontId="25" fillId="0" borderId="0" xfId="0" applyFont="1" applyAlignment="1">
      <alignment horizontal="center" vertical="center" textRotation="180"/>
    </xf>
    <xf numFmtId="0" fontId="11" fillId="0" borderId="0" xfId="0" applyFont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58" xfId="0" applyBorder="1" applyAlignment="1">
      <alignment horizontal="center" vertical="center" wrapText="1"/>
    </xf>
    <xf numFmtId="0" fontId="0" fillId="0" borderId="58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0" xfId="0"/>
    <xf numFmtId="0" fontId="0" fillId="0" borderId="5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3" xfId="0" applyFont="1" applyBorder="1" applyAlignment="1">
      <alignment horizontal="center"/>
    </xf>
    <xf numFmtId="0" fontId="11" fillId="0" borderId="32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6" borderId="32" xfId="7" applyBorder="1" applyAlignment="1">
      <alignment horizontal="center" vertical="center" wrapText="1"/>
    </xf>
    <xf numFmtId="2" fontId="0" fillId="0" borderId="32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2" fontId="0" fillId="0" borderId="32" xfId="0" applyNumberFormat="1" applyFill="1" applyBorder="1" applyAlignment="1">
      <alignment horizontal="center" vertical="center" wrapText="1"/>
    </xf>
    <xf numFmtId="2" fontId="0" fillId="0" borderId="34" xfId="0" applyNumberForma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" fillId="0" borderId="32" xfId="0" applyFont="1" applyBorder="1" applyAlignment="1">
      <alignment vertical="center"/>
    </xf>
    <xf numFmtId="0" fontId="18" fillId="0" borderId="41" xfId="0" applyFon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11" fillId="0" borderId="32" xfId="0" applyFont="1" applyBorder="1" applyAlignment="1">
      <alignment vertical="center" wrapText="1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15" borderId="38" xfId="24" applyBorder="1" applyAlignment="1">
      <alignment horizontal="center"/>
    </xf>
    <xf numFmtId="0" fontId="5" fillId="15" borderId="39" xfId="24" applyBorder="1" applyAlignment="1">
      <alignment horizontal="center"/>
    </xf>
    <xf numFmtId="0" fontId="5" fillId="15" borderId="42" xfId="24" applyBorder="1" applyAlignment="1">
      <alignment horizontal="center"/>
    </xf>
    <xf numFmtId="0" fontId="0" fillId="0" borderId="44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5" fillId="18" borderId="38" xfId="27" applyBorder="1" applyAlignment="1">
      <alignment horizontal="center"/>
    </xf>
    <xf numFmtId="0" fontId="5" fillId="18" borderId="39" xfId="27" applyBorder="1" applyAlignment="1">
      <alignment horizontal="center"/>
    </xf>
    <xf numFmtId="0" fontId="5" fillId="18" borderId="42" xfId="27" applyBorder="1" applyAlignment="1">
      <alignment horizontal="center"/>
    </xf>
  </cellXfs>
  <cellStyles count="29">
    <cellStyle name="20% - Accent1" xfId="3" builtinId="30"/>
    <cellStyle name="20% - Accent2" xfId="5" builtinId="34"/>
    <cellStyle name="20% - Accent4" xfId="25" builtinId="42"/>
    <cellStyle name="20% - Accent5" xfId="9" builtinId="46"/>
    <cellStyle name="20% - Accent6" xfId="11" builtinId="50"/>
    <cellStyle name="40% - Accent1" xfId="4" builtinId="31"/>
    <cellStyle name="40% - Accent2" xfId="6" builtinId="35"/>
    <cellStyle name="40% - Accent3" xfId="8" builtinId="39"/>
    <cellStyle name="40% - Accent4" xfId="26" builtinId="43"/>
    <cellStyle name="40% - Accent5" xfId="10" builtinId="47"/>
    <cellStyle name="40% - Accent6" xfId="12" builtinId="51"/>
    <cellStyle name="60% - Accent3" xfId="13" builtinId="40"/>
    <cellStyle name="Accent2" xfId="24" builtinId="33"/>
    <cellStyle name="Accent3" xfId="7" builtinId="37"/>
    <cellStyle name="Accent5" xfId="27" builtinId="45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8" builtinId="9" hidden="1"/>
    <cellStyle name="Heading 1" xfId="1" builtinId="16"/>
    <cellStyle name="Heading 2" xfId="2" builtinId="17"/>
    <cellStyle name="Hyperlink" xfId="15" builtinId="8"/>
    <cellStyle name="Normal" xfId="0" builtinId="0"/>
    <cellStyle name="Style 1" xfId="14" xr:uid="{00000000-0005-0000-0000-00001C000000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consumption'!$A$6:$A$106</c:f>
              <c:numCache>
                <c:formatCode>yyyy</c:formatCode>
                <c:ptCount val="101"/>
                <c:pt idx="0">
                  <c:v>21916</c:v>
                </c:pt>
                <c:pt idx="1">
                  <c:v>22282</c:v>
                </c:pt>
                <c:pt idx="2">
                  <c:v>22647</c:v>
                </c:pt>
                <c:pt idx="3">
                  <c:v>23012</c:v>
                </c:pt>
                <c:pt idx="4">
                  <c:v>23377</c:v>
                </c:pt>
                <c:pt idx="5">
                  <c:v>23743</c:v>
                </c:pt>
                <c:pt idx="6">
                  <c:v>24108</c:v>
                </c:pt>
                <c:pt idx="7">
                  <c:v>24473</c:v>
                </c:pt>
                <c:pt idx="8">
                  <c:v>24838</c:v>
                </c:pt>
                <c:pt idx="9">
                  <c:v>25204</c:v>
                </c:pt>
                <c:pt idx="10">
                  <c:v>25569</c:v>
                </c:pt>
                <c:pt idx="11">
                  <c:v>25934</c:v>
                </c:pt>
                <c:pt idx="12">
                  <c:v>26299</c:v>
                </c:pt>
                <c:pt idx="13">
                  <c:v>26665</c:v>
                </c:pt>
                <c:pt idx="14">
                  <c:v>27030</c:v>
                </c:pt>
                <c:pt idx="15">
                  <c:v>27395</c:v>
                </c:pt>
                <c:pt idx="16">
                  <c:v>27760</c:v>
                </c:pt>
                <c:pt idx="17">
                  <c:v>28126</c:v>
                </c:pt>
                <c:pt idx="18">
                  <c:v>28491</c:v>
                </c:pt>
                <c:pt idx="19">
                  <c:v>28856</c:v>
                </c:pt>
                <c:pt idx="20">
                  <c:v>29221</c:v>
                </c:pt>
                <c:pt idx="21">
                  <c:v>29587</c:v>
                </c:pt>
                <c:pt idx="22">
                  <c:v>29952</c:v>
                </c:pt>
                <c:pt idx="23">
                  <c:v>30317</c:v>
                </c:pt>
                <c:pt idx="24">
                  <c:v>30682</c:v>
                </c:pt>
                <c:pt idx="25">
                  <c:v>31048</c:v>
                </c:pt>
                <c:pt idx="26">
                  <c:v>31413</c:v>
                </c:pt>
                <c:pt idx="27">
                  <c:v>31778</c:v>
                </c:pt>
                <c:pt idx="28">
                  <c:v>32143</c:v>
                </c:pt>
                <c:pt idx="29">
                  <c:v>32509</c:v>
                </c:pt>
                <c:pt idx="30">
                  <c:v>32874</c:v>
                </c:pt>
                <c:pt idx="31">
                  <c:v>33239</c:v>
                </c:pt>
                <c:pt idx="32">
                  <c:v>33604</c:v>
                </c:pt>
                <c:pt idx="33">
                  <c:v>33970</c:v>
                </c:pt>
                <c:pt idx="34">
                  <c:v>34335</c:v>
                </c:pt>
                <c:pt idx="35">
                  <c:v>34700</c:v>
                </c:pt>
                <c:pt idx="36">
                  <c:v>35065</c:v>
                </c:pt>
                <c:pt idx="37">
                  <c:v>35431</c:v>
                </c:pt>
                <c:pt idx="38">
                  <c:v>35796</c:v>
                </c:pt>
                <c:pt idx="39">
                  <c:v>36161</c:v>
                </c:pt>
                <c:pt idx="40">
                  <c:v>36526</c:v>
                </c:pt>
                <c:pt idx="41">
                  <c:v>36892</c:v>
                </c:pt>
                <c:pt idx="42">
                  <c:v>37257</c:v>
                </c:pt>
                <c:pt idx="43">
                  <c:v>37622</c:v>
                </c:pt>
                <c:pt idx="44">
                  <c:v>37987</c:v>
                </c:pt>
                <c:pt idx="45">
                  <c:v>38353</c:v>
                </c:pt>
                <c:pt idx="46">
                  <c:v>38718</c:v>
                </c:pt>
                <c:pt idx="47">
                  <c:v>39083</c:v>
                </c:pt>
                <c:pt idx="48">
                  <c:v>39448</c:v>
                </c:pt>
                <c:pt idx="49">
                  <c:v>39814</c:v>
                </c:pt>
                <c:pt idx="50">
                  <c:v>40179</c:v>
                </c:pt>
                <c:pt idx="51">
                  <c:v>40544</c:v>
                </c:pt>
                <c:pt idx="52">
                  <c:v>40909</c:v>
                </c:pt>
                <c:pt idx="53">
                  <c:v>41275</c:v>
                </c:pt>
                <c:pt idx="54">
                  <c:v>41640</c:v>
                </c:pt>
                <c:pt idx="55">
                  <c:v>42005</c:v>
                </c:pt>
                <c:pt idx="56">
                  <c:v>42370</c:v>
                </c:pt>
                <c:pt idx="57">
                  <c:v>42736</c:v>
                </c:pt>
                <c:pt idx="58">
                  <c:v>43101</c:v>
                </c:pt>
                <c:pt idx="59">
                  <c:v>43466</c:v>
                </c:pt>
                <c:pt idx="60">
                  <c:v>43831</c:v>
                </c:pt>
                <c:pt idx="61">
                  <c:v>44197</c:v>
                </c:pt>
                <c:pt idx="62">
                  <c:v>44562</c:v>
                </c:pt>
                <c:pt idx="63">
                  <c:v>44927</c:v>
                </c:pt>
                <c:pt idx="64">
                  <c:v>45292</c:v>
                </c:pt>
                <c:pt idx="65">
                  <c:v>45658</c:v>
                </c:pt>
                <c:pt idx="66">
                  <c:v>46023</c:v>
                </c:pt>
                <c:pt idx="67">
                  <c:v>46388</c:v>
                </c:pt>
                <c:pt idx="68">
                  <c:v>46753</c:v>
                </c:pt>
                <c:pt idx="69">
                  <c:v>47119</c:v>
                </c:pt>
                <c:pt idx="70">
                  <c:v>47484</c:v>
                </c:pt>
                <c:pt idx="71">
                  <c:v>47849</c:v>
                </c:pt>
                <c:pt idx="72">
                  <c:v>48214</c:v>
                </c:pt>
                <c:pt idx="73">
                  <c:v>48580</c:v>
                </c:pt>
                <c:pt idx="74">
                  <c:v>48945</c:v>
                </c:pt>
                <c:pt idx="75">
                  <c:v>49310</c:v>
                </c:pt>
                <c:pt idx="76">
                  <c:v>49675</c:v>
                </c:pt>
                <c:pt idx="77">
                  <c:v>50041</c:v>
                </c:pt>
                <c:pt idx="78">
                  <c:v>50406</c:v>
                </c:pt>
                <c:pt idx="79">
                  <c:v>50771</c:v>
                </c:pt>
                <c:pt idx="80">
                  <c:v>51136</c:v>
                </c:pt>
                <c:pt idx="81">
                  <c:v>51502</c:v>
                </c:pt>
                <c:pt idx="82">
                  <c:v>51867</c:v>
                </c:pt>
                <c:pt idx="83">
                  <c:v>52232</c:v>
                </c:pt>
                <c:pt idx="84">
                  <c:v>52597</c:v>
                </c:pt>
                <c:pt idx="85">
                  <c:v>52963</c:v>
                </c:pt>
                <c:pt idx="86">
                  <c:v>53328</c:v>
                </c:pt>
                <c:pt idx="87">
                  <c:v>53693</c:v>
                </c:pt>
                <c:pt idx="88">
                  <c:v>54058</c:v>
                </c:pt>
                <c:pt idx="89">
                  <c:v>54424</c:v>
                </c:pt>
                <c:pt idx="90">
                  <c:v>54789</c:v>
                </c:pt>
              </c:numCache>
            </c:numRef>
          </c:cat>
          <c:val>
            <c:numRef>
              <c:f>'Electricity consumption'!$D$6:$D$106</c:f>
              <c:numCache>
                <c:formatCode>General</c:formatCode>
                <c:ptCount val="101"/>
                <c:pt idx="0">
                  <c:v>1586.7494152982399</c:v>
                </c:pt>
                <c:pt idx="1">
                  <c:v>1683.4149131441</c:v>
                </c:pt>
                <c:pt idx="2">
                  <c:v>1790.6868774263801</c:v>
                </c:pt>
                <c:pt idx="3">
                  <c:v>1916.9275279677499</c:v>
                </c:pt>
                <c:pt idx="4">
                  <c:v>2060.5473538269998</c:v>
                </c:pt>
                <c:pt idx="5">
                  <c:v>2194.2060611980501</c:v>
                </c:pt>
                <c:pt idx="6">
                  <c:v>2300.4997982318901</c:v>
                </c:pt>
                <c:pt idx="7">
                  <c:v>2362.9089428674802</c:v>
                </c:pt>
                <c:pt idx="8">
                  <c:v>2579.74991536894</c:v>
                </c:pt>
                <c:pt idx="9">
                  <c:v>2815.2213482273</c:v>
                </c:pt>
                <c:pt idx="10">
                  <c:v>3834.1784073282302</c:v>
                </c:pt>
                <c:pt idx="11">
                  <c:v>4064.4547161243399</c:v>
                </c:pt>
                <c:pt idx="12">
                  <c:v>4335.7696247474796</c:v>
                </c:pt>
                <c:pt idx="13">
                  <c:v>4654.9850483931004</c:v>
                </c:pt>
                <c:pt idx="14">
                  <c:v>4803.4232035882396</c:v>
                </c:pt>
                <c:pt idx="15">
                  <c:v>4743.9448331010999</c:v>
                </c:pt>
                <c:pt idx="16">
                  <c:v>5146.9325777937502</c:v>
                </c:pt>
                <c:pt idx="17">
                  <c:v>5285.2607863166104</c:v>
                </c:pt>
                <c:pt idx="18">
                  <c:v>5574.7452165924697</c:v>
                </c:pt>
                <c:pt idx="19">
                  <c:v>5786.1272157217099</c:v>
                </c:pt>
                <c:pt idx="20">
                  <c:v>5797.4997527097703</c:v>
                </c:pt>
                <c:pt idx="21">
                  <c:v>5832.0648707023902</c:v>
                </c:pt>
                <c:pt idx="22">
                  <c:v>5822.0273593247603</c:v>
                </c:pt>
                <c:pt idx="23">
                  <c:v>5965.4581934874795</c:v>
                </c:pt>
                <c:pt idx="24">
                  <c:v>6239.9718156041299</c:v>
                </c:pt>
                <c:pt idx="25">
                  <c:v>6448.5398592335996</c:v>
                </c:pt>
                <c:pt idx="26">
                  <c:v>6530.2387135347499</c:v>
                </c:pt>
                <c:pt idx="27">
                  <c:v>6666.2195952924903</c:v>
                </c:pt>
                <c:pt idx="28">
                  <c:v>6776.3079118729802</c:v>
                </c:pt>
                <c:pt idx="29">
                  <c:v>6835.3299082124204</c:v>
                </c:pt>
                <c:pt idx="30">
                  <c:v>6639.7316914604899</c:v>
                </c:pt>
                <c:pt idx="31">
                  <c:v>6564.7971947272799</c:v>
                </c:pt>
                <c:pt idx="32">
                  <c:v>6445.8739998926903</c:v>
                </c:pt>
                <c:pt idx="33">
                  <c:v>6288.4163500525501</c:v>
                </c:pt>
                <c:pt idx="34">
                  <c:v>6244.9572282581203</c:v>
                </c:pt>
                <c:pt idx="35">
                  <c:v>6327.70975399499</c:v>
                </c:pt>
                <c:pt idx="36">
                  <c:v>6403.3337259769196</c:v>
                </c:pt>
                <c:pt idx="37">
                  <c:v>6427.7987684027303</c:v>
                </c:pt>
                <c:pt idx="38">
                  <c:v>6479.4902494838498</c:v>
                </c:pt>
                <c:pt idx="39">
                  <c:v>6505.1329994236403</c:v>
                </c:pt>
                <c:pt idx="40">
                  <c:v>6635.4214059666701</c:v>
                </c:pt>
                <c:pt idx="41">
                  <c:v>6762.6533964663604</c:v>
                </c:pt>
                <c:pt idx="42">
                  <c:v>6900.7805270298604</c:v>
                </c:pt>
                <c:pt idx="43">
                  <c:v>7009.7264919686104</c:v>
                </c:pt>
                <c:pt idx="44">
                  <c:v>7108.9625244769904</c:v>
                </c:pt>
                <c:pt idx="45">
                  <c:v>7138.2214852918496</c:v>
                </c:pt>
                <c:pt idx="46">
                  <c:v>7212.4374476875701</c:v>
                </c:pt>
                <c:pt idx="47">
                  <c:v>7229.0899129476602</c:v>
                </c:pt>
                <c:pt idx="48">
                  <c:v>7187.7640090962304</c:v>
                </c:pt>
                <c:pt idx="49">
                  <c:v>6817.1583982365701</c:v>
                </c:pt>
                <c:pt idx="50">
                  <c:v>7264.32259073555</c:v>
                </c:pt>
                <c:pt idx="51">
                  <c:v>7281.2721741716196</c:v>
                </c:pt>
                <c:pt idx="52">
                  <c:v>7270.1525230273401</c:v>
                </c:pt>
                <c:pt idx="53">
                  <c:v>7217.5290891549503</c:v>
                </c:pt>
                <c:pt idx="54">
                  <c:v>7035.4829747167596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5-2C4E-B9D5-4657B0F61E61}"/>
            </c:ext>
          </c:extLst>
        </c:ser>
        <c:ser>
          <c:idx val="1"/>
          <c:order val="1"/>
          <c:tx>
            <c:v>Projection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'Electricity consumption'!$A$6:$A$106</c:f>
              <c:numCache>
                <c:formatCode>yyyy</c:formatCode>
                <c:ptCount val="101"/>
                <c:pt idx="0">
                  <c:v>21916</c:v>
                </c:pt>
                <c:pt idx="1">
                  <c:v>22282</c:v>
                </c:pt>
                <c:pt idx="2">
                  <c:v>22647</c:v>
                </c:pt>
                <c:pt idx="3">
                  <c:v>23012</c:v>
                </c:pt>
                <c:pt idx="4">
                  <c:v>23377</c:v>
                </c:pt>
                <c:pt idx="5">
                  <c:v>23743</c:v>
                </c:pt>
                <c:pt idx="6">
                  <c:v>24108</c:v>
                </c:pt>
                <c:pt idx="7">
                  <c:v>24473</c:v>
                </c:pt>
                <c:pt idx="8">
                  <c:v>24838</c:v>
                </c:pt>
                <c:pt idx="9">
                  <c:v>25204</c:v>
                </c:pt>
                <c:pt idx="10">
                  <c:v>25569</c:v>
                </c:pt>
                <c:pt idx="11">
                  <c:v>25934</c:v>
                </c:pt>
                <c:pt idx="12">
                  <c:v>26299</c:v>
                </c:pt>
                <c:pt idx="13">
                  <c:v>26665</c:v>
                </c:pt>
                <c:pt idx="14">
                  <c:v>27030</c:v>
                </c:pt>
                <c:pt idx="15">
                  <c:v>27395</c:v>
                </c:pt>
                <c:pt idx="16">
                  <c:v>27760</c:v>
                </c:pt>
                <c:pt idx="17">
                  <c:v>28126</c:v>
                </c:pt>
                <c:pt idx="18">
                  <c:v>28491</c:v>
                </c:pt>
                <c:pt idx="19">
                  <c:v>28856</c:v>
                </c:pt>
                <c:pt idx="20">
                  <c:v>29221</c:v>
                </c:pt>
                <c:pt idx="21">
                  <c:v>29587</c:v>
                </c:pt>
                <c:pt idx="22">
                  <c:v>29952</c:v>
                </c:pt>
                <c:pt idx="23">
                  <c:v>30317</c:v>
                </c:pt>
                <c:pt idx="24">
                  <c:v>30682</c:v>
                </c:pt>
                <c:pt idx="25">
                  <c:v>31048</c:v>
                </c:pt>
                <c:pt idx="26">
                  <c:v>31413</c:v>
                </c:pt>
                <c:pt idx="27">
                  <c:v>31778</c:v>
                </c:pt>
                <c:pt idx="28">
                  <c:v>32143</c:v>
                </c:pt>
                <c:pt idx="29">
                  <c:v>32509</c:v>
                </c:pt>
                <c:pt idx="30">
                  <c:v>32874</c:v>
                </c:pt>
                <c:pt idx="31">
                  <c:v>33239</c:v>
                </c:pt>
                <c:pt idx="32">
                  <c:v>33604</c:v>
                </c:pt>
                <c:pt idx="33">
                  <c:v>33970</c:v>
                </c:pt>
                <c:pt idx="34">
                  <c:v>34335</c:v>
                </c:pt>
                <c:pt idx="35">
                  <c:v>34700</c:v>
                </c:pt>
                <c:pt idx="36">
                  <c:v>35065</c:v>
                </c:pt>
                <c:pt idx="37">
                  <c:v>35431</c:v>
                </c:pt>
                <c:pt idx="38">
                  <c:v>35796</c:v>
                </c:pt>
                <c:pt idx="39">
                  <c:v>36161</c:v>
                </c:pt>
                <c:pt idx="40">
                  <c:v>36526</c:v>
                </c:pt>
                <c:pt idx="41">
                  <c:v>36892</c:v>
                </c:pt>
                <c:pt idx="42">
                  <c:v>37257</c:v>
                </c:pt>
                <c:pt idx="43">
                  <c:v>37622</c:v>
                </c:pt>
                <c:pt idx="44">
                  <c:v>37987</c:v>
                </c:pt>
                <c:pt idx="45">
                  <c:v>38353</c:v>
                </c:pt>
                <c:pt idx="46">
                  <c:v>38718</c:v>
                </c:pt>
                <c:pt idx="47">
                  <c:v>39083</c:v>
                </c:pt>
                <c:pt idx="48">
                  <c:v>39448</c:v>
                </c:pt>
                <c:pt idx="49">
                  <c:v>39814</c:v>
                </c:pt>
                <c:pt idx="50">
                  <c:v>40179</c:v>
                </c:pt>
                <c:pt idx="51">
                  <c:v>40544</c:v>
                </c:pt>
                <c:pt idx="52">
                  <c:v>40909</c:v>
                </c:pt>
                <c:pt idx="53">
                  <c:v>41275</c:v>
                </c:pt>
                <c:pt idx="54">
                  <c:v>41640</c:v>
                </c:pt>
                <c:pt idx="55">
                  <c:v>42005</c:v>
                </c:pt>
                <c:pt idx="56">
                  <c:v>42370</c:v>
                </c:pt>
                <c:pt idx="57">
                  <c:v>42736</c:v>
                </c:pt>
                <c:pt idx="58">
                  <c:v>43101</c:v>
                </c:pt>
                <c:pt idx="59">
                  <c:v>43466</c:v>
                </c:pt>
                <c:pt idx="60">
                  <c:v>43831</c:v>
                </c:pt>
                <c:pt idx="61">
                  <c:v>44197</c:v>
                </c:pt>
                <c:pt idx="62">
                  <c:v>44562</c:v>
                </c:pt>
                <c:pt idx="63">
                  <c:v>44927</c:v>
                </c:pt>
                <c:pt idx="64">
                  <c:v>45292</c:v>
                </c:pt>
                <c:pt idx="65">
                  <c:v>45658</c:v>
                </c:pt>
                <c:pt idx="66">
                  <c:v>46023</c:v>
                </c:pt>
                <c:pt idx="67">
                  <c:v>46388</c:v>
                </c:pt>
                <c:pt idx="68">
                  <c:v>46753</c:v>
                </c:pt>
                <c:pt idx="69">
                  <c:v>47119</c:v>
                </c:pt>
                <c:pt idx="70">
                  <c:v>47484</c:v>
                </c:pt>
                <c:pt idx="71">
                  <c:v>47849</c:v>
                </c:pt>
                <c:pt idx="72">
                  <c:v>48214</c:v>
                </c:pt>
                <c:pt idx="73">
                  <c:v>48580</c:v>
                </c:pt>
                <c:pt idx="74">
                  <c:v>48945</c:v>
                </c:pt>
                <c:pt idx="75">
                  <c:v>49310</c:v>
                </c:pt>
                <c:pt idx="76">
                  <c:v>49675</c:v>
                </c:pt>
                <c:pt idx="77">
                  <c:v>50041</c:v>
                </c:pt>
                <c:pt idx="78">
                  <c:v>50406</c:v>
                </c:pt>
                <c:pt idx="79">
                  <c:v>50771</c:v>
                </c:pt>
                <c:pt idx="80">
                  <c:v>51136</c:v>
                </c:pt>
                <c:pt idx="81">
                  <c:v>51502</c:v>
                </c:pt>
                <c:pt idx="82">
                  <c:v>51867</c:v>
                </c:pt>
                <c:pt idx="83">
                  <c:v>52232</c:v>
                </c:pt>
                <c:pt idx="84">
                  <c:v>52597</c:v>
                </c:pt>
                <c:pt idx="85">
                  <c:v>52963</c:v>
                </c:pt>
                <c:pt idx="86">
                  <c:v>53328</c:v>
                </c:pt>
                <c:pt idx="87">
                  <c:v>53693</c:v>
                </c:pt>
                <c:pt idx="88">
                  <c:v>54058</c:v>
                </c:pt>
                <c:pt idx="89">
                  <c:v>54424</c:v>
                </c:pt>
                <c:pt idx="90">
                  <c:v>54789</c:v>
                </c:pt>
              </c:numCache>
            </c:numRef>
          </c:cat>
          <c:val>
            <c:numRef>
              <c:f>'Electricity consumption'!$O$6:$O$106</c:f>
              <c:numCache>
                <c:formatCode>General</c:formatCode>
                <c:ptCount val="101"/>
                <c:pt idx="0">
                  <c:v>1586.7494152982399</c:v>
                </c:pt>
                <c:pt idx="1">
                  <c:v>1683.4149131441</c:v>
                </c:pt>
                <c:pt idx="2">
                  <c:v>1784.3308723816347</c:v>
                </c:pt>
                <c:pt idx="3">
                  <c:v>1889.4868266324895</c:v>
                </c:pt>
                <c:pt idx="4">
                  <c:v>1998.8470425463838</c:v>
                </c:pt>
                <c:pt idx="5">
                  <c:v>2112.3487598766042</c:v>
                </c:pt>
                <c:pt idx="6">
                  <c:v>2229.9006746317345</c:v>
                </c:pt>
                <c:pt idx="7">
                  <c:v>2351.3817254813448</c:v>
                </c:pt>
                <c:pt idx="8">
                  <c:v>2476.6402421598837</c:v>
                </c:pt>
                <c:pt idx="9">
                  <c:v>2605.4935107366973</c:v>
                </c:pt>
                <c:pt idx="10">
                  <c:v>2737.7278041264567</c:v>
                </c:pt>
                <c:pt idx="11">
                  <c:v>2873.0989170572539</c:v>
                </c:pt>
                <c:pt idx="12">
                  <c:v>3011.3332330001231</c:v>
                </c:pt>
                <c:pt idx="13">
                  <c:v>3152.1293365697202</c:v>
                </c:pt>
                <c:pt idx="14">
                  <c:v>3295.1601690805546</c:v>
                </c:pt>
                <c:pt idx="15">
                  <c:v>3440.0757078985393</c:v>
                </c:pt>
                <c:pt idx="16">
                  <c:v>3586.5061327125436</c:v>
                </c:pt>
                <c:pt idx="17">
                  <c:v>3734.065424710268</c:v>
                </c:pt>
                <c:pt idx="18">
                  <c:v>3882.3553287643658</c:v>
                </c:pt>
                <c:pt idx="19">
                  <c:v>4030.9695949858478</c:v>
                </c:pt>
                <c:pt idx="20">
                  <c:v>4179.4984051647934</c:v>
                </c:pt>
                <c:pt idx="21">
                  <c:v>4327.5328823283544</c:v>
                </c:pt>
                <c:pt idx="22">
                  <c:v>4474.669578338855</c:v>
                </c:pt>
                <c:pt idx="23">
                  <c:v>4620.5148353303111</c:v>
                </c:pt>
                <c:pt idx="24">
                  <c:v>4764.6889217870057</c:v>
                </c:pt>
                <c:pt idx="25">
                  <c:v>4906.8298529011618</c:v>
                </c:pt>
                <c:pt idx="26">
                  <c:v>5046.5968169841162</c:v>
                </c:pt>
                <c:pt idx="27">
                  <c:v>5183.6731444430379</c:v>
                </c:pt>
                <c:pt idx="28">
                  <c:v>5317.7687723475328</c:v>
                </c:pt>
                <c:pt idx="29">
                  <c:v>5448.6221750137629</c:v>
                </c:pt>
                <c:pt idx="30">
                  <c:v>5576.0017484509872</c:v>
                </c:pt>
                <c:pt idx="31">
                  <c:v>5699.7066531359696</c:v>
                </c:pt>
                <c:pt idx="32">
                  <c:v>5819.5671347083617</c:v>
                </c:pt>
                <c:pt idx="33">
                  <c:v>5935.4443552686625</c:v>
                </c:pt>
                <c:pt idx="34">
                  <c:v>6047.2297786321751</c:v>
                </c:pt>
                <c:pt idx="35">
                  <c:v>6154.8441609433767</c:v>
                </c:pt>
                <c:pt idx="36">
                  <c:v>6258.2362034444741</c:v>
                </c:pt>
                <c:pt idx="37">
                  <c:v>6357.3809270228894</c:v>
                </c:pt>
                <c:pt idx="38">
                  <c:v>6452.2778286537396</c:v>
                </c:pt>
                <c:pt idx="39">
                  <c:v>6542.9488783096022</c:v>
                </c:pt>
                <c:pt idx="40">
                  <c:v>6629.4364116876723</c:v>
                </c:pt>
                <c:pt idx="41">
                  <c:v>6711.8009695847641</c:v>
                </c:pt>
                <c:pt idx="42">
                  <c:v>6790.1191293114734</c:v>
                </c:pt>
                <c:pt idx="43">
                  <c:v>6864.4813675335172</c:v>
                </c:pt>
                <c:pt idx="44">
                  <c:v>6934.9899876779573</c:v>
                </c:pt>
                <c:pt idx="45">
                  <c:v>7001.7571388145634</c:v>
                </c:pt>
                <c:pt idx="46">
                  <c:v>7064.9029469358074</c:v>
                </c:pt>
                <c:pt idx="47">
                  <c:v>7124.5537739781848</c:v>
                </c:pt>
                <c:pt idx="48">
                  <c:v>7180.8406148687645</c:v>
                </c:pt>
                <c:pt idx="49">
                  <c:v>7233.8976384150737</c:v>
                </c:pt>
                <c:pt idx="50">
                  <c:v>7283.8608740168047</c:v>
                </c:pt>
                <c:pt idx="51">
                  <c:v>7330.8670429659796</c:v>
                </c:pt>
                <c:pt idx="52">
                  <c:v>7375.0525304957346</c:v>
                </c:pt>
                <c:pt idx="53">
                  <c:v>7416.5524926964099</c:v>
                </c:pt>
                <c:pt idx="54">
                  <c:v>7455.5000908892034</c:v>
                </c:pt>
                <c:pt idx="55">
                  <c:v>7492.0258449732046</c:v>
                </c:pt>
                <c:pt idx="56">
                  <c:v>7526.2570965795103</c:v>
                </c:pt>
                <c:pt idx="57">
                  <c:v>7558.3175725149695</c:v>
                </c:pt>
                <c:pt idx="58">
                  <c:v>7588.3270388993205</c:v>
                </c:pt>
                <c:pt idx="59">
                  <c:v>7616.4010365387203</c:v>
                </c:pt>
                <c:pt idx="60">
                  <c:v>7642.6506883871971</c:v>
                </c:pt>
                <c:pt idx="61">
                  <c:v>7667.1825703820668</c:v>
                </c:pt>
                <c:pt idx="62">
                  <c:v>7690.0986374629938</c:v>
                </c:pt>
                <c:pt idx="63">
                  <c:v>7711.4961971657067</c:v>
                </c:pt>
                <c:pt idx="64">
                  <c:v>7731.4679237947566</c:v>
                </c:pt>
                <c:pt idx="65">
                  <c:v>7750.1019068042187</c:v>
                </c:pt>
                <c:pt idx="66">
                  <c:v>7767.4817276345648</c:v>
                </c:pt>
                <c:pt idx="67">
                  <c:v>7783.6865598556733</c:v>
                </c:pt>
                <c:pt idx="68">
                  <c:v>7798.7912880407912</c:v>
                </c:pt>
                <c:pt idx="69">
                  <c:v>7812.8666413379551</c:v>
                </c:pt>
                <c:pt idx="70">
                  <c:v>7825.9793382097459</c:v>
                </c:pt>
                <c:pt idx="71">
                  <c:v>7838.1922392770548</c:v>
                </c:pt>
                <c:pt idx="72">
                  <c:v>7849.5645056269632</c:v>
                </c:pt>
                <c:pt idx="73">
                  <c:v>7860.1517603292359</c:v>
                </c:pt>
                <c:pt idx="74">
                  <c:v>7870.0062512513787</c:v>
                </c:pt>
                <c:pt idx="75">
                  <c:v>7879.1770135705929</c:v>
                </c:pt>
                <c:pt idx="76">
                  <c:v>7887.7100306543298</c:v>
                </c:pt>
                <c:pt idx="77">
                  <c:v>7895.6483922220013</c:v>
                </c:pt>
                <c:pt idx="78">
                  <c:v>7903.03244891128</c:v>
                </c:pt>
                <c:pt idx="79">
                  <c:v>7909.8999625559736</c:v>
                </c:pt>
                <c:pt idx="80">
                  <c:v>7916.2862516411169</c:v>
                </c:pt>
                <c:pt idx="81">
                  <c:v>7922.2243315373917</c:v>
                </c:pt>
                <c:pt idx="82">
                  <c:v>7927.7450492333919</c:v>
                </c:pt>
                <c:pt idx="83">
                  <c:v>7932.877212383024</c:v>
                </c:pt>
                <c:pt idx="84">
                  <c:v>7937.6477125683268</c:v>
                </c:pt>
                <c:pt idx="85">
                  <c:v>7942.0816427473828</c:v>
                </c:pt>
                <c:pt idx="86">
                  <c:v>7946.2024089140887</c:v>
                </c:pt>
                <c:pt idx="87">
                  <c:v>7950.0318360434212</c:v>
                </c:pt>
                <c:pt idx="88">
                  <c:v>7953.5902684334196</c:v>
                </c:pt>
                <c:pt idx="89">
                  <c:v>7956.8966645849732</c:v>
                </c:pt>
                <c:pt idx="90">
                  <c:v>7959.9686867836108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5-2C4E-B9D5-4657B0F6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50352"/>
        <c:axId val="166154160"/>
      </c:lineChart>
      <c:dateAx>
        <c:axId val="1661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154160"/>
        <c:crosses val="autoZero"/>
        <c:auto val="1"/>
        <c:lblOffset val="100"/>
        <c:baseTimeUnit val="years"/>
      </c:dateAx>
      <c:valAx>
        <c:axId val="16615416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Enegy consumption,</a:t>
                </a:r>
                <a:r>
                  <a:rPr lang="en-US" sz="1100" baseline="0"/>
                  <a:t>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1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consumption'!$C$6:$C$66</c:f>
              <c:numCache>
                <c:formatCode>yyyy</c:formatCode>
                <c:ptCount val="61"/>
                <c:pt idx="0">
                  <c:v>32874</c:v>
                </c:pt>
                <c:pt idx="1">
                  <c:v>33239</c:v>
                </c:pt>
                <c:pt idx="2">
                  <c:v>33604</c:v>
                </c:pt>
                <c:pt idx="3">
                  <c:v>33970</c:v>
                </c:pt>
                <c:pt idx="4">
                  <c:v>34335</c:v>
                </c:pt>
                <c:pt idx="5">
                  <c:v>34700</c:v>
                </c:pt>
                <c:pt idx="6">
                  <c:v>35065</c:v>
                </c:pt>
                <c:pt idx="7">
                  <c:v>35431</c:v>
                </c:pt>
                <c:pt idx="8">
                  <c:v>35796</c:v>
                </c:pt>
                <c:pt idx="9">
                  <c:v>36161</c:v>
                </c:pt>
                <c:pt idx="10">
                  <c:v>36526</c:v>
                </c:pt>
                <c:pt idx="11">
                  <c:v>36892</c:v>
                </c:pt>
                <c:pt idx="12">
                  <c:v>37257</c:v>
                </c:pt>
                <c:pt idx="13">
                  <c:v>37622</c:v>
                </c:pt>
                <c:pt idx="14">
                  <c:v>37987</c:v>
                </c:pt>
                <c:pt idx="15">
                  <c:v>38353</c:v>
                </c:pt>
                <c:pt idx="16">
                  <c:v>38718</c:v>
                </c:pt>
                <c:pt idx="17">
                  <c:v>39083</c:v>
                </c:pt>
                <c:pt idx="18">
                  <c:v>39448</c:v>
                </c:pt>
                <c:pt idx="19">
                  <c:v>39814</c:v>
                </c:pt>
                <c:pt idx="20">
                  <c:v>40179</c:v>
                </c:pt>
                <c:pt idx="21">
                  <c:v>40544</c:v>
                </c:pt>
                <c:pt idx="22">
                  <c:v>40909</c:v>
                </c:pt>
                <c:pt idx="23">
                  <c:v>41275</c:v>
                </c:pt>
                <c:pt idx="24">
                  <c:v>41640</c:v>
                </c:pt>
                <c:pt idx="25">
                  <c:v>42005</c:v>
                </c:pt>
                <c:pt idx="26">
                  <c:v>42370</c:v>
                </c:pt>
                <c:pt idx="27">
                  <c:v>42736</c:v>
                </c:pt>
                <c:pt idx="28">
                  <c:v>43101</c:v>
                </c:pt>
                <c:pt idx="29">
                  <c:v>43466</c:v>
                </c:pt>
                <c:pt idx="30">
                  <c:v>43831</c:v>
                </c:pt>
                <c:pt idx="31">
                  <c:v>44197</c:v>
                </c:pt>
                <c:pt idx="32">
                  <c:v>44562</c:v>
                </c:pt>
                <c:pt idx="33">
                  <c:v>44927</c:v>
                </c:pt>
                <c:pt idx="34">
                  <c:v>45292</c:v>
                </c:pt>
                <c:pt idx="35">
                  <c:v>45658</c:v>
                </c:pt>
                <c:pt idx="36">
                  <c:v>46023</c:v>
                </c:pt>
                <c:pt idx="37">
                  <c:v>46388</c:v>
                </c:pt>
                <c:pt idx="38">
                  <c:v>46753</c:v>
                </c:pt>
                <c:pt idx="39">
                  <c:v>47119</c:v>
                </c:pt>
                <c:pt idx="40">
                  <c:v>47484</c:v>
                </c:pt>
                <c:pt idx="41">
                  <c:v>47849</c:v>
                </c:pt>
                <c:pt idx="42">
                  <c:v>48214</c:v>
                </c:pt>
                <c:pt idx="43">
                  <c:v>48580</c:v>
                </c:pt>
                <c:pt idx="44">
                  <c:v>48945</c:v>
                </c:pt>
                <c:pt idx="45">
                  <c:v>49310</c:v>
                </c:pt>
                <c:pt idx="46">
                  <c:v>49675</c:v>
                </c:pt>
                <c:pt idx="47">
                  <c:v>50041</c:v>
                </c:pt>
                <c:pt idx="48">
                  <c:v>50406</c:v>
                </c:pt>
                <c:pt idx="49">
                  <c:v>50771</c:v>
                </c:pt>
                <c:pt idx="50">
                  <c:v>51136</c:v>
                </c:pt>
                <c:pt idx="51">
                  <c:v>51502</c:v>
                </c:pt>
                <c:pt idx="52">
                  <c:v>51867</c:v>
                </c:pt>
                <c:pt idx="53">
                  <c:v>52232</c:v>
                </c:pt>
                <c:pt idx="54">
                  <c:v>52597</c:v>
                </c:pt>
                <c:pt idx="55">
                  <c:v>52963</c:v>
                </c:pt>
                <c:pt idx="56">
                  <c:v>53328</c:v>
                </c:pt>
                <c:pt idx="57">
                  <c:v>53693</c:v>
                </c:pt>
                <c:pt idx="58">
                  <c:v>54058</c:v>
                </c:pt>
                <c:pt idx="59">
                  <c:v>54424</c:v>
                </c:pt>
                <c:pt idx="60">
                  <c:v>54789</c:v>
                </c:pt>
              </c:numCache>
            </c:numRef>
          </c:cat>
          <c:val>
            <c:numRef>
              <c:f>'Electricity consumption'!$E$6:$E$31</c:f>
              <c:numCache>
                <c:formatCode>General</c:formatCode>
                <c:ptCount val="26"/>
                <c:pt idx="0">
                  <c:v>3117</c:v>
                </c:pt>
                <c:pt idx="1">
                  <c:v>3174</c:v>
                </c:pt>
                <c:pt idx="2">
                  <c:v>3144</c:v>
                </c:pt>
                <c:pt idx="3">
                  <c:v>3185</c:v>
                </c:pt>
                <c:pt idx="4">
                  <c:v>3177</c:v>
                </c:pt>
                <c:pt idx="5">
                  <c:v>3177</c:v>
                </c:pt>
                <c:pt idx="6">
                  <c:v>3231</c:v>
                </c:pt>
                <c:pt idx="7">
                  <c:v>3164</c:v>
                </c:pt>
                <c:pt idx="8">
                  <c:v>3203</c:v>
                </c:pt>
                <c:pt idx="9">
                  <c:v>3199</c:v>
                </c:pt>
                <c:pt idx="10">
                  <c:v>3166</c:v>
                </c:pt>
                <c:pt idx="11">
                  <c:v>3178</c:v>
                </c:pt>
                <c:pt idx="12">
                  <c:v>3239</c:v>
                </c:pt>
                <c:pt idx="13">
                  <c:v>3332</c:v>
                </c:pt>
                <c:pt idx="14">
                  <c:v>3341</c:v>
                </c:pt>
                <c:pt idx="15">
                  <c:v>3335</c:v>
                </c:pt>
                <c:pt idx="16">
                  <c:v>3367</c:v>
                </c:pt>
                <c:pt idx="17">
                  <c:v>3415</c:v>
                </c:pt>
                <c:pt idx="18">
                  <c:v>3374</c:v>
                </c:pt>
                <c:pt idx="19">
                  <c:v>3274</c:v>
                </c:pt>
                <c:pt idx="20">
                  <c:v>3327</c:v>
                </c:pt>
                <c:pt idx="21">
                  <c:v>3298</c:v>
                </c:pt>
                <c:pt idx="22">
                  <c:v>3325</c:v>
                </c:pt>
                <c:pt idx="23">
                  <c:v>3350</c:v>
                </c:pt>
                <c:pt idx="24">
                  <c:v>3353</c:v>
                </c:pt>
                <c:pt idx="25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7-474F-8B24-12ADEC90409F}"/>
            </c:ext>
          </c:extLst>
        </c:ser>
        <c:ser>
          <c:idx val="0"/>
          <c:order val="1"/>
          <c:tx>
            <c:v>Projection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'Electricity consumption'!$C$6:$C$66</c:f>
              <c:numCache>
                <c:formatCode>yyyy</c:formatCode>
                <c:ptCount val="61"/>
                <c:pt idx="0">
                  <c:v>32874</c:v>
                </c:pt>
                <c:pt idx="1">
                  <c:v>33239</c:v>
                </c:pt>
                <c:pt idx="2">
                  <c:v>33604</c:v>
                </c:pt>
                <c:pt idx="3">
                  <c:v>33970</c:v>
                </c:pt>
                <c:pt idx="4">
                  <c:v>34335</c:v>
                </c:pt>
                <c:pt idx="5">
                  <c:v>34700</c:v>
                </c:pt>
                <c:pt idx="6">
                  <c:v>35065</c:v>
                </c:pt>
                <c:pt idx="7">
                  <c:v>35431</c:v>
                </c:pt>
                <c:pt idx="8">
                  <c:v>35796</c:v>
                </c:pt>
                <c:pt idx="9">
                  <c:v>36161</c:v>
                </c:pt>
                <c:pt idx="10">
                  <c:v>36526</c:v>
                </c:pt>
                <c:pt idx="11">
                  <c:v>36892</c:v>
                </c:pt>
                <c:pt idx="12">
                  <c:v>37257</c:v>
                </c:pt>
                <c:pt idx="13">
                  <c:v>37622</c:v>
                </c:pt>
                <c:pt idx="14">
                  <c:v>37987</c:v>
                </c:pt>
                <c:pt idx="15">
                  <c:v>38353</c:v>
                </c:pt>
                <c:pt idx="16">
                  <c:v>38718</c:v>
                </c:pt>
                <c:pt idx="17">
                  <c:v>39083</c:v>
                </c:pt>
                <c:pt idx="18">
                  <c:v>39448</c:v>
                </c:pt>
                <c:pt idx="19">
                  <c:v>39814</c:v>
                </c:pt>
                <c:pt idx="20">
                  <c:v>40179</c:v>
                </c:pt>
                <c:pt idx="21">
                  <c:v>40544</c:v>
                </c:pt>
                <c:pt idx="22">
                  <c:v>40909</c:v>
                </c:pt>
                <c:pt idx="23">
                  <c:v>41275</c:v>
                </c:pt>
                <c:pt idx="24">
                  <c:v>41640</c:v>
                </c:pt>
                <c:pt idx="25">
                  <c:v>42005</c:v>
                </c:pt>
                <c:pt idx="26">
                  <c:v>42370</c:v>
                </c:pt>
                <c:pt idx="27">
                  <c:v>42736</c:v>
                </c:pt>
                <c:pt idx="28">
                  <c:v>43101</c:v>
                </c:pt>
                <c:pt idx="29">
                  <c:v>43466</c:v>
                </c:pt>
                <c:pt idx="30">
                  <c:v>43831</c:v>
                </c:pt>
                <c:pt idx="31">
                  <c:v>44197</c:v>
                </c:pt>
                <c:pt idx="32">
                  <c:v>44562</c:v>
                </c:pt>
                <c:pt idx="33">
                  <c:v>44927</c:v>
                </c:pt>
                <c:pt idx="34">
                  <c:v>45292</c:v>
                </c:pt>
                <c:pt idx="35">
                  <c:v>45658</c:v>
                </c:pt>
                <c:pt idx="36">
                  <c:v>46023</c:v>
                </c:pt>
                <c:pt idx="37">
                  <c:v>46388</c:v>
                </c:pt>
                <c:pt idx="38">
                  <c:v>46753</c:v>
                </c:pt>
                <c:pt idx="39">
                  <c:v>47119</c:v>
                </c:pt>
                <c:pt idx="40">
                  <c:v>47484</c:v>
                </c:pt>
                <c:pt idx="41">
                  <c:v>47849</c:v>
                </c:pt>
                <c:pt idx="42">
                  <c:v>48214</c:v>
                </c:pt>
                <c:pt idx="43">
                  <c:v>48580</c:v>
                </c:pt>
                <c:pt idx="44">
                  <c:v>48945</c:v>
                </c:pt>
                <c:pt idx="45">
                  <c:v>49310</c:v>
                </c:pt>
                <c:pt idx="46">
                  <c:v>49675</c:v>
                </c:pt>
                <c:pt idx="47">
                  <c:v>50041</c:v>
                </c:pt>
                <c:pt idx="48">
                  <c:v>50406</c:v>
                </c:pt>
                <c:pt idx="49">
                  <c:v>50771</c:v>
                </c:pt>
                <c:pt idx="50">
                  <c:v>51136</c:v>
                </c:pt>
                <c:pt idx="51">
                  <c:v>51502</c:v>
                </c:pt>
                <c:pt idx="52">
                  <c:v>51867</c:v>
                </c:pt>
                <c:pt idx="53">
                  <c:v>52232</c:v>
                </c:pt>
                <c:pt idx="54">
                  <c:v>52597</c:v>
                </c:pt>
                <c:pt idx="55">
                  <c:v>52963</c:v>
                </c:pt>
                <c:pt idx="56">
                  <c:v>53328</c:v>
                </c:pt>
                <c:pt idx="57">
                  <c:v>53693</c:v>
                </c:pt>
                <c:pt idx="58">
                  <c:v>54058</c:v>
                </c:pt>
                <c:pt idx="59">
                  <c:v>54424</c:v>
                </c:pt>
                <c:pt idx="60">
                  <c:v>54789</c:v>
                </c:pt>
              </c:numCache>
            </c:numRef>
          </c:cat>
          <c:val>
            <c:numRef>
              <c:f>'Electricity consumption'!$Q$6:$Q$76</c:f>
              <c:numCache>
                <c:formatCode>General</c:formatCode>
                <c:ptCount val="71"/>
                <c:pt idx="0">
                  <c:v>3124.2033032110289</c:v>
                </c:pt>
                <c:pt idx="1">
                  <c:v>3137.3490106998756</c:v>
                </c:pt>
                <c:pt idx="2">
                  <c:v>3150.2122078409748</c:v>
                </c:pt>
                <c:pt idx="3">
                  <c:v>3162.7962959852903</c:v>
                </c:pt>
                <c:pt idx="4">
                  <c:v>3175.1047764621671</c:v>
                </c:pt>
                <c:pt idx="5">
                  <c:v>3187.1412417623305</c:v>
                </c:pt>
                <c:pt idx="6">
                  <c:v>3198.909366980743</c:v>
                </c:pt>
                <c:pt idx="7">
                  <c:v>3210.4129015276262</c:v>
                </c:pt>
                <c:pt idx="8">
                  <c:v>3221.6556611144565</c:v>
                </c:pt>
                <c:pt idx="9">
                  <c:v>3232.6415200202987</c:v>
                </c:pt>
                <c:pt idx="10">
                  <c:v>3243.374403642486</c:v>
                </c:pt>
                <c:pt idx="11">
                  <c:v>3253.8582813344174</c:v>
                </c:pt>
                <c:pt idx="12">
                  <c:v>3264.0971595320279</c:v>
                </c:pt>
                <c:pt idx="13">
                  <c:v>3274.0950751694072</c:v>
                </c:pt>
                <c:pt idx="14">
                  <c:v>3283.8560893830136</c:v>
                </c:pt>
                <c:pt idx="15">
                  <c:v>3293.3842815029998</c:v>
                </c:pt>
                <c:pt idx="16">
                  <c:v>3302.6837433292967</c:v>
                </c:pt>
                <c:pt idx="17">
                  <c:v>3311.7585736893329</c:v>
                </c:pt>
                <c:pt idx="18">
                  <c:v>3320.6128732735369</c:v>
                </c:pt>
                <c:pt idx="19">
                  <c:v>3329.25073974416</c:v>
                </c:pt>
                <c:pt idx="20">
                  <c:v>3337.6762631123588</c:v>
                </c:pt>
                <c:pt idx="21">
                  <c:v>3345.8935213779982</c:v>
                </c:pt>
                <c:pt idx="22">
                  <c:v>3353.9065764261695</c:v>
                </c:pt>
                <c:pt idx="23">
                  <c:v>3361.7194701740655</c:v>
                </c:pt>
                <c:pt idx="24">
                  <c:v>3369.3362209614979</c:v>
                </c:pt>
                <c:pt idx="25">
                  <c:v>3376.7608201780922</c:v>
                </c:pt>
                <c:pt idx="26">
                  <c:v>3383.9972291199538</c:v>
                </c:pt>
                <c:pt idx="27">
                  <c:v>3391.0493760684381</c:v>
                </c:pt>
                <c:pt idx="28">
                  <c:v>3397.9211535834988</c:v>
                </c:pt>
                <c:pt idx="29">
                  <c:v>3404.6164160040203</c:v>
                </c:pt>
                <c:pt idx="30">
                  <c:v>3411.1389771474501</c:v>
                </c:pt>
                <c:pt idx="31">
                  <c:v>3417.4926082010529</c:v>
                </c:pt>
                <c:pt idx="32">
                  <c:v>3423.6810357970808</c:v>
                </c:pt>
                <c:pt idx="33">
                  <c:v>3429.7079402642153</c:v>
                </c:pt>
                <c:pt idx="34">
                  <c:v>3435.5769540476786</c:v>
                </c:pt>
                <c:pt idx="35">
                  <c:v>3441.2916602904829</c:v>
                </c:pt>
                <c:pt idx="36">
                  <c:v>3446.8555915684228</c:v>
                </c:pt>
                <c:pt idx="37">
                  <c:v>3452.2722287714919</c:v>
                </c:pt>
                <c:pt idx="38">
                  <c:v>3457.5450001245649</c:v>
                </c:pt>
                <c:pt idx="39">
                  <c:v>3462.6772803403314</c:v>
                </c:pt>
                <c:pt idx="40">
                  <c:v>3467.6723898976279</c:v>
                </c:pt>
                <c:pt idx="41">
                  <c:v>3472.5335944384715</c:v>
                </c:pt>
                <c:pt idx="42">
                  <c:v>3477.2641042773025</c:v>
                </c:pt>
                <c:pt idx="43">
                  <c:v>3481.8670740161092</c:v>
                </c:pt>
                <c:pt idx="44">
                  <c:v>3486.3456022593068</c:v>
                </c:pt>
                <c:pt idx="45">
                  <c:v>3490.7027314224415</c:v>
                </c:pt>
                <c:pt idx="46">
                  <c:v>3494.9414476289849</c:v>
                </c:pt>
                <c:pt idx="47">
                  <c:v>3499.0646806896871</c:v>
                </c:pt>
                <c:pt idx="48">
                  <c:v>3503.0753041591624</c:v>
                </c:pt>
                <c:pt idx="49">
                  <c:v>3506.9761354645766</c:v>
                </c:pt>
                <c:pt idx="50">
                  <c:v>3510.7699361015116</c:v>
                </c:pt>
                <c:pt idx="51">
                  <c:v>3514.4594118922882</c:v>
                </c:pt>
                <c:pt idx="52">
                  <c:v>3518.0472133022167</c:v>
                </c:pt>
                <c:pt idx="53">
                  <c:v>3521.5359358094424</c:v>
                </c:pt>
                <c:pt idx="54">
                  <c:v>3524.9281203242531</c:v>
                </c:pt>
                <c:pt idx="55">
                  <c:v>3528.2262536539042</c:v>
                </c:pt>
                <c:pt idx="56">
                  <c:v>3531.4327690091868</c:v>
                </c:pt>
                <c:pt idx="57">
                  <c:v>3534.55004654917</c:v>
                </c:pt>
                <c:pt idx="58">
                  <c:v>3537.5804139607044</c:v>
                </c:pt>
                <c:pt idx="59">
                  <c:v>3540.5261470694531</c:v>
                </c:pt>
                <c:pt idx="60">
                  <c:v>3543.3894704793961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7-474F-8B24-12ADEC904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4288"/>
        <c:axId val="2558640"/>
      </c:lineChart>
      <c:dateAx>
        <c:axId val="25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8640"/>
        <c:crosses val="autoZero"/>
        <c:auto val="1"/>
        <c:lblOffset val="100"/>
        <c:baseTimeUnit val="years"/>
      </c:dateAx>
      <c:valAx>
        <c:axId val="2558640"/>
        <c:scaling>
          <c:orientation val="minMax"/>
          <c:min val="3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consumption, kWh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Wind electricity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Projection for Wind electricity production</c:nam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poly"/>
            <c:order val="2"/>
            <c:forward val="34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'Electricity generation'!$B$6:$B$66</c:f>
              <c:numCache>
                <c:formatCode>yyyy</c:formatCode>
                <c:ptCount val="61"/>
                <c:pt idx="0">
                  <c:v>32874</c:v>
                </c:pt>
                <c:pt idx="1">
                  <c:v>33239</c:v>
                </c:pt>
                <c:pt idx="2">
                  <c:v>33604</c:v>
                </c:pt>
                <c:pt idx="3">
                  <c:v>33970</c:v>
                </c:pt>
                <c:pt idx="4">
                  <c:v>34335</c:v>
                </c:pt>
                <c:pt idx="5">
                  <c:v>34700</c:v>
                </c:pt>
                <c:pt idx="6">
                  <c:v>35065</c:v>
                </c:pt>
                <c:pt idx="7">
                  <c:v>35431</c:v>
                </c:pt>
                <c:pt idx="8">
                  <c:v>35796</c:v>
                </c:pt>
                <c:pt idx="9">
                  <c:v>36161</c:v>
                </c:pt>
                <c:pt idx="10">
                  <c:v>36526</c:v>
                </c:pt>
                <c:pt idx="11">
                  <c:v>36892</c:v>
                </c:pt>
                <c:pt idx="12">
                  <c:v>37257</c:v>
                </c:pt>
                <c:pt idx="13">
                  <c:v>37622</c:v>
                </c:pt>
                <c:pt idx="14">
                  <c:v>37987</c:v>
                </c:pt>
                <c:pt idx="15">
                  <c:v>38353</c:v>
                </c:pt>
                <c:pt idx="16">
                  <c:v>38718</c:v>
                </c:pt>
                <c:pt idx="17">
                  <c:v>39083</c:v>
                </c:pt>
                <c:pt idx="18">
                  <c:v>39448</c:v>
                </c:pt>
                <c:pt idx="19">
                  <c:v>39814</c:v>
                </c:pt>
                <c:pt idx="20">
                  <c:v>40179</c:v>
                </c:pt>
                <c:pt idx="21">
                  <c:v>40544</c:v>
                </c:pt>
                <c:pt idx="22">
                  <c:v>40909</c:v>
                </c:pt>
                <c:pt idx="23">
                  <c:v>41275</c:v>
                </c:pt>
                <c:pt idx="24">
                  <c:v>41640</c:v>
                </c:pt>
                <c:pt idx="25">
                  <c:v>42005</c:v>
                </c:pt>
                <c:pt idx="26">
                  <c:v>42370</c:v>
                </c:pt>
                <c:pt idx="27">
                  <c:v>42736</c:v>
                </c:pt>
                <c:pt idx="28">
                  <c:v>43101</c:v>
                </c:pt>
                <c:pt idx="29">
                  <c:v>43466</c:v>
                </c:pt>
                <c:pt idx="30">
                  <c:v>43831</c:v>
                </c:pt>
                <c:pt idx="31">
                  <c:v>44197</c:v>
                </c:pt>
                <c:pt idx="32">
                  <c:v>44562</c:v>
                </c:pt>
                <c:pt idx="33">
                  <c:v>44927</c:v>
                </c:pt>
                <c:pt idx="34">
                  <c:v>45292</c:v>
                </c:pt>
                <c:pt idx="35">
                  <c:v>45658</c:v>
                </c:pt>
                <c:pt idx="36">
                  <c:v>46023</c:v>
                </c:pt>
                <c:pt idx="37">
                  <c:v>46388</c:v>
                </c:pt>
                <c:pt idx="38">
                  <c:v>46753</c:v>
                </c:pt>
                <c:pt idx="39">
                  <c:v>47119</c:v>
                </c:pt>
                <c:pt idx="40">
                  <c:v>47484</c:v>
                </c:pt>
                <c:pt idx="41">
                  <c:v>47849</c:v>
                </c:pt>
                <c:pt idx="42">
                  <c:v>48214</c:v>
                </c:pt>
                <c:pt idx="43">
                  <c:v>48580</c:v>
                </c:pt>
                <c:pt idx="44">
                  <c:v>48945</c:v>
                </c:pt>
                <c:pt idx="45">
                  <c:v>49310</c:v>
                </c:pt>
                <c:pt idx="46">
                  <c:v>49675</c:v>
                </c:pt>
                <c:pt idx="47">
                  <c:v>50041</c:v>
                </c:pt>
                <c:pt idx="48">
                  <c:v>50406</c:v>
                </c:pt>
                <c:pt idx="49">
                  <c:v>50771</c:v>
                </c:pt>
                <c:pt idx="50">
                  <c:v>51136</c:v>
                </c:pt>
                <c:pt idx="51">
                  <c:v>51502</c:v>
                </c:pt>
                <c:pt idx="52">
                  <c:v>51867</c:v>
                </c:pt>
                <c:pt idx="53">
                  <c:v>52232</c:v>
                </c:pt>
                <c:pt idx="54">
                  <c:v>52597</c:v>
                </c:pt>
                <c:pt idx="55">
                  <c:v>52963</c:v>
                </c:pt>
                <c:pt idx="56">
                  <c:v>53328</c:v>
                </c:pt>
                <c:pt idx="57">
                  <c:v>53693</c:v>
                </c:pt>
                <c:pt idx="58">
                  <c:v>54058</c:v>
                </c:pt>
                <c:pt idx="59">
                  <c:v>54424</c:v>
                </c:pt>
                <c:pt idx="60">
                  <c:v>54789</c:v>
                </c:pt>
              </c:numCache>
            </c:numRef>
          </c:cat>
          <c:val>
            <c:numRef>
              <c:f>'Electricity generation'!$F$6:$F$32</c:f>
              <c:numCache>
                <c:formatCode>General</c:formatCode>
                <c:ptCount val="27"/>
                <c:pt idx="0">
                  <c:v>71</c:v>
                </c:pt>
                <c:pt idx="1">
                  <c:v>100</c:v>
                </c:pt>
                <c:pt idx="2">
                  <c:v>275</c:v>
                </c:pt>
                <c:pt idx="3">
                  <c:v>600</c:v>
                </c:pt>
                <c:pt idx="4">
                  <c:v>909</c:v>
                </c:pt>
                <c:pt idx="5">
                  <c:v>1500</c:v>
                </c:pt>
                <c:pt idx="6">
                  <c:v>2032</c:v>
                </c:pt>
                <c:pt idx="7">
                  <c:v>2966</c:v>
                </c:pt>
                <c:pt idx="8">
                  <c:v>4489</c:v>
                </c:pt>
                <c:pt idx="9">
                  <c:v>5528</c:v>
                </c:pt>
                <c:pt idx="10">
                  <c:v>9513</c:v>
                </c:pt>
                <c:pt idx="11">
                  <c:v>10509</c:v>
                </c:pt>
                <c:pt idx="12">
                  <c:v>15786</c:v>
                </c:pt>
                <c:pt idx="13">
                  <c:v>18713</c:v>
                </c:pt>
                <c:pt idx="14">
                  <c:v>25509</c:v>
                </c:pt>
                <c:pt idx="15">
                  <c:v>27229</c:v>
                </c:pt>
                <c:pt idx="16">
                  <c:v>30710</c:v>
                </c:pt>
                <c:pt idx="17">
                  <c:v>39713</c:v>
                </c:pt>
                <c:pt idx="18">
                  <c:v>40574</c:v>
                </c:pt>
                <c:pt idx="19">
                  <c:v>38648</c:v>
                </c:pt>
                <c:pt idx="20">
                  <c:v>37795</c:v>
                </c:pt>
                <c:pt idx="21">
                  <c:v>48891</c:v>
                </c:pt>
                <c:pt idx="22">
                  <c:v>50681</c:v>
                </c:pt>
                <c:pt idx="23">
                  <c:v>51721</c:v>
                </c:pt>
                <c:pt idx="24">
                  <c:v>57379</c:v>
                </c:pt>
                <c:pt idx="25">
                  <c:v>79206</c:v>
                </c:pt>
                <c:pt idx="26">
                  <c:v>77412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4-B84F-8B7B-F48AD9FFA94F}"/>
            </c:ext>
          </c:extLst>
        </c:ser>
        <c:ser>
          <c:idx val="0"/>
          <c:order val="1"/>
          <c:tx>
            <c:v>Solar electricity prodution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Projection for Solar electricity production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34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'Electricity generation'!$B$6:$B$66</c:f>
              <c:numCache>
                <c:formatCode>yyyy</c:formatCode>
                <c:ptCount val="61"/>
                <c:pt idx="0">
                  <c:v>32874</c:v>
                </c:pt>
                <c:pt idx="1">
                  <c:v>33239</c:v>
                </c:pt>
                <c:pt idx="2">
                  <c:v>33604</c:v>
                </c:pt>
                <c:pt idx="3">
                  <c:v>33970</c:v>
                </c:pt>
                <c:pt idx="4">
                  <c:v>34335</c:v>
                </c:pt>
                <c:pt idx="5">
                  <c:v>34700</c:v>
                </c:pt>
                <c:pt idx="6">
                  <c:v>35065</c:v>
                </c:pt>
                <c:pt idx="7">
                  <c:v>35431</c:v>
                </c:pt>
                <c:pt idx="8">
                  <c:v>35796</c:v>
                </c:pt>
                <c:pt idx="9">
                  <c:v>36161</c:v>
                </c:pt>
                <c:pt idx="10">
                  <c:v>36526</c:v>
                </c:pt>
                <c:pt idx="11">
                  <c:v>36892</c:v>
                </c:pt>
                <c:pt idx="12">
                  <c:v>37257</c:v>
                </c:pt>
                <c:pt idx="13">
                  <c:v>37622</c:v>
                </c:pt>
                <c:pt idx="14">
                  <c:v>37987</c:v>
                </c:pt>
                <c:pt idx="15">
                  <c:v>38353</c:v>
                </c:pt>
                <c:pt idx="16">
                  <c:v>38718</c:v>
                </c:pt>
                <c:pt idx="17">
                  <c:v>39083</c:v>
                </c:pt>
                <c:pt idx="18">
                  <c:v>39448</c:v>
                </c:pt>
                <c:pt idx="19">
                  <c:v>39814</c:v>
                </c:pt>
                <c:pt idx="20">
                  <c:v>40179</c:v>
                </c:pt>
                <c:pt idx="21">
                  <c:v>40544</c:v>
                </c:pt>
                <c:pt idx="22">
                  <c:v>40909</c:v>
                </c:pt>
                <c:pt idx="23">
                  <c:v>41275</c:v>
                </c:pt>
                <c:pt idx="24">
                  <c:v>41640</c:v>
                </c:pt>
                <c:pt idx="25">
                  <c:v>42005</c:v>
                </c:pt>
                <c:pt idx="26">
                  <c:v>42370</c:v>
                </c:pt>
                <c:pt idx="27">
                  <c:v>42736</c:v>
                </c:pt>
                <c:pt idx="28">
                  <c:v>43101</c:v>
                </c:pt>
                <c:pt idx="29">
                  <c:v>43466</c:v>
                </c:pt>
                <c:pt idx="30">
                  <c:v>43831</c:v>
                </c:pt>
                <c:pt idx="31">
                  <c:v>44197</c:v>
                </c:pt>
                <c:pt idx="32">
                  <c:v>44562</c:v>
                </c:pt>
                <c:pt idx="33">
                  <c:v>44927</c:v>
                </c:pt>
                <c:pt idx="34">
                  <c:v>45292</c:v>
                </c:pt>
                <c:pt idx="35">
                  <c:v>45658</c:v>
                </c:pt>
                <c:pt idx="36">
                  <c:v>46023</c:v>
                </c:pt>
                <c:pt idx="37">
                  <c:v>46388</c:v>
                </c:pt>
                <c:pt idx="38">
                  <c:v>46753</c:v>
                </c:pt>
                <c:pt idx="39">
                  <c:v>47119</c:v>
                </c:pt>
                <c:pt idx="40">
                  <c:v>47484</c:v>
                </c:pt>
                <c:pt idx="41">
                  <c:v>47849</c:v>
                </c:pt>
                <c:pt idx="42">
                  <c:v>48214</c:v>
                </c:pt>
                <c:pt idx="43">
                  <c:v>48580</c:v>
                </c:pt>
                <c:pt idx="44">
                  <c:v>48945</c:v>
                </c:pt>
                <c:pt idx="45">
                  <c:v>49310</c:v>
                </c:pt>
                <c:pt idx="46">
                  <c:v>49675</c:v>
                </c:pt>
                <c:pt idx="47">
                  <c:v>50041</c:v>
                </c:pt>
                <c:pt idx="48">
                  <c:v>50406</c:v>
                </c:pt>
                <c:pt idx="49">
                  <c:v>50771</c:v>
                </c:pt>
                <c:pt idx="50">
                  <c:v>51136</c:v>
                </c:pt>
                <c:pt idx="51">
                  <c:v>51502</c:v>
                </c:pt>
                <c:pt idx="52">
                  <c:v>51867</c:v>
                </c:pt>
                <c:pt idx="53">
                  <c:v>52232</c:v>
                </c:pt>
                <c:pt idx="54">
                  <c:v>52597</c:v>
                </c:pt>
                <c:pt idx="55">
                  <c:v>52963</c:v>
                </c:pt>
                <c:pt idx="56">
                  <c:v>53328</c:v>
                </c:pt>
                <c:pt idx="57">
                  <c:v>53693</c:v>
                </c:pt>
                <c:pt idx="58">
                  <c:v>54058</c:v>
                </c:pt>
                <c:pt idx="59">
                  <c:v>54424</c:v>
                </c:pt>
                <c:pt idx="60">
                  <c:v>54789</c:v>
                </c:pt>
              </c:numCache>
            </c:numRef>
          </c:cat>
          <c:val>
            <c:numRef>
              <c:f>'Electricity generation'!$E$6:$E$32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18</c:v>
                </c:pt>
                <c:pt idx="8">
                  <c:v>35</c:v>
                </c:pt>
                <c:pt idx="9">
                  <c:v>30</c:v>
                </c:pt>
                <c:pt idx="10">
                  <c:v>60</c:v>
                </c:pt>
                <c:pt idx="11">
                  <c:v>76</c:v>
                </c:pt>
                <c:pt idx="12">
                  <c:v>162</c:v>
                </c:pt>
                <c:pt idx="13">
                  <c:v>313</c:v>
                </c:pt>
                <c:pt idx="14">
                  <c:v>557</c:v>
                </c:pt>
                <c:pt idx="15">
                  <c:v>1282</c:v>
                </c:pt>
                <c:pt idx="16">
                  <c:v>2220</c:v>
                </c:pt>
                <c:pt idx="17">
                  <c:v>3075</c:v>
                </c:pt>
                <c:pt idx="18">
                  <c:v>4420</c:v>
                </c:pt>
                <c:pt idx="19">
                  <c:v>6583</c:v>
                </c:pt>
                <c:pt idx="20">
                  <c:v>11729</c:v>
                </c:pt>
                <c:pt idx="21">
                  <c:v>19599</c:v>
                </c:pt>
                <c:pt idx="22">
                  <c:v>26380</c:v>
                </c:pt>
                <c:pt idx="23">
                  <c:v>31010</c:v>
                </c:pt>
                <c:pt idx="24">
                  <c:v>36056</c:v>
                </c:pt>
                <c:pt idx="25">
                  <c:v>38726</c:v>
                </c:pt>
                <c:pt idx="26">
                  <c:v>38171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4-B84F-8B7B-F48AD9FFA94F}"/>
            </c:ext>
          </c:extLst>
        </c:ser>
        <c:ser>
          <c:idx val="2"/>
          <c:order val="2"/>
          <c:tx>
            <c:v>Biomass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name>Projection of Biomass electricity production</c:nam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og"/>
            <c:forward val="34"/>
            <c:dispRSqr val="0"/>
            <c:dispEq val="0"/>
          </c:trendline>
          <c:val>
            <c:numRef>
              <c:f>'Electricity generation'!$K$6:$K$32</c:f>
              <c:numCache>
                <c:formatCode>#,##0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18</c:v>
                </c:pt>
                <c:pt idx="6">
                  <c:v>31</c:v>
                </c:pt>
                <c:pt idx="7">
                  <c:v>44</c:v>
                </c:pt>
                <c:pt idx="8">
                  <c:v>118</c:v>
                </c:pt>
                <c:pt idx="9">
                  <c:v>145</c:v>
                </c:pt>
                <c:pt idx="10">
                  <c:v>445</c:v>
                </c:pt>
                <c:pt idx="11">
                  <c:v>745</c:v>
                </c:pt>
                <c:pt idx="12">
                  <c:v>1046</c:v>
                </c:pt>
                <c:pt idx="13">
                  <c:v>1518</c:v>
                </c:pt>
                <c:pt idx="14">
                  <c:v>1111</c:v>
                </c:pt>
                <c:pt idx="15">
                  <c:v>1696</c:v>
                </c:pt>
                <c:pt idx="16">
                  <c:v>3346</c:v>
                </c:pt>
                <c:pt idx="17">
                  <c:v>8406</c:v>
                </c:pt>
                <c:pt idx="18">
                  <c:v>11001</c:v>
                </c:pt>
                <c:pt idx="19">
                  <c:v>13249</c:v>
                </c:pt>
                <c:pt idx="20">
                  <c:v>15656</c:v>
                </c:pt>
                <c:pt idx="21">
                  <c:v>19316</c:v>
                </c:pt>
                <c:pt idx="22">
                  <c:v>25477</c:v>
                </c:pt>
                <c:pt idx="23">
                  <c:v>27480</c:v>
                </c:pt>
                <c:pt idx="24">
                  <c:v>29324</c:v>
                </c:pt>
                <c:pt idx="25">
                  <c:v>31288</c:v>
                </c:pt>
                <c:pt idx="26">
                  <c:v>32370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84-B84F-8B7B-F48AD9FF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184"/>
        <c:axId val="2546128"/>
      </c:lineChart>
      <c:dateAx>
        <c:axId val="25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6128"/>
        <c:crosses val="autoZero"/>
        <c:auto val="1"/>
        <c:lblOffset val="100"/>
        <c:baseTimeUnit val="years"/>
      </c:dateAx>
      <c:valAx>
        <c:axId val="2546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production, 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677789893627199E-2"/>
          <c:y val="0.82128113762789301"/>
          <c:w val="0.88768434491826298"/>
          <c:h val="0.15689076181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Wind</a:t>
            </a:r>
          </a:p>
        </c:rich>
      </c:tx>
      <c:layout>
        <c:manualLayout>
          <c:xMode val="edge"/>
          <c:yMode val="edge"/>
          <c:x val="0.47414186574135903"/>
          <c:y val="2.9520295202952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'Power generation_NEW'!$H$20:$S$20</c:f>
              <c:numCache>
                <c:formatCode>General</c:formatCode>
                <c:ptCount val="12"/>
                <c:pt idx="0">
                  <c:v>9531.1372497730972</c:v>
                </c:pt>
                <c:pt idx="1">
                  <c:v>10120.482623426446</c:v>
                </c:pt>
                <c:pt idx="2">
                  <c:v>6137.3207877003733</c:v>
                </c:pt>
                <c:pt idx="3">
                  <c:v>6086.5151520406025</c:v>
                </c:pt>
                <c:pt idx="4">
                  <c:v>6279.5765675477323</c:v>
                </c:pt>
                <c:pt idx="5">
                  <c:v>3444.6220977324947</c:v>
                </c:pt>
                <c:pt idx="6">
                  <c:v>4785.8908791504564</c:v>
                </c:pt>
                <c:pt idx="7">
                  <c:v>4887.5021504699989</c:v>
                </c:pt>
                <c:pt idx="8">
                  <c:v>4287.995649684698</c:v>
                </c:pt>
                <c:pt idx="9">
                  <c:v>5710.5534481582945</c:v>
                </c:pt>
                <c:pt idx="10">
                  <c:v>8281.3186125427219</c:v>
                </c:pt>
                <c:pt idx="11">
                  <c:v>9531.1372497730972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B2D-6445-A3AB-7BE2472E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6672"/>
        <c:axId val="25477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'Power generation_NEW'!$C$34:$N$34</c:f>
              <c:numCache>
                <c:formatCode>General</c:formatCode>
                <c:ptCount val="12"/>
                <c:pt idx="0">
                  <c:v>6590.3377099999998</c:v>
                </c:pt>
                <c:pt idx="1">
                  <c:v>6590.3377099999998</c:v>
                </c:pt>
                <c:pt idx="2">
                  <c:v>6590.3377099999998</c:v>
                </c:pt>
                <c:pt idx="3">
                  <c:v>6590.3377099999998</c:v>
                </c:pt>
                <c:pt idx="4">
                  <c:v>6590.3377099999998</c:v>
                </c:pt>
                <c:pt idx="5">
                  <c:v>6590.3377099999998</c:v>
                </c:pt>
                <c:pt idx="6">
                  <c:v>6590.3377099999998</c:v>
                </c:pt>
                <c:pt idx="7">
                  <c:v>6590.3377099999998</c:v>
                </c:pt>
                <c:pt idx="8">
                  <c:v>6590.3377099999998</c:v>
                </c:pt>
                <c:pt idx="9">
                  <c:v>6590.3377099999998</c:v>
                </c:pt>
                <c:pt idx="10">
                  <c:v>6590.3377099999998</c:v>
                </c:pt>
                <c:pt idx="11">
                  <c:v>6590.3377099999998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D-6445-A3AB-7BE2472E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6672"/>
        <c:axId val="2547760"/>
      </c:lineChart>
      <c:catAx>
        <c:axId val="2546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7760"/>
        <c:crosses val="autoZero"/>
        <c:auto val="1"/>
        <c:lblAlgn val="ctr"/>
        <c:lblOffset val="100"/>
        <c:noMultiLvlLbl val="0"/>
      </c:catAx>
      <c:valAx>
        <c:axId val="25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val>
            <c:numRef>
              <c:f>'Power generation_NEW'!$W$20:$AH$20</c:f>
              <c:numCache>
                <c:formatCode>General</c:formatCode>
                <c:ptCount val="12"/>
                <c:pt idx="0">
                  <c:v>665.96451861454455</c:v>
                </c:pt>
                <c:pt idx="1">
                  <c:v>1285.0301274675014</c:v>
                </c:pt>
                <c:pt idx="2">
                  <c:v>2466.8826534595096</c:v>
                </c:pt>
                <c:pt idx="3">
                  <c:v>3826.9510365455517</c:v>
                </c:pt>
                <c:pt idx="4">
                  <c:v>4811.828141538891</c:v>
                </c:pt>
                <c:pt idx="5">
                  <c:v>4830.5877054435268</c:v>
                </c:pt>
                <c:pt idx="6">
                  <c:v>5036.9429083945124</c:v>
                </c:pt>
                <c:pt idx="7">
                  <c:v>4811.828141538891</c:v>
                </c:pt>
                <c:pt idx="8">
                  <c:v>3911.3690741164096</c:v>
                </c:pt>
                <c:pt idx="9">
                  <c:v>1716.5000972741077</c:v>
                </c:pt>
                <c:pt idx="10">
                  <c:v>1041.1557967072458</c:v>
                </c:pt>
                <c:pt idx="11">
                  <c:v>806.66124789930734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EB-114E-8525-B1EF0328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9392"/>
        <c:axId val="254993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'Power generation_NEW'!$C$35:$N$35</c:f>
              <c:numCache>
                <c:formatCode>General</c:formatCode>
                <c:ptCount val="12"/>
                <c:pt idx="0">
                  <c:v>2934.30845</c:v>
                </c:pt>
                <c:pt idx="1">
                  <c:v>2934.30845</c:v>
                </c:pt>
                <c:pt idx="2">
                  <c:v>2934.30845</c:v>
                </c:pt>
                <c:pt idx="3">
                  <c:v>2934.30845</c:v>
                </c:pt>
                <c:pt idx="4">
                  <c:v>2934.30845</c:v>
                </c:pt>
                <c:pt idx="5">
                  <c:v>2934.30845</c:v>
                </c:pt>
                <c:pt idx="6">
                  <c:v>2934.30845</c:v>
                </c:pt>
                <c:pt idx="7">
                  <c:v>2934.30845</c:v>
                </c:pt>
                <c:pt idx="8">
                  <c:v>2934.30845</c:v>
                </c:pt>
                <c:pt idx="9">
                  <c:v>2934.30845</c:v>
                </c:pt>
                <c:pt idx="10">
                  <c:v>2934.30845</c:v>
                </c:pt>
                <c:pt idx="11">
                  <c:v>2934.30845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B-114E-8525-B1EF0328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392"/>
        <c:axId val="2549936"/>
      </c:lineChart>
      <c:catAx>
        <c:axId val="254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9936"/>
        <c:crosses val="autoZero"/>
        <c:auto val="1"/>
        <c:lblAlgn val="ctr"/>
        <c:lblOffset val="100"/>
        <c:noMultiLvlLbl val="0"/>
      </c:catAx>
      <c:valAx>
        <c:axId val="25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</a:t>
                </a:r>
                <a:r>
                  <a:rPr lang="en-US" sz="1400" b="0" i="0" baseline="0">
                    <a:effectLst/>
                  </a:rPr>
                  <a:t>Energy, GWh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533400</xdr:colOff>
          <xdr:row>39</xdr:row>
          <xdr:rowOff>139700</xdr:rowOff>
        </xdr:from>
        <xdr:to>
          <xdr:col>18</xdr:col>
          <xdr:colOff>698500</xdr:colOff>
          <xdr:row>67</xdr:row>
          <xdr:rowOff>76200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219073</xdr:colOff>
      <xdr:row>100</xdr:row>
      <xdr:rowOff>81643</xdr:rowOff>
    </xdr:from>
    <xdr:to>
      <xdr:col>12</xdr:col>
      <xdr:colOff>190499</xdr:colOff>
      <xdr:row>127</xdr:row>
      <xdr:rowOff>114301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4761</xdr:colOff>
      <xdr:row>103</xdr:row>
      <xdr:rowOff>60550</xdr:rowOff>
    </xdr:from>
    <xdr:to>
      <xdr:col>23</xdr:col>
      <xdr:colOff>17688</xdr:colOff>
      <xdr:row>123</xdr:row>
      <xdr:rowOff>160563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33</xdr:row>
      <xdr:rowOff>176211</xdr:rowOff>
    </xdr:from>
    <xdr:to>
      <xdr:col>10</xdr:col>
      <xdr:colOff>533400</xdr:colOff>
      <xdr:row>52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660400</xdr:colOff>
      <xdr:row>21</xdr:row>
      <xdr:rowOff>25400</xdr:rowOff>
    </xdr:from>
    <xdr:to>
      <xdr:col>25</xdr:col>
      <xdr:colOff>50800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444500</xdr:colOff>
      <xdr:row>20</xdr:row>
      <xdr:rowOff>152400</xdr:rowOff>
    </xdr:from>
    <xdr:to>
      <xdr:col>32</xdr:col>
      <xdr:colOff>406400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0.46057</cdr:x>
      <cdr:y>0.37771</cdr:y>
    </cdr:from>
    <cdr:to>
      <cdr:x>0.69112</cdr:x>
      <cdr:y>0.47493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77841" y="1299981"/>
          <a:ext cx="1440568" cy="334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Average</a:t>
          </a:r>
          <a:r>
            <a:rPr lang="en-US" sz="1200" baseline="0"/>
            <a:t> energy</a:t>
          </a:r>
          <a:endParaRPr lang="en-US" sz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0.17833</cdr:x>
      <cdr:y>0.4086</cdr:y>
    </cdr:from>
    <cdr:to>
      <cdr:x>0.41909</cdr:x>
      <cdr:y>0.50303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398" y="1447802"/>
          <a:ext cx="1275041" cy="334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Average</a:t>
          </a:r>
          <a:r>
            <a:rPr lang="en-US" sz="1200" baseline="0"/>
            <a:t> energy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.vsd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ecoglobe.org/nz/energy/hydrogen.htm" TargetMode="External"/><Relationship Id="rId1" Type="http://schemas.openxmlformats.org/officeDocument/2006/relationships/hyperlink" Target="http://www.statistik-portal.de/Statistik-Portal/en/en_jb16_jahrtab37.a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EN/Publications/Specialized/Population/GermanyPopulation2060_5124206159004.pdf?__blob=publicationFile" TargetMode="External"/><Relationship Id="rId2" Type="http://schemas.openxmlformats.org/officeDocument/2006/relationships/hyperlink" Target="https://www.destatis.de/DE/PresseService/Presse/Pressemitteilungen/2016/08/PD16_295_12411.html%20%20%20population%20of%20Germany" TargetMode="External"/><Relationship Id="rId1" Type="http://schemas.openxmlformats.org/officeDocument/2006/relationships/hyperlink" Target="https://de.wikipedia.org/wiki/Liste_der_aktiven_Bergwerke_in_Deutschland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service.destatis.de/laenderpyramiden/" TargetMode="External"/><Relationship Id="rId4" Type="http://schemas.openxmlformats.org/officeDocument/2006/relationships/hyperlink" Target="http://data.worldbank.org/indicator/EG.USE.ELEC.KH.PC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data.worldbank.org/indicator/EG.USE.ELEC.KH.PC?locations=DE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workbookViewId="0">
      <selection activeCell="D7" sqref="D7"/>
    </sheetView>
  </sheetViews>
  <sheetFormatPr baseColWidth="10" defaultColWidth="8.83203125" defaultRowHeight="15"/>
  <cols>
    <col min="11" max="11" width="20.6640625" customWidth="1"/>
  </cols>
  <sheetData>
    <row r="1" spans="1:24" ht="27" thickBot="1">
      <c r="A1" s="283" t="s">
        <v>65</v>
      </c>
      <c r="B1" s="283"/>
      <c r="C1" s="283"/>
      <c r="D1" s="283"/>
      <c r="E1" s="283"/>
      <c r="F1" s="283"/>
      <c r="G1" s="283"/>
      <c r="I1" s="264" t="s">
        <v>84</v>
      </c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6"/>
    </row>
    <row r="2" spans="1:24" ht="18.75" customHeight="1" thickTop="1" thickBot="1">
      <c r="A2" s="284" t="s">
        <v>0</v>
      </c>
      <c r="B2" s="284"/>
      <c r="C2" s="284"/>
      <c r="D2" s="284"/>
      <c r="E2" s="284"/>
      <c r="F2" s="284"/>
      <c r="G2" s="284"/>
      <c r="I2" s="267" t="s">
        <v>84</v>
      </c>
      <c r="J2" s="268"/>
      <c r="K2" s="29" t="s">
        <v>82</v>
      </c>
      <c r="L2" s="1"/>
      <c r="M2" s="2"/>
      <c r="N2" s="2"/>
      <c r="O2" s="2"/>
      <c r="P2" s="2"/>
      <c r="Q2" s="2" t="s">
        <v>74</v>
      </c>
      <c r="R2" s="2"/>
      <c r="S2" s="2"/>
      <c r="T2" s="2"/>
      <c r="U2" s="2"/>
      <c r="V2" s="11"/>
      <c r="W2" s="11"/>
      <c r="X2" s="153"/>
    </row>
    <row r="3" spans="1:24" ht="16.5" customHeight="1" thickTop="1" thickBot="1">
      <c r="A3" t="s">
        <v>2</v>
      </c>
      <c r="B3" t="s">
        <v>1</v>
      </c>
      <c r="C3" t="s">
        <v>3</v>
      </c>
      <c r="D3" t="s">
        <v>4</v>
      </c>
      <c r="I3" s="280" t="s">
        <v>81</v>
      </c>
      <c r="J3" s="281"/>
      <c r="K3" s="32"/>
      <c r="L3" s="33" t="s">
        <v>8</v>
      </c>
      <c r="M3" s="33" t="s">
        <v>9</v>
      </c>
      <c r="N3" s="34" t="s">
        <v>18</v>
      </c>
      <c r="O3" s="33" t="s">
        <v>27</v>
      </c>
      <c r="P3" s="33" t="s">
        <v>28</v>
      </c>
      <c r="Q3" s="33" t="s">
        <v>41</v>
      </c>
      <c r="R3" s="33" t="s">
        <v>56</v>
      </c>
      <c r="S3" s="33" t="s">
        <v>29</v>
      </c>
      <c r="T3" s="34" t="s">
        <v>19</v>
      </c>
      <c r="U3" s="35" t="s">
        <v>53</v>
      </c>
      <c r="V3" s="36" t="s">
        <v>55</v>
      </c>
      <c r="W3" s="37" t="s">
        <v>73</v>
      </c>
      <c r="X3" s="154" t="s">
        <v>68</v>
      </c>
    </row>
    <row r="4" spans="1:24" ht="15" customHeight="1">
      <c r="A4">
        <v>1</v>
      </c>
      <c r="B4">
        <v>2</v>
      </c>
      <c r="C4">
        <v>1</v>
      </c>
      <c r="D4">
        <v>4</v>
      </c>
      <c r="G4" t="s">
        <v>5</v>
      </c>
      <c r="I4" s="269" t="s">
        <v>80</v>
      </c>
      <c r="J4" s="272" t="s">
        <v>75</v>
      </c>
      <c r="K4" s="31">
        <v>1</v>
      </c>
      <c r="L4" s="3">
        <v>-2</v>
      </c>
      <c r="M4" s="3">
        <v>-4.5</v>
      </c>
      <c r="N4" s="3">
        <v>0</v>
      </c>
      <c r="O4" s="3">
        <v>0</v>
      </c>
      <c r="P4" s="3">
        <v>5.5</v>
      </c>
      <c r="Q4" s="3">
        <v>0</v>
      </c>
      <c r="R4" s="3">
        <v>0</v>
      </c>
      <c r="S4" s="3">
        <v>0</v>
      </c>
      <c r="T4" s="3">
        <v>0</v>
      </c>
      <c r="U4" s="8">
        <v>0</v>
      </c>
      <c r="V4" s="12">
        <v>1</v>
      </c>
      <c r="W4" s="3">
        <v>0</v>
      </c>
      <c r="X4" s="155">
        <v>0</v>
      </c>
    </row>
    <row r="5" spans="1:24" ht="15.75" customHeight="1">
      <c r="A5">
        <v>16</v>
      </c>
      <c r="B5">
        <v>18</v>
      </c>
      <c r="C5">
        <v>44</v>
      </c>
      <c r="D5">
        <v>2</v>
      </c>
      <c r="G5" t="s">
        <v>6</v>
      </c>
      <c r="I5" s="270"/>
      <c r="J5" s="273"/>
      <c r="K5" s="6">
        <v>2</v>
      </c>
      <c r="L5" s="3">
        <v>-2</v>
      </c>
      <c r="M5" s="3">
        <v>-2.25</v>
      </c>
      <c r="N5" s="3">
        <v>-10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13.25</v>
      </c>
      <c r="U5" s="8">
        <v>0</v>
      </c>
      <c r="V5" s="12">
        <v>1</v>
      </c>
      <c r="W5" s="3">
        <v>0</v>
      </c>
      <c r="X5" s="155">
        <v>0</v>
      </c>
    </row>
    <row r="6" spans="1:24">
      <c r="A6">
        <f>A5*A4</f>
        <v>16</v>
      </c>
      <c r="B6">
        <f>B5*B4</f>
        <v>36</v>
      </c>
      <c r="C6">
        <f>C5*C4</f>
        <v>44</v>
      </c>
      <c r="D6">
        <f>D5*D4</f>
        <v>8</v>
      </c>
      <c r="G6" t="s">
        <v>7</v>
      </c>
      <c r="I6" s="270"/>
      <c r="J6" s="273"/>
      <c r="K6" s="6">
        <v>3</v>
      </c>
      <c r="L6" s="3">
        <v>-5.33</v>
      </c>
      <c r="M6" s="3">
        <v>3</v>
      </c>
      <c r="N6" s="3">
        <v>0</v>
      </c>
      <c r="O6" s="3">
        <v>-5.33</v>
      </c>
      <c r="P6" s="3">
        <v>-7.33</v>
      </c>
      <c r="Q6" s="3">
        <v>0</v>
      </c>
      <c r="R6" s="3">
        <v>0</v>
      </c>
      <c r="S6" s="3">
        <v>14</v>
      </c>
      <c r="T6" s="3">
        <v>0</v>
      </c>
      <c r="U6" s="8">
        <v>0</v>
      </c>
      <c r="V6" s="12">
        <v>1</v>
      </c>
      <c r="W6" s="3">
        <v>0</v>
      </c>
      <c r="X6" s="155">
        <v>0</v>
      </c>
    </row>
    <row r="7" spans="1:24">
      <c r="A7" t="s">
        <v>20</v>
      </c>
      <c r="C7" t="s">
        <v>8</v>
      </c>
      <c r="D7">
        <f>A6/D6</f>
        <v>2</v>
      </c>
      <c r="G7" t="s">
        <v>11</v>
      </c>
      <c r="I7" s="270"/>
      <c r="J7" s="274"/>
      <c r="K7" s="6">
        <v>4</v>
      </c>
      <c r="L7" s="3">
        <v>-3.2</v>
      </c>
      <c r="M7" s="3">
        <v>-1.8</v>
      </c>
      <c r="N7" s="3">
        <v>0</v>
      </c>
      <c r="O7" s="3">
        <v>-1.6</v>
      </c>
      <c r="P7" s="3">
        <v>0</v>
      </c>
      <c r="Q7" s="3">
        <v>0</v>
      </c>
      <c r="R7" s="3">
        <v>0</v>
      </c>
      <c r="S7" s="3">
        <v>5.6</v>
      </c>
      <c r="T7" s="3">
        <v>0</v>
      </c>
      <c r="U7" s="8">
        <v>0</v>
      </c>
      <c r="V7" s="12">
        <v>1</v>
      </c>
      <c r="W7" s="3">
        <v>0</v>
      </c>
      <c r="X7" s="155">
        <v>0</v>
      </c>
    </row>
    <row r="8" spans="1:24" ht="15" customHeight="1">
      <c r="C8" t="s">
        <v>9</v>
      </c>
      <c r="D8">
        <f>B6/D6</f>
        <v>4.5</v>
      </c>
      <c r="G8" t="s">
        <v>11</v>
      </c>
      <c r="I8" s="270"/>
      <c r="J8" s="275" t="s">
        <v>76</v>
      </c>
      <c r="K8" s="6">
        <v>5</v>
      </c>
      <c r="L8" s="3">
        <v>0</v>
      </c>
      <c r="M8" s="3">
        <v>-9</v>
      </c>
      <c r="N8" s="3">
        <v>0</v>
      </c>
      <c r="O8" s="3">
        <v>0</v>
      </c>
      <c r="P8" s="3">
        <v>7.3</v>
      </c>
      <c r="Q8" s="3">
        <v>-4</v>
      </c>
      <c r="R8" s="3">
        <v>0</v>
      </c>
      <c r="S8" s="3">
        <v>4.67</v>
      </c>
      <c r="T8" s="3">
        <v>0</v>
      </c>
      <c r="U8" s="8">
        <v>0</v>
      </c>
      <c r="V8" s="12">
        <v>1</v>
      </c>
      <c r="W8" s="3">
        <v>0</v>
      </c>
      <c r="X8" s="155">
        <v>0</v>
      </c>
    </row>
    <row r="9" spans="1:24" ht="15.75" customHeight="1">
      <c r="C9" t="s">
        <v>10</v>
      </c>
      <c r="D9">
        <f>C6/D6</f>
        <v>5.5</v>
      </c>
      <c r="G9" t="s">
        <v>12</v>
      </c>
      <c r="I9" s="270"/>
      <c r="J9" s="274"/>
      <c r="K9" s="6">
        <v>6</v>
      </c>
      <c r="L9" s="3">
        <v>0</v>
      </c>
      <c r="M9" s="3">
        <v>-4.5</v>
      </c>
      <c r="N9" s="3">
        <v>-20</v>
      </c>
      <c r="O9" s="3">
        <v>0</v>
      </c>
      <c r="P9" s="3">
        <v>0</v>
      </c>
      <c r="Q9" s="3">
        <v>-3</v>
      </c>
      <c r="R9" s="3">
        <v>0</v>
      </c>
      <c r="S9" s="3">
        <v>0</v>
      </c>
      <c r="T9" s="3">
        <v>26.5</v>
      </c>
      <c r="U9" s="8">
        <v>0</v>
      </c>
      <c r="V9" s="12">
        <v>1</v>
      </c>
      <c r="W9" s="3">
        <v>0</v>
      </c>
      <c r="X9" s="155">
        <v>0</v>
      </c>
    </row>
    <row r="10" spans="1:24" ht="15" customHeight="1">
      <c r="I10" s="270"/>
      <c r="J10" s="275" t="s">
        <v>77</v>
      </c>
      <c r="K10" s="6">
        <v>7</v>
      </c>
      <c r="L10" s="3">
        <v>0</v>
      </c>
      <c r="M10" s="3">
        <v>-9</v>
      </c>
      <c r="N10" s="3">
        <v>0</v>
      </c>
      <c r="O10" s="3">
        <v>8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8">
        <v>0</v>
      </c>
      <c r="V10" s="12">
        <v>1</v>
      </c>
      <c r="W10" s="3">
        <v>0</v>
      </c>
      <c r="X10" s="155">
        <v>0</v>
      </c>
    </row>
    <row r="11" spans="1:24" ht="18" customHeight="1" thickBot="1">
      <c r="A11" s="282" t="s">
        <v>13</v>
      </c>
      <c r="B11" s="282"/>
      <c r="C11" s="282"/>
      <c r="D11" s="282"/>
      <c r="E11" s="282"/>
      <c r="F11" s="282"/>
      <c r="G11" s="282"/>
      <c r="I11" s="271"/>
      <c r="J11" s="274"/>
      <c r="K11" s="6">
        <v>8</v>
      </c>
      <c r="L11" s="3">
        <v>0</v>
      </c>
      <c r="M11" s="3">
        <v>-18</v>
      </c>
      <c r="N11" s="3">
        <v>40</v>
      </c>
      <c r="O11" s="3">
        <v>0</v>
      </c>
      <c r="P11" s="3">
        <v>0</v>
      </c>
      <c r="Q11" s="3">
        <v>0</v>
      </c>
      <c r="R11" s="3">
        <v>-58</v>
      </c>
      <c r="S11" s="3">
        <v>0</v>
      </c>
      <c r="T11" s="3">
        <v>0</v>
      </c>
      <c r="U11" s="8">
        <v>35</v>
      </c>
      <c r="V11" s="12">
        <v>1</v>
      </c>
      <c r="W11" s="3">
        <v>0</v>
      </c>
      <c r="X11" s="155">
        <v>0</v>
      </c>
    </row>
    <row r="12" spans="1:24" ht="16" thickTop="1">
      <c r="A12" t="s">
        <v>14</v>
      </c>
      <c r="B12" t="s">
        <v>15</v>
      </c>
      <c r="C12" t="s">
        <v>16</v>
      </c>
      <c r="D12" t="s">
        <v>17</v>
      </c>
      <c r="E12" t="s">
        <v>4</v>
      </c>
      <c r="I12" s="151" t="s">
        <v>73</v>
      </c>
      <c r="J12" s="5" t="s">
        <v>78</v>
      </c>
      <c r="K12" s="6">
        <v>9</v>
      </c>
      <c r="L12" s="5">
        <v>0</v>
      </c>
      <c r="M12" s="5">
        <v>1.27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-1.97</v>
      </c>
      <c r="T12" s="5">
        <v>0</v>
      </c>
      <c r="U12" s="9">
        <v>0</v>
      </c>
      <c r="V12" s="13">
        <v>-0.28999999999999998</v>
      </c>
      <c r="W12" s="5">
        <v>1</v>
      </c>
      <c r="X12" s="156">
        <v>0</v>
      </c>
    </row>
    <row r="13" spans="1:24" ht="15" customHeight="1">
      <c r="A13">
        <v>2</v>
      </c>
      <c r="B13">
        <v>1</v>
      </c>
      <c r="C13">
        <v>1</v>
      </c>
      <c r="D13">
        <v>1</v>
      </c>
      <c r="E13">
        <v>4</v>
      </c>
      <c r="G13" t="s">
        <v>5</v>
      </c>
      <c r="I13" s="276" t="s">
        <v>68</v>
      </c>
      <c r="J13" s="278" t="s">
        <v>79</v>
      </c>
      <c r="K13" s="6">
        <v>10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-0.875</v>
      </c>
      <c r="T13" s="4">
        <v>0</v>
      </c>
      <c r="U13" s="10">
        <v>0</v>
      </c>
      <c r="V13" s="14">
        <v>-0.125</v>
      </c>
      <c r="W13" s="4">
        <v>0</v>
      </c>
      <c r="X13" s="157">
        <v>1</v>
      </c>
    </row>
    <row r="14" spans="1:24" ht="15.75" customHeight="1" thickBot="1">
      <c r="A14">
        <v>40</v>
      </c>
      <c r="B14">
        <v>16</v>
      </c>
      <c r="C14">
        <v>18</v>
      </c>
      <c r="D14">
        <v>106</v>
      </c>
      <c r="E14">
        <v>2</v>
      </c>
      <c r="G14" t="s">
        <v>6</v>
      </c>
      <c r="I14" s="277"/>
      <c r="J14" s="279"/>
      <c r="K14" s="7">
        <v>11</v>
      </c>
      <c r="L14" s="4">
        <v>0</v>
      </c>
      <c r="M14" s="4">
        <v>0.5625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-1.375</v>
      </c>
      <c r="T14" s="4">
        <v>0</v>
      </c>
      <c r="U14" s="10">
        <v>0</v>
      </c>
      <c r="V14" s="15">
        <v>-0.1875</v>
      </c>
      <c r="W14" s="16">
        <v>0</v>
      </c>
      <c r="X14" s="158">
        <v>1</v>
      </c>
    </row>
    <row r="15" spans="1:24" ht="16" thickTop="1">
      <c r="A15">
        <f>A13*A14</f>
        <v>80</v>
      </c>
      <c r="B15">
        <f>B13*B14</f>
        <v>16</v>
      </c>
      <c r="C15">
        <f>C13*C14</f>
        <v>18</v>
      </c>
      <c r="D15">
        <f>D13*D14</f>
        <v>106</v>
      </c>
      <c r="E15">
        <f>E13*E14</f>
        <v>8</v>
      </c>
      <c r="G15" t="s">
        <v>7</v>
      </c>
      <c r="I15" s="152"/>
      <c r="J15" s="24"/>
      <c r="K15" s="24" t="s">
        <v>83</v>
      </c>
      <c r="L15" s="24">
        <v>0.12</v>
      </c>
      <c r="M15" s="24">
        <v>6.0000000000000002E-5</v>
      </c>
      <c r="N15" s="24">
        <v>0.15</v>
      </c>
      <c r="O15" s="24">
        <v>2.1999999999999999E-2</v>
      </c>
      <c r="P15" s="24">
        <v>3.5000000000000003E-2</v>
      </c>
      <c r="Q15" s="24">
        <v>0.03</v>
      </c>
      <c r="R15" s="24">
        <v>0.05</v>
      </c>
      <c r="S15" s="24">
        <v>2.5000000000000001E-2</v>
      </c>
      <c r="T15" s="24">
        <v>0.2</v>
      </c>
      <c r="U15" s="24">
        <v>0.34</v>
      </c>
      <c r="V15" s="24">
        <v>5</v>
      </c>
      <c r="W15" s="24">
        <v>1.22</v>
      </c>
      <c r="X15" s="52">
        <v>0.432</v>
      </c>
    </row>
    <row r="16" spans="1:24">
      <c r="A16" t="s">
        <v>20</v>
      </c>
      <c r="C16" t="s">
        <v>18</v>
      </c>
      <c r="D16">
        <f>A15/E15</f>
        <v>10</v>
      </c>
      <c r="G16" t="s">
        <v>11</v>
      </c>
      <c r="I16" s="45"/>
      <c r="J16" s="46"/>
      <c r="K16" s="46" t="s">
        <v>101</v>
      </c>
      <c r="L16" s="46">
        <v>7.1400000000000001E-4</v>
      </c>
      <c r="M16" s="46">
        <v>0.998</v>
      </c>
      <c r="N16" s="46">
        <v>2.13</v>
      </c>
      <c r="O16" s="46">
        <v>1.4300000000000001E-3</v>
      </c>
      <c r="P16" s="46">
        <v>1.97E-3</v>
      </c>
      <c r="Q16" s="46">
        <v>2.2669999999999999</v>
      </c>
      <c r="R16" s="46">
        <v>2.165</v>
      </c>
      <c r="S16" s="46">
        <v>1.145E-3</v>
      </c>
      <c r="T16" s="46">
        <v>2.54</v>
      </c>
      <c r="U16" s="46">
        <v>3.2000000000000002E-3</v>
      </c>
      <c r="V16" s="46">
        <v>9.0000000000000006E-5</v>
      </c>
      <c r="W16" s="46">
        <v>0.749</v>
      </c>
      <c r="X16" s="144">
        <v>0.79200000000000004</v>
      </c>
    </row>
    <row r="17" spans="1:7">
      <c r="C17" t="s">
        <v>8</v>
      </c>
      <c r="D17">
        <f>B15/E15</f>
        <v>2</v>
      </c>
      <c r="G17" t="s">
        <v>11</v>
      </c>
    </row>
    <row r="18" spans="1:7">
      <c r="C18" t="s">
        <v>9</v>
      </c>
      <c r="D18">
        <f>C15/E15</f>
        <v>2.25</v>
      </c>
      <c r="G18" t="s">
        <v>11</v>
      </c>
    </row>
    <row r="19" spans="1:7">
      <c r="C19" t="s">
        <v>19</v>
      </c>
      <c r="D19">
        <f>D15/E15</f>
        <v>13.25</v>
      </c>
      <c r="G19" t="s">
        <v>12</v>
      </c>
    </row>
    <row r="21" spans="1:7" ht="18" thickBot="1">
      <c r="A21" s="282" t="s">
        <v>21</v>
      </c>
      <c r="B21" s="282"/>
      <c r="C21" s="282"/>
      <c r="D21" s="282"/>
      <c r="E21" s="282"/>
      <c r="F21" s="282"/>
      <c r="G21" s="282"/>
    </row>
    <row r="22" spans="1:7" ht="16" thickTop="1">
      <c r="A22" t="s">
        <v>22</v>
      </c>
      <c r="B22" t="s">
        <v>23</v>
      </c>
      <c r="C22" t="s">
        <v>24</v>
      </c>
      <c r="D22" t="s">
        <v>25</v>
      </c>
      <c r="E22" t="s">
        <v>26</v>
      </c>
      <c r="F22" t="s">
        <v>9</v>
      </c>
    </row>
    <row r="23" spans="1:7">
      <c r="A23">
        <v>2</v>
      </c>
      <c r="B23">
        <v>1</v>
      </c>
      <c r="C23">
        <v>1</v>
      </c>
      <c r="D23">
        <v>3</v>
      </c>
      <c r="E23">
        <v>3</v>
      </c>
      <c r="F23">
        <v>1</v>
      </c>
      <c r="G23" t="s">
        <v>5</v>
      </c>
    </row>
    <row r="24" spans="1:7">
      <c r="A24">
        <v>16</v>
      </c>
      <c r="B24">
        <v>32</v>
      </c>
      <c r="C24">
        <v>44</v>
      </c>
      <c r="D24">
        <v>2</v>
      </c>
      <c r="E24">
        <v>28</v>
      </c>
      <c r="F24">
        <v>18</v>
      </c>
      <c r="G24" t="s">
        <v>6</v>
      </c>
    </row>
    <row r="25" spans="1:7">
      <c r="A25">
        <f t="shared" ref="A25:F25" si="0">A24*A23</f>
        <v>32</v>
      </c>
      <c r="B25">
        <f t="shared" si="0"/>
        <v>32</v>
      </c>
      <c r="C25">
        <f t="shared" si="0"/>
        <v>44</v>
      </c>
      <c r="D25">
        <f t="shared" si="0"/>
        <v>6</v>
      </c>
      <c r="E25">
        <f t="shared" si="0"/>
        <v>84</v>
      </c>
      <c r="F25">
        <f t="shared" si="0"/>
        <v>18</v>
      </c>
      <c r="G25" t="s">
        <v>7</v>
      </c>
    </row>
    <row r="27" spans="1:7">
      <c r="A27" t="s">
        <v>20</v>
      </c>
      <c r="C27" t="s">
        <v>27</v>
      </c>
      <c r="D27">
        <f>$B$25/$D$25</f>
        <v>5.333333333333333</v>
      </c>
      <c r="G27" t="s">
        <v>11</v>
      </c>
    </row>
    <row r="28" spans="1:7">
      <c r="C28" t="s">
        <v>8</v>
      </c>
      <c r="D28">
        <f>A25/D25</f>
        <v>5.333333333333333</v>
      </c>
      <c r="G28" t="s">
        <v>11</v>
      </c>
    </row>
    <row r="29" spans="1:7">
      <c r="C29" t="s">
        <v>28</v>
      </c>
      <c r="D29">
        <f>C25/D25</f>
        <v>7.333333333333333</v>
      </c>
      <c r="G29" t="s">
        <v>11</v>
      </c>
    </row>
    <row r="30" spans="1:7">
      <c r="C30" t="s">
        <v>29</v>
      </c>
      <c r="D30">
        <f>E25/D25</f>
        <v>14</v>
      </c>
      <c r="G30" t="s">
        <v>12</v>
      </c>
    </row>
    <row r="31" spans="1:7">
      <c r="C31" t="s">
        <v>63</v>
      </c>
      <c r="D31">
        <f>F25/D25</f>
        <v>3</v>
      </c>
      <c r="G31" t="s">
        <v>12</v>
      </c>
    </row>
    <row r="34" spans="1:7">
      <c r="A34" t="s">
        <v>30</v>
      </c>
      <c r="B34" t="s">
        <v>31</v>
      </c>
      <c r="C34" t="s">
        <v>32</v>
      </c>
      <c r="D34" t="s">
        <v>33</v>
      </c>
      <c r="E34" t="s">
        <v>34</v>
      </c>
    </row>
    <row r="35" spans="1:7">
      <c r="A35">
        <v>4</v>
      </c>
      <c r="B35">
        <v>1</v>
      </c>
      <c r="C35">
        <v>2</v>
      </c>
      <c r="D35">
        <v>10</v>
      </c>
      <c r="E35">
        <v>4</v>
      </c>
      <c r="G35" t="s">
        <v>5</v>
      </c>
    </row>
    <row r="36" spans="1:7">
      <c r="A36">
        <v>16</v>
      </c>
      <c r="B36">
        <v>32</v>
      </c>
      <c r="C36">
        <v>18</v>
      </c>
      <c r="D36">
        <v>2</v>
      </c>
      <c r="E36">
        <v>28</v>
      </c>
      <c r="G36" t="s">
        <v>6</v>
      </c>
    </row>
    <row r="37" spans="1:7">
      <c r="A37">
        <f>A36*A35</f>
        <v>64</v>
      </c>
      <c r="B37">
        <f>B36*B35</f>
        <v>32</v>
      </c>
      <c r="C37">
        <f>C36*C35</f>
        <v>36</v>
      </c>
      <c r="D37">
        <f>D36*D35</f>
        <v>20</v>
      </c>
      <c r="E37">
        <f>E36*E35</f>
        <v>112</v>
      </c>
      <c r="G37" t="s">
        <v>7</v>
      </c>
    </row>
    <row r="39" spans="1:7">
      <c r="A39" t="s">
        <v>20</v>
      </c>
      <c r="C39" t="s">
        <v>27</v>
      </c>
      <c r="D39">
        <f>B37/D37</f>
        <v>1.6</v>
      </c>
      <c r="G39" t="s">
        <v>11</v>
      </c>
    </row>
    <row r="40" spans="1:7">
      <c r="C40" t="s">
        <v>8</v>
      </c>
      <c r="D40">
        <f>A37/D37</f>
        <v>3.2</v>
      </c>
      <c r="G40" t="s">
        <v>11</v>
      </c>
    </row>
    <row r="41" spans="1:7">
      <c r="C41" t="s">
        <v>63</v>
      </c>
      <c r="D41">
        <f>C37/D37</f>
        <v>1.8</v>
      </c>
      <c r="G41" t="s">
        <v>11</v>
      </c>
    </row>
    <row r="42" spans="1:7">
      <c r="C42" t="s">
        <v>29</v>
      </c>
      <c r="D42">
        <f>E37/D37</f>
        <v>5.6</v>
      </c>
      <c r="G42" t="s">
        <v>12</v>
      </c>
    </row>
    <row r="44" spans="1:7" ht="18" thickBot="1">
      <c r="A44" s="282" t="s">
        <v>35</v>
      </c>
      <c r="B44" s="282"/>
      <c r="C44" s="282"/>
      <c r="D44" s="282"/>
      <c r="E44" s="282"/>
      <c r="F44" s="282"/>
      <c r="G44" s="282"/>
    </row>
    <row r="45" spans="1:7" ht="16" thickTop="1">
      <c r="A45" t="s">
        <v>36</v>
      </c>
      <c r="B45" t="s">
        <v>37</v>
      </c>
      <c r="C45" t="s">
        <v>38</v>
      </c>
      <c r="D45" t="s">
        <v>39</v>
      </c>
      <c r="E45" t="s">
        <v>40</v>
      </c>
    </row>
    <row r="46" spans="1:7">
      <c r="A46">
        <v>2</v>
      </c>
      <c r="B46">
        <v>3</v>
      </c>
      <c r="C46">
        <v>1</v>
      </c>
      <c r="D46">
        <v>1</v>
      </c>
      <c r="E46">
        <v>3</v>
      </c>
      <c r="G46" t="s">
        <v>5</v>
      </c>
    </row>
    <row r="47" spans="1:7">
      <c r="A47">
        <v>12</v>
      </c>
      <c r="B47">
        <v>18</v>
      </c>
      <c r="C47">
        <v>28</v>
      </c>
      <c r="D47">
        <v>44</v>
      </c>
      <c r="E47">
        <v>2</v>
      </c>
      <c r="G47" t="s">
        <v>6</v>
      </c>
    </row>
    <row r="48" spans="1:7">
      <c r="A48">
        <f>A47*A46</f>
        <v>24</v>
      </c>
      <c r="B48">
        <f>B47*B46</f>
        <v>54</v>
      </c>
      <c r="C48">
        <f>C47*C46</f>
        <v>28</v>
      </c>
      <c r="D48">
        <f>D47*D46</f>
        <v>44</v>
      </c>
      <c r="E48">
        <f>E47*E46</f>
        <v>6</v>
      </c>
      <c r="G48" t="s">
        <v>7</v>
      </c>
    </row>
    <row r="50" spans="1:7">
      <c r="A50" t="s">
        <v>20</v>
      </c>
      <c r="C50" t="s">
        <v>41</v>
      </c>
      <c r="D50">
        <f>A48/E48</f>
        <v>4</v>
      </c>
      <c r="G50" t="s">
        <v>11</v>
      </c>
    </row>
    <row r="51" spans="1:7">
      <c r="C51" t="s">
        <v>63</v>
      </c>
      <c r="D51">
        <f>B48/E48</f>
        <v>9</v>
      </c>
      <c r="G51" t="s">
        <v>11</v>
      </c>
    </row>
    <row r="52" spans="1:7">
      <c r="C52" t="s">
        <v>28</v>
      </c>
      <c r="D52">
        <f>D48/E48</f>
        <v>7.333333333333333</v>
      </c>
      <c r="G52" t="s">
        <v>12</v>
      </c>
    </row>
    <row r="53" spans="1:7">
      <c r="C53" t="s">
        <v>29</v>
      </c>
      <c r="D53">
        <f>C48/E48</f>
        <v>4.666666666666667</v>
      </c>
      <c r="G53" t="s">
        <v>12</v>
      </c>
    </row>
    <row r="55" spans="1:7" ht="18" thickBot="1">
      <c r="A55" s="282" t="s">
        <v>42</v>
      </c>
      <c r="B55" s="282"/>
      <c r="C55" s="282"/>
      <c r="D55" s="282"/>
      <c r="E55" s="282"/>
      <c r="F55" s="282"/>
      <c r="G55" s="282"/>
    </row>
    <row r="56" spans="1:7" ht="16" thickTop="1">
      <c r="A56" t="s">
        <v>14</v>
      </c>
      <c r="B56" t="s">
        <v>43</v>
      </c>
      <c r="C56" t="s">
        <v>44</v>
      </c>
      <c r="D56" t="s">
        <v>45</v>
      </c>
      <c r="E56" t="s">
        <v>46</v>
      </c>
    </row>
    <row r="57" spans="1:7">
      <c r="A57">
        <v>2</v>
      </c>
      <c r="B57">
        <v>1</v>
      </c>
      <c r="C57">
        <v>1</v>
      </c>
      <c r="D57">
        <v>1</v>
      </c>
      <c r="E57">
        <v>2</v>
      </c>
      <c r="G57" t="s">
        <v>5</v>
      </c>
    </row>
    <row r="58" spans="1:7">
      <c r="A58">
        <v>40</v>
      </c>
      <c r="B58">
        <v>12</v>
      </c>
      <c r="C58">
        <v>18</v>
      </c>
      <c r="D58">
        <v>106</v>
      </c>
      <c r="E58">
        <v>2</v>
      </c>
      <c r="G58" t="s">
        <v>6</v>
      </c>
    </row>
    <row r="59" spans="1:7">
      <c r="A59">
        <f>A58*A57</f>
        <v>80</v>
      </c>
      <c r="B59">
        <f>B58*B57</f>
        <v>12</v>
      </c>
      <c r="C59">
        <f>C58*C57</f>
        <v>18</v>
      </c>
      <c r="D59">
        <f>D58*D57</f>
        <v>106</v>
      </c>
      <c r="E59">
        <f>E58*E57</f>
        <v>4</v>
      </c>
      <c r="G59" t="s">
        <v>7</v>
      </c>
    </row>
    <row r="61" spans="1:7">
      <c r="A61" t="s">
        <v>20</v>
      </c>
      <c r="C61" t="s">
        <v>18</v>
      </c>
      <c r="D61">
        <f>A59/E59</f>
        <v>20</v>
      </c>
      <c r="G61" t="s">
        <v>11</v>
      </c>
    </row>
    <row r="62" spans="1:7">
      <c r="C62" t="s">
        <v>41</v>
      </c>
      <c r="D62">
        <f>B59/E59</f>
        <v>3</v>
      </c>
      <c r="G62" t="s">
        <v>11</v>
      </c>
    </row>
    <row r="63" spans="1:7">
      <c r="C63" t="s">
        <v>63</v>
      </c>
      <c r="D63">
        <f>C59/E59</f>
        <v>4.5</v>
      </c>
      <c r="G63" t="s">
        <v>11</v>
      </c>
    </row>
    <row r="64" spans="1:7">
      <c r="C64" t="s">
        <v>19</v>
      </c>
      <c r="D64">
        <f>D59/E59</f>
        <v>26.5</v>
      </c>
      <c r="G64" t="s">
        <v>12</v>
      </c>
    </row>
    <row r="67" spans="1:7" ht="18" thickBot="1">
      <c r="A67" s="282" t="s">
        <v>47</v>
      </c>
      <c r="B67" s="282"/>
      <c r="C67" s="282"/>
      <c r="D67" s="282"/>
      <c r="E67" s="282"/>
      <c r="F67" s="282"/>
      <c r="G67" s="282"/>
    </row>
    <row r="68" spans="1:7" ht="16" thickTop="1">
      <c r="A68" t="s">
        <v>48</v>
      </c>
      <c r="B68" t="s">
        <v>49</v>
      </c>
      <c r="C68" t="s">
        <v>27</v>
      </c>
    </row>
    <row r="69" spans="1:7">
      <c r="A69">
        <v>2</v>
      </c>
      <c r="B69">
        <v>2</v>
      </c>
      <c r="C69">
        <v>1</v>
      </c>
      <c r="G69" t="s">
        <v>5</v>
      </c>
    </row>
    <row r="70" spans="1:7">
      <c r="A70">
        <v>18</v>
      </c>
      <c r="B70">
        <v>2</v>
      </c>
      <c r="C70">
        <v>32</v>
      </c>
      <c r="G70" t="s">
        <v>6</v>
      </c>
    </row>
    <row r="71" spans="1:7">
      <c r="A71">
        <f>A70*A69</f>
        <v>36</v>
      </c>
      <c r="B71">
        <f>B70*B69</f>
        <v>4</v>
      </c>
      <c r="C71">
        <f>C70*C69</f>
        <v>32</v>
      </c>
      <c r="G71" t="s">
        <v>7</v>
      </c>
    </row>
    <row r="73" spans="1:7">
      <c r="A73" t="s">
        <v>20</v>
      </c>
      <c r="C73" t="s">
        <v>63</v>
      </c>
      <c r="D73">
        <f>A71/B71</f>
        <v>9</v>
      </c>
      <c r="G73" t="s">
        <v>11</v>
      </c>
    </row>
    <row r="74" spans="1:7">
      <c r="C74" t="s">
        <v>27</v>
      </c>
      <c r="D74">
        <f>C71/B71</f>
        <v>8</v>
      </c>
      <c r="G74" t="s">
        <v>12</v>
      </c>
    </row>
    <row r="76" spans="1:7" ht="18" thickBot="1">
      <c r="A76" s="282" t="s">
        <v>50</v>
      </c>
      <c r="B76" s="282"/>
      <c r="C76" s="282"/>
      <c r="D76" s="282"/>
      <c r="E76" s="282"/>
      <c r="F76" s="282"/>
      <c r="G76" s="282"/>
    </row>
    <row r="77" spans="1:7" ht="16" thickTop="1">
      <c r="A77" t="s">
        <v>51</v>
      </c>
      <c r="B77" t="s">
        <v>32</v>
      </c>
      <c r="C77" t="s">
        <v>52</v>
      </c>
      <c r="D77" t="s">
        <v>54</v>
      </c>
      <c r="E77" t="s">
        <v>55</v>
      </c>
    </row>
    <row r="78" spans="1:7">
      <c r="A78">
        <v>2</v>
      </c>
      <c r="B78">
        <v>2</v>
      </c>
      <c r="C78">
        <v>2</v>
      </c>
      <c r="D78">
        <v>1</v>
      </c>
      <c r="E78">
        <v>1</v>
      </c>
      <c r="G78" t="s">
        <v>5</v>
      </c>
    </row>
    <row r="79" spans="1:7">
      <c r="A79">
        <v>58</v>
      </c>
      <c r="B79">
        <v>18</v>
      </c>
      <c r="C79">
        <v>40</v>
      </c>
      <c r="D79">
        <v>70</v>
      </c>
      <c r="E79">
        <v>2</v>
      </c>
      <c r="G79" t="s">
        <v>6</v>
      </c>
    </row>
    <row r="80" spans="1:7">
      <c r="A80">
        <f>A79*A78</f>
        <v>116</v>
      </c>
      <c r="B80">
        <f>B79*B78</f>
        <v>36</v>
      </c>
      <c r="C80">
        <f>C79*C78</f>
        <v>80</v>
      </c>
      <c r="D80">
        <f>D79*D78</f>
        <v>70</v>
      </c>
      <c r="E80">
        <f>E79*E78</f>
        <v>2</v>
      </c>
      <c r="G80" t="s">
        <v>7</v>
      </c>
    </row>
    <row r="82" spans="1:7">
      <c r="A82" t="s">
        <v>20</v>
      </c>
      <c r="C82" t="s">
        <v>56</v>
      </c>
      <c r="D82">
        <f>A80/E80</f>
        <v>58</v>
      </c>
      <c r="G82" t="s">
        <v>11</v>
      </c>
    </row>
    <row r="83" spans="1:7">
      <c r="C83" t="s">
        <v>63</v>
      </c>
      <c r="D83">
        <f>B80/E80</f>
        <v>18</v>
      </c>
      <c r="G83" t="s">
        <v>11</v>
      </c>
    </row>
    <row r="84" spans="1:7">
      <c r="C84" t="s">
        <v>18</v>
      </c>
      <c r="D84">
        <f>C80/E80</f>
        <v>40</v>
      </c>
      <c r="G84" t="s">
        <v>12</v>
      </c>
    </row>
    <row r="85" spans="1:7">
      <c r="C85" t="s">
        <v>53</v>
      </c>
      <c r="D85">
        <f>D80/E80</f>
        <v>35</v>
      </c>
      <c r="G85" t="s">
        <v>12</v>
      </c>
    </row>
    <row r="87" spans="1:7" ht="21" thickBot="1">
      <c r="A87" s="283" t="s">
        <v>57</v>
      </c>
      <c r="B87" s="283"/>
      <c r="C87" s="283"/>
      <c r="D87" s="283"/>
      <c r="E87" s="283"/>
      <c r="F87" s="283"/>
      <c r="G87" s="283"/>
    </row>
    <row r="88" spans="1:7" ht="16" thickTop="1">
      <c r="A88" t="s">
        <v>60</v>
      </c>
      <c r="B88" t="s">
        <v>61</v>
      </c>
      <c r="C88" t="s">
        <v>58</v>
      </c>
      <c r="D88" t="s">
        <v>59</v>
      </c>
    </row>
    <row r="89" spans="1:7">
      <c r="A89">
        <v>25</v>
      </c>
      <c r="B89">
        <v>12</v>
      </c>
      <c r="C89">
        <v>1</v>
      </c>
      <c r="D89">
        <v>12</v>
      </c>
      <c r="G89" t="s">
        <v>5</v>
      </c>
    </row>
    <row r="90" spans="1:7">
      <c r="A90">
        <v>2</v>
      </c>
      <c r="B90">
        <v>28</v>
      </c>
      <c r="C90">
        <v>170</v>
      </c>
      <c r="D90">
        <v>18</v>
      </c>
      <c r="G90" t="s">
        <v>6</v>
      </c>
    </row>
    <row r="91" spans="1:7">
      <c r="A91">
        <f>A90*A89</f>
        <v>50</v>
      </c>
      <c r="B91">
        <f>B90*B89</f>
        <v>336</v>
      </c>
      <c r="C91">
        <f>C90*C89</f>
        <v>170</v>
      </c>
      <c r="D91">
        <f>D90*D89</f>
        <v>216</v>
      </c>
      <c r="G91" t="s">
        <v>7</v>
      </c>
    </row>
    <row r="93" spans="1:7">
      <c r="A93" t="s">
        <v>62</v>
      </c>
      <c r="C93" t="s">
        <v>55</v>
      </c>
      <c r="D93">
        <f>A91/C91</f>
        <v>0.29411764705882354</v>
      </c>
      <c r="G93" t="s">
        <v>11</v>
      </c>
    </row>
    <row r="94" spans="1:7">
      <c r="C94" t="s">
        <v>29</v>
      </c>
      <c r="D94">
        <f>B91/C91</f>
        <v>1.9764705882352942</v>
      </c>
      <c r="G94" t="s">
        <v>11</v>
      </c>
    </row>
    <row r="95" spans="1:7">
      <c r="C95" t="s">
        <v>63</v>
      </c>
      <c r="D95">
        <f>D91/C91</f>
        <v>1.2705882352941176</v>
      </c>
      <c r="G95" t="s">
        <v>12</v>
      </c>
    </row>
    <row r="97" spans="1:7" ht="21" thickBot="1">
      <c r="A97" s="283" t="s">
        <v>64</v>
      </c>
      <c r="B97" s="283"/>
      <c r="C97" s="283"/>
      <c r="D97" s="283"/>
      <c r="E97" s="283"/>
      <c r="F97" s="283"/>
      <c r="G97" s="283"/>
    </row>
    <row r="98" spans="1:7" ht="16" thickTop="1">
      <c r="A98" t="s">
        <v>66</v>
      </c>
      <c r="B98" t="s">
        <v>67</v>
      </c>
      <c r="C98" t="s">
        <v>68</v>
      </c>
    </row>
    <row r="99" spans="1:7">
      <c r="A99">
        <v>1</v>
      </c>
      <c r="B99">
        <v>2</v>
      </c>
      <c r="C99">
        <v>1</v>
      </c>
      <c r="G99" t="s">
        <v>5</v>
      </c>
    </row>
    <row r="100" spans="1:7">
      <c r="A100">
        <v>28</v>
      </c>
      <c r="B100">
        <v>2</v>
      </c>
      <c r="C100">
        <v>32</v>
      </c>
      <c r="G100" t="s">
        <v>6</v>
      </c>
    </row>
    <row r="101" spans="1:7">
      <c r="A101">
        <f>A100*A99</f>
        <v>28</v>
      </c>
      <c r="B101">
        <f>B100*B99</f>
        <v>4</v>
      </c>
      <c r="C101">
        <f>C100*C99</f>
        <v>32</v>
      </c>
      <c r="G101" t="s">
        <v>7</v>
      </c>
    </row>
    <row r="103" spans="1:7">
      <c r="A103" t="s">
        <v>69</v>
      </c>
      <c r="C103" t="s">
        <v>55</v>
      </c>
      <c r="D103">
        <f>B101/C101</f>
        <v>0.125</v>
      </c>
      <c r="G103" t="s">
        <v>11</v>
      </c>
    </row>
    <row r="104" spans="1:7">
      <c r="C104" t="s">
        <v>29</v>
      </c>
      <c r="D104">
        <f>A101/C101</f>
        <v>0.875</v>
      </c>
      <c r="G104" t="s">
        <v>11</v>
      </c>
    </row>
    <row r="108" spans="1:7">
      <c r="A108" t="s">
        <v>70</v>
      </c>
      <c r="B108" t="s">
        <v>71</v>
      </c>
      <c r="C108" t="s">
        <v>72</v>
      </c>
      <c r="D108" t="s">
        <v>9</v>
      </c>
    </row>
    <row r="109" spans="1:7">
      <c r="A109">
        <v>1</v>
      </c>
      <c r="B109">
        <v>3</v>
      </c>
      <c r="C109">
        <v>1</v>
      </c>
      <c r="D109">
        <v>1</v>
      </c>
      <c r="G109" t="s">
        <v>5</v>
      </c>
    </row>
    <row r="110" spans="1:7">
      <c r="A110">
        <v>44</v>
      </c>
      <c r="B110">
        <v>2</v>
      </c>
      <c r="C110">
        <v>32</v>
      </c>
      <c r="D110">
        <v>18</v>
      </c>
      <c r="G110" t="s">
        <v>6</v>
      </c>
    </row>
    <row r="111" spans="1:7">
      <c r="A111">
        <f>A110*A109</f>
        <v>44</v>
      </c>
      <c r="B111">
        <f>B110*B109</f>
        <v>6</v>
      </c>
      <c r="C111">
        <f>C110*C109</f>
        <v>32</v>
      </c>
      <c r="D111">
        <f>D110*D109</f>
        <v>18</v>
      </c>
      <c r="G111" t="s">
        <v>7</v>
      </c>
    </row>
    <row r="113" spans="1:7">
      <c r="A113" t="s">
        <v>69</v>
      </c>
      <c r="C113" t="s">
        <v>55</v>
      </c>
      <c r="D113">
        <f>B111/C111</f>
        <v>0.1875</v>
      </c>
      <c r="G113" t="s">
        <v>11</v>
      </c>
    </row>
    <row r="114" spans="1:7">
      <c r="C114" t="s">
        <v>28</v>
      </c>
      <c r="D114">
        <f>A111/C111</f>
        <v>1.375</v>
      </c>
      <c r="G114" t="s">
        <v>11</v>
      </c>
    </row>
    <row r="115" spans="1:7">
      <c r="C115" t="s">
        <v>63</v>
      </c>
      <c r="D115">
        <f>D111/C111</f>
        <v>0.5625</v>
      </c>
      <c r="G115" t="s">
        <v>12</v>
      </c>
    </row>
  </sheetData>
  <mergeCells count="19">
    <mergeCell ref="A87:G87"/>
    <mergeCell ref="A97:G97"/>
    <mergeCell ref="A1:G1"/>
    <mergeCell ref="A2:G2"/>
    <mergeCell ref="A11:G11"/>
    <mergeCell ref="A21:G21"/>
    <mergeCell ref="A44:G44"/>
    <mergeCell ref="A55:G55"/>
    <mergeCell ref="I13:I14"/>
    <mergeCell ref="J13:J14"/>
    <mergeCell ref="I3:J3"/>
    <mergeCell ref="A67:G67"/>
    <mergeCell ref="A76:G76"/>
    <mergeCell ref="I1:X1"/>
    <mergeCell ref="I2:J2"/>
    <mergeCell ref="I4:I11"/>
    <mergeCell ref="J4:J7"/>
    <mergeCell ref="J8:J9"/>
    <mergeCell ref="J10:J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4"/>
  <sheetViews>
    <sheetView topLeftCell="A59" workbookViewId="0">
      <pane xSplit="1" topLeftCell="B1" activePane="topRight" state="frozen"/>
      <selection pane="topRight" activeCell="F37" sqref="F37"/>
    </sheetView>
  </sheetViews>
  <sheetFormatPr baseColWidth="10" defaultColWidth="8.83203125" defaultRowHeight="15"/>
  <cols>
    <col min="1" max="1" width="36.5" customWidth="1"/>
    <col min="2" max="2" width="13.83203125" customWidth="1"/>
    <col min="3" max="3" width="12.6640625" customWidth="1"/>
    <col min="4" max="4" width="13.5" customWidth="1"/>
    <col min="5" max="5" width="14.5" customWidth="1"/>
    <col min="6" max="6" width="13.6640625" customWidth="1"/>
    <col min="7" max="7" width="14.1640625" customWidth="1"/>
    <col min="8" max="8" width="14" customWidth="1"/>
    <col min="9" max="9" width="14.1640625" customWidth="1"/>
    <col min="11" max="11" width="14.5" customWidth="1"/>
    <col min="12" max="12" width="14.83203125" customWidth="1"/>
    <col min="13" max="13" width="15" customWidth="1"/>
    <col min="14" max="14" width="18.83203125" customWidth="1"/>
    <col min="15" max="15" width="14.33203125" customWidth="1"/>
    <col min="16" max="16" width="15.5" customWidth="1"/>
  </cols>
  <sheetData>
    <row r="1" spans="1:16" ht="16">
      <c r="A1" s="285" t="s">
        <v>102</v>
      </c>
      <c r="B1" s="285"/>
      <c r="C1" s="285"/>
      <c r="D1" s="285"/>
      <c r="E1" s="285"/>
      <c r="F1" s="285"/>
      <c r="G1" s="285"/>
      <c r="H1" s="285"/>
      <c r="I1" s="285"/>
      <c r="K1" s="288" t="s">
        <v>326</v>
      </c>
      <c r="L1" s="288"/>
      <c r="M1" s="288"/>
      <c r="N1" s="288"/>
      <c r="O1" s="288"/>
      <c r="P1" s="288"/>
    </row>
    <row r="2" spans="1:16">
      <c r="B2" s="285" t="s">
        <v>103</v>
      </c>
      <c r="C2" s="285"/>
      <c r="D2" s="285"/>
      <c r="E2" s="285"/>
      <c r="F2" s="285"/>
      <c r="G2" s="285"/>
      <c r="H2" s="285"/>
      <c r="I2" s="285"/>
      <c r="K2" s="289">
        <v>0.1</v>
      </c>
      <c r="L2" s="289"/>
      <c r="M2" s="289">
        <v>0.5</v>
      </c>
      <c r="N2" s="289"/>
      <c r="O2" s="289">
        <v>1</v>
      </c>
      <c r="P2" s="289"/>
    </row>
    <row r="3" spans="1:16" ht="18" customHeight="1">
      <c r="B3" s="285" t="s">
        <v>104</v>
      </c>
      <c r="C3" s="285"/>
      <c r="D3" s="285" t="s">
        <v>35</v>
      </c>
      <c r="E3" s="285"/>
      <c r="F3" s="285" t="s">
        <v>105</v>
      </c>
      <c r="G3" s="285"/>
      <c r="H3" s="287" t="s">
        <v>289</v>
      </c>
      <c r="I3" s="287"/>
      <c r="K3" s="285" t="s">
        <v>105</v>
      </c>
      <c r="L3" s="285"/>
      <c r="M3" s="285" t="s">
        <v>105</v>
      </c>
      <c r="N3" s="285"/>
      <c r="O3" s="285" t="s">
        <v>105</v>
      </c>
      <c r="P3" s="285"/>
    </row>
    <row r="4" spans="1:16">
      <c r="A4" t="s">
        <v>106</v>
      </c>
      <c r="B4" t="s">
        <v>107</v>
      </c>
      <c r="C4" t="s">
        <v>108</v>
      </c>
      <c r="D4" t="s">
        <v>107</v>
      </c>
      <c r="E4" t="s">
        <v>108</v>
      </c>
      <c r="F4" t="s">
        <v>107</v>
      </c>
      <c r="G4" t="s">
        <v>108</v>
      </c>
      <c r="H4" t="s">
        <v>107</v>
      </c>
      <c r="I4" t="s">
        <v>108</v>
      </c>
      <c r="K4" s="218" t="s">
        <v>107</v>
      </c>
      <c r="L4" s="218" t="s">
        <v>108</v>
      </c>
      <c r="M4" s="218" t="s">
        <v>107</v>
      </c>
      <c r="N4" s="218" t="s">
        <v>108</v>
      </c>
      <c r="O4" s="218" t="s">
        <v>107</v>
      </c>
      <c r="P4" s="218" t="s">
        <v>108</v>
      </c>
    </row>
    <row r="5" spans="1:16">
      <c r="A5" t="s">
        <v>290</v>
      </c>
      <c r="B5" s="170">
        <v>960000</v>
      </c>
      <c r="C5" s="170">
        <v>960000</v>
      </c>
      <c r="D5" s="170">
        <v>960000</v>
      </c>
      <c r="E5" s="170">
        <v>960000</v>
      </c>
      <c r="F5" s="170">
        <v>960000</v>
      </c>
      <c r="G5" s="170">
        <v>960000</v>
      </c>
      <c r="H5" s="170">
        <v>960000</v>
      </c>
      <c r="I5" s="170">
        <v>960000</v>
      </c>
      <c r="K5" s="170">
        <v>960000</v>
      </c>
      <c r="L5" s="170">
        <v>960000</v>
      </c>
      <c r="M5" s="170">
        <v>960000</v>
      </c>
      <c r="N5" s="170">
        <v>960000</v>
      </c>
      <c r="O5" s="170">
        <v>960000</v>
      </c>
      <c r="P5" s="170">
        <v>960000</v>
      </c>
    </row>
    <row r="6" spans="1:16">
      <c r="A6" t="s">
        <v>291</v>
      </c>
      <c r="B6" s="170">
        <v>329</v>
      </c>
      <c r="C6" s="170">
        <v>329</v>
      </c>
      <c r="D6" s="170">
        <v>329</v>
      </c>
      <c r="E6" s="170">
        <v>329</v>
      </c>
      <c r="F6" s="170">
        <v>329</v>
      </c>
      <c r="G6" s="170">
        <v>329</v>
      </c>
      <c r="H6" s="170">
        <v>329</v>
      </c>
      <c r="I6" s="170">
        <v>329</v>
      </c>
      <c r="K6" s="170">
        <v>329</v>
      </c>
      <c r="L6" s="170">
        <v>329</v>
      </c>
      <c r="M6" s="170">
        <v>329</v>
      </c>
      <c r="N6" s="170">
        <v>329</v>
      </c>
      <c r="O6" s="170">
        <v>329</v>
      </c>
      <c r="P6" s="170">
        <v>329</v>
      </c>
    </row>
    <row r="7" spans="1:16" s="215" customFormat="1">
      <c r="A7" s="215" t="s">
        <v>292</v>
      </c>
      <c r="B7" s="170">
        <f>B5*B6</f>
        <v>315840000</v>
      </c>
      <c r="C7" s="170">
        <f t="shared" ref="C7:I7" si="0">C5*C6</f>
        <v>315840000</v>
      </c>
      <c r="D7" s="170">
        <f t="shared" si="0"/>
        <v>315840000</v>
      </c>
      <c r="E7" s="170">
        <f t="shared" si="0"/>
        <v>315840000</v>
      </c>
      <c r="F7" s="170">
        <f>F5*F6</f>
        <v>315840000</v>
      </c>
      <c r="G7" s="170">
        <f t="shared" si="0"/>
        <v>315840000</v>
      </c>
      <c r="H7" s="170">
        <f t="shared" si="0"/>
        <v>315840000</v>
      </c>
      <c r="I7" s="170">
        <f t="shared" si="0"/>
        <v>315840000</v>
      </c>
      <c r="K7" s="170">
        <f t="shared" ref="K7:L7" si="1">K5*K6</f>
        <v>315840000</v>
      </c>
      <c r="L7" s="170">
        <f t="shared" si="1"/>
        <v>315840000</v>
      </c>
      <c r="M7" s="170">
        <f t="shared" ref="M7:P7" si="2">M5*M6</f>
        <v>315840000</v>
      </c>
      <c r="N7" s="170">
        <f t="shared" si="2"/>
        <v>315840000</v>
      </c>
      <c r="O7" s="170">
        <f t="shared" si="2"/>
        <v>315840000</v>
      </c>
      <c r="P7" s="170">
        <f t="shared" si="2"/>
        <v>315840000</v>
      </c>
    </row>
    <row r="8" spans="1:16" s="215" customFormat="1">
      <c r="A8" s="215" t="s">
        <v>293</v>
      </c>
      <c r="B8" s="170">
        <v>3.16</v>
      </c>
      <c r="C8" s="170">
        <v>3.16</v>
      </c>
      <c r="D8" s="170">
        <v>5.33</v>
      </c>
      <c r="E8" s="170">
        <v>5.33</v>
      </c>
      <c r="F8" s="170">
        <v>47.6</v>
      </c>
      <c r="G8" s="170">
        <v>47.6</v>
      </c>
      <c r="H8" s="170">
        <v>11.26</v>
      </c>
      <c r="I8" s="170">
        <v>11.26</v>
      </c>
      <c r="K8" s="170">
        <v>47.6</v>
      </c>
      <c r="L8" s="170">
        <v>47.6</v>
      </c>
      <c r="M8" s="170">
        <v>47.6</v>
      </c>
      <c r="N8" s="170">
        <v>47.6</v>
      </c>
      <c r="O8" s="170">
        <v>47.6</v>
      </c>
      <c r="P8" s="170">
        <v>47.6</v>
      </c>
    </row>
    <row r="9" spans="1:16" s="215" customFormat="1">
      <c r="A9" s="215" t="s">
        <v>294</v>
      </c>
      <c r="B9" s="170">
        <f>B5*B8</f>
        <v>3033600</v>
      </c>
      <c r="C9" s="170">
        <f t="shared" ref="C9:I9" si="3">C5*C8</f>
        <v>3033600</v>
      </c>
      <c r="D9" s="170">
        <f t="shared" si="3"/>
        <v>5116800</v>
      </c>
      <c r="E9" s="170">
        <f t="shared" si="3"/>
        <v>5116800</v>
      </c>
      <c r="F9" s="170">
        <f t="shared" si="3"/>
        <v>45696000</v>
      </c>
      <c r="G9" s="170">
        <f t="shared" si="3"/>
        <v>45696000</v>
      </c>
      <c r="H9" s="170">
        <f t="shared" si="3"/>
        <v>10809600</v>
      </c>
      <c r="I9" s="170">
        <f t="shared" si="3"/>
        <v>10809600</v>
      </c>
      <c r="K9" s="170">
        <f t="shared" ref="K9:L9" si="4">K5*K8</f>
        <v>45696000</v>
      </c>
      <c r="L9" s="170">
        <f t="shared" si="4"/>
        <v>45696000</v>
      </c>
      <c r="M9" s="170">
        <f t="shared" ref="M9:P9" si="5">M5*M8</f>
        <v>45696000</v>
      </c>
      <c r="N9" s="170">
        <f t="shared" si="5"/>
        <v>45696000</v>
      </c>
      <c r="O9" s="170">
        <f t="shared" si="5"/>
        <v>45696000</v>
      </c>
      <c r="P9" s="170">
        <f t="shared" si="5"/>
        <v>45696000</v>
      </c>
    </row>
    <row r="10" spans="1:16" s="216" customFormat="1">
      <c r="A10" s="216" t="s">
        <v>317</v>
      </c>
      <c r="B10" s="170">
        <v>0.14000000000000001</v>
      </c>
      <c r="C10" s="170">
        <v>0.14000000000000001</v>
      </c>
      <c r="D10" s="170">
        <v>0.03</v>
      </c>
      <c r="E10" s="170">
        <v>0.03</v>
      </c>
      <c r="F10" s="170">
        <v>7.0000000000000007E-2</v>
      </c>
      <c r="G10" s="170">
        <v>7.0000000000000007E-2</v>
      </c>
      <c r="H10" s="170">
        <v>0.05</v>
      </c>
      <c r="I10" s="170">
        <v>0.05</v>
      </c>
      <c r="K10" s="220">
        <f>0.05*(100%-K2)</f>
        <v>4.5000000000000005E-2</v>
      </c>
      <c r="L10" s="220">
        <f>0.05*(100%-K2)</f>
        <v>4.5000000000000005E-2</v>
      </c>
      <c r="M10" s="220">
        <f>0.05*(100%-M2)</f>
        <v>2.5000000000000001E-2</v>
      </c>
      <c r="N10" s="220">
        <f>0.05*(100%-M2)</f>
        <v>2.5000000000000001E-2</v>
      </c>
      <c r="O10" s="220">
        <f>0.05*(100%-O2)</f>
        <v>0</v>
      </c>
      <c r="P10" s="220">
        <f>0.05*(100%-O2)</f>
        <v>0</v>
      </c>
    </row>
    <row r="11" spans="1:16" s="215" customFormat="1">
      <c r="A11" s="215" t="s">
        <v>295</v>
      </c>
      <c r="B11" s="170">
        <v>17.399999999999999</v>
      </c>
      <c r="C11" s="170">
        <v>10.3</v>
      </c>
      <c r="D11" s="170">
        <v>30.3</v>
      </c>
      <c r="E11" s="170">
        <v>19</v>
      </c>
      <c r="F11" s="170">
        <v>0.9</v>
      </c>
      <c r="G11" s="170">
        <v>0.9</v>
      </c>
      <c r="H11" s="170">
        <v>32.1</v>
      </c>
      <c r="I11" s="170">
        <v>25.4</v>
      </c>
      <c r="K11" s="170">
        <v>0</v>
      </c>
      <c r="L11" s="170">
        <v>0</v>
      </c>
      <c r="M11" s="170">
        <v>0</v>
      </c>
      <c r="N11" s="170">
        <v>0</v>
      </c>
      <c r="O11" s="170">
        <v>0</v>
      </c>
      <c r="P11" s="170">
        <v>0</v>
      </c>
    </row>
    <row r="12" spans="1:16" s="216" customFormat="1">
      <c r="A12" s="216" t="s">
        <v>303</v>
      </c>
      <c r="B12" s="170">
        <v>317.25</v>
      </c>
      <c r="C12" s="170">
        <v>317.25</v>
      </c>
      <c r="D12" s="170">
        <f>D8*45</f>
        <v>239.85</v>
      </c>
      <c r="E12" s="170">
        <f>E8*45</f>
        <v>239.85</v>
      </c>
      <c r="F12" s="170">
        <f>F14/24*F8</f>
        <v>1023.4</v>
      </c>
      <c r="G12" s="170">
        <f>G14/24*G8</f>
        <v>1023.4</v>
      </c>
      <c r="H12" s="170">
        <f>H8*45</f>
        <v>506.7</v>
      </c>
      <c r="I12" s="170">
        <f>I8*45</f>
        <v>506.7</v>
      </c>
      <c r="K12" s="170">
        <f t="shared" ref="K12:P12" si="6">K14/24*K8</f>
        <v>1110.6666666666667</v>
      </c>
      <c r="L12" s="170">
        <f t="shared" si="6"/>
        <v>1110.6666666666667</v>
      </c>
      <c r="M12" s="170">
        <f t="shared" si="6"/>
        <v>1110.6666666666667</v>
      </c>
      <c r="N12" s="170">
        <f t="shared" si="6"/>
        <v>1110.6666666666667</v>
      </c>
      <c r="O12" s="170">
        <f t="shared" si="6"/>
        <v>1110.6666666666667</v>
      </c>
      <c r="P12" s="170">
        <f t="shared" si="6"/>
        <v>1110.6666666666667</v>
      </c>
    </row>
    <row r="13" spans="1:16" s="216" customFormat="1">
      <c r="A13" s="216" t="s">
        <v>302</v>
      </c>
      <c r="B13" s="170">
        <v>5.6000000000000001E-2</v>
      </c>
      <c r="C13" s="170">
        <v>5.6000000000000001E-2</v>
      </c>
      <c r="D13" s="170">
        <v>5.6000000000000001E-2</v>
      </c>
      <c r="E13" s="170">
        <v>5.6000000000000001E-2</v>
      </c>
      <c r="F13" s="170">
        <v>5.6000000000000001E-2</v>
      </c>
      <c r="G13" s="170">
        <v>5.6000000000000001E-2</v>
      </c>
      <c r="H13" s="170">
        <v>5.6000000000000001E-2</v>
      </c>
      <c r="I13" s="170">
        <v>5.6000000000000001E-2</v>
      </c>
      <c r="K13" s="170">
        <v>5.6000000000000001E-2</v>
      </c>
      <c r="L13" s="170">
        <v>5.6000000000000001E-2</v>
      </c>
      <c r="M13" s="170">
        <v>5.6000000000000001E-2</v>
      </c>
      <c r="N13" s="170">
        <v>5.6000000000000001E-2</v>
      </c>
      <c r="O13" s="170">
        <v>5.6000000000000001E-2</v>
      </c>
      <c r="P13" s="170">
        <v>5.6000000000000001E-2</v>
      </c>
    </row>
    <row r="14" spans="1:16" s="216" customFormat="1">
      <c r="A14" s="216" t="s">
        <v>307</v>
      </c>
      <c r="B14" s="170"/>
      <c r="C14" s="170"/>
      <c r="D14" s="170"/>
      <c r="E14" s="170"/>
      <c r="F14" s="170">
        <v>516</v>
      </c>
      <c r="G14" s="170">
        <v>516</v>
      </c>
      <c r="H14" s="170"/>
      <c r="I14" s="170"/>
      <c r="K14" s="170">
        <v>560</v>
      </c>
      <c r="L14" s="170">
        <v>560</v>
      </c>
      <c r="M14" s="170">
        <v>560</v>
      </c>
      <c r="N14" s="170">
        <v>560</v>
      </c>
      <c r="O14" s="170">
        <v>560</v>
      </c>
      <c r="P14" s="170">
        <v>560</v>
      </c>
    </row>
    <row r="15" spans="1:16" s="217" customFormat="1">
      <c r="A15" s="217" t="s">
        <v>325</v>
      </c>
      <c r="B15" s="170"/>
      <c r="C15" s="170"/>
      <c r="D15" s="170">
        <v>20</v>
      </c>
      <c r="E15" s="170">
        <v>20</v>
      </c>
      <c r="F15" s="170"/>
      <c r="G15" s="170"/>
      <c r="H15" s="170">
        <v>15</v>
      </c>
      <c r="I15" s="170">
        <v>15</v>
      </c>
      <c r="K15" s="170"/>
      <c r="L15" s="170"/>
      <c r="M15" s="170"/>
      <c r="N15" s="170"/>
      <c r="O15" s="170"/>
      <c r="P15" s="170"/>
    </row>
    <row r="16" spans="1:16" s="217" customFormat="1">
      <c r="A16" s="217" t="s">
        <v>324</v>
      </c>
      <c r="B16" s="170"/>
      <c r="C16" s="170"/>
      <c r="D16" s="170">
        <v>28</v>
      </c>
      <c r="E16" s="170">
        <v>28</v>
      </c>
      <c r="F16" s="170">
        <v>6.6000000000000005E-5</v>
      </c>
      <c r="G16" s="170">
        <v>6.6000000000000005E-5</v>
      </c>
      <c r="H16" s="170">
        <v>27</v>
      </c>
      <c r="I16" s="170">
        <v>27</v>
      </c>
      <c r="K16" s="170"/>
      <c r="L16" s="170"/>
      <c r="M16" s="170"/>
      <c r="N16" s="170"/>
      <c r="O16" s="170"/>
      <c r="P16" s="170"/>
    </row>
    <row r="17" spans="1:16" s="217" customFormat="1">
      <c r="A17" s="217" t="s">
        <v>323</v>
      </c>
      <c r="B17" s="170"/>
      <c r="C17" s="170"/>
      <c r="D17" s="170">
        <v>1.078425</v>
      </c>
      <c r="E17" s="170">
        <v>1.078425</v>
      </c>
      <c r="F17" s="170">
        <v>9</v>
      </c>
      <c r="G17" s="170">
        <v>9</v>
      </c>
      <c r="H17" s="170">
        <v>1.405375</v>
      </c>
      <c r="I17" s="170">
        <v>1.405375</v>
      </c>
      <c r="K17" s="170"/>
      <c r="L17" s="170"/>
      <c r="M17" s="170"/>
      <c r="N17" s="170"/>
      <c r="O17" s="170"/>
      <c r="P17" s="170"/>
    </row>
    <row r="18" spans="1:16" s="215" customFormat="1">
      <c r="A18" s="215" t="s">
        <v>296</v>
      </c>
      <c r="B18" s="170">
        <v>4000</v>
      </c>
      <c r="C18" s="170">
        <v>200</v>
      </c>
      <c r="D18" s="170">
        <v>4000</v>
      </c>
      <c r="E18" s="170">
        <v>200</v>
      </c>
      <c r="F18" s="170">
        <v>4000</v>
      </c>
      <c r="G18" s="170">
        <v>200</v>
      </c>
      <c r="H18" s="170">
        <v>4000</v>
      </c>
      <c r="I18" s="170">
        <v>200</v>
      </c>
      <c r="K18" s="170">
        <v>4000</v>
      </c>
      <c r="L18" s="170">
        <v>200</v>
      </c>
      <c r="M18" s="170">
        <v>4000</v>
      </c>
      <c r="N18" s="170">
        <v>200</v>
      </c>
      <c r="O18" s="170">
        <v>4000</v>
      </c>
      <c r="P18" s="170">
        <v>200</v>
      </c>
    </row>
    <row r="19" spans="1:16" s="215" customFormat="1">
      <c r="A19" s="215" t="s">
        <v>299</v>
      </c>
      <c r="B19" s="170">
        <f t="shared" ref="B19:I19" si="7">B5/24/B18</f>
        <v>10</v>
      </c>
      <c r="C19" s="170">
        <f t="shared" si="7"/>
        <v>200</v>
      </c>
      <c r="D19" s="170">
        <f t="shared" si="7"/>
        <v>10</v>
      </c>
      <c r="E19" s="170">
        <f t="shared" si="7"/>
        <v>200</v>
      </c>
      <c r="F19" s="170">
        <f t="shared" si="7"/>
        <v>10</v>
      </c>
      <c r="G19" s="170">
        <f t="shared" si="7"/>
        <v>200</v>
      </c>
      <c r="H19" s="170">
        <f t="shared" si="7"/>
        <v>10</v>
      </c>
      <c r="I19" s="170">
        <f t="shared" si="7"/>
        <v>200</v>
      </c>
      <c r="K19" s="170">
        <f t="shared" ref="K19:L19" si="8">K5/24/K18</f>
        <v>10</v>
      </c>
      <c r="L19" s="170">
        <f t="shared" si="8"/>
        <v>200</v>
      </c>
      <c r="M19" s="170">
        <f t="shared" ref="M19:P19" si="9">M5/24/M18</f>
        <v>10</v>
      </c>
      <c r="N19" s="170">
        <f t="shared" si="9"/>
        <v>200</v>
      </c>
      <c r="O19" s="170">
        <f t="shared" si="9"/>
        <v>10</v>
      </c>
      <c r="P19" s="170">
        <f t="shared" si="9"/>
        <v>200</v>
      </c>
    </row>
    <row r="20" spans="1:16" s="215" customFormat="1">
      <c r="A20" s="215" t="s">
        <v>300</v>
      </c>
      <c r="B20" s="170">
        <v>100000</v>
      </c>
      <c r="C20" s="170">
        <v>30000</v>
      </c>
      <c r="D20" s="170">
        <v>100000</v>
      </c>
      <c r="E20" s="170">
        <v>30000</v>
      </c>
      <c r="F20" s="170">
        <v>100000</v>
      </c>
      <c r="G20" s="170">
        <v>30000</v>
      </c>
      <c r="H20" s="170">
        <v>100000</v>
      </c>
      <c r="I20" s="170">
        <v>30000</v>
      </c>
      <c r="K20" s="170">
        <v>100000</v>
      </c>
      <c r="L20" s="170">
        <v>30000</v>
      </c>
      <c r="M20" s="170">
        <v>100000</v>
      </c>
      <c r="N20" s="170">
        <v>30000</v>
      </c>
      <c r="O20" s="170">
        <v>100000</v>
      </c>
      <c r="P20" s="170">
        <v>30000</v>
      </c>
    </row>
    <row r="21" spans="1:16" s="216" customFormat="1" ht="15.75" customHeight="1">
      <c r="A21" s="216" t="s">
        <v>315</v>
      </c>
      <c r="B21" s="170">
        <v>11</v>
      </c>
      <c r="C21" s="170">
        <v>3</v>
      </c>
      <c r="D21" s="170">
        <v>11</v>
      </c>
      <c r="E21" s="170">
        <v>3</v>
      </c>
      <c r="F21" s="170">
        <v>11</v>
      </c>
      <c r="G21" s="170">
        <v>3</v>
      </c>
      <c r="H21" s="170">
        <v>11</v>
      </c>
      <c r="I21" s="170">
        <v>3</v>
      </c>
      <c r="K21" s="170">
        <v>58.6</v>
      </c>
      <c r="L21" s="170">
        <v>50.6</v>
      </c>
      <c r="M21" s="170">
        <v>58.6</v>
      </c>
      <c r="N21" s="170">
        <v>50.6</v>
      </c>
      <c r="O21" s="170">
        <v>58.6</v>
      </c>
      <c r="P21" s="170">
        <v>50.6</v>
      </c>
    </row>
    <row r="22" spans="1:16" s="216" customFormat="1">
      <c r="A22" s="216" t="s">
        <v>314</v>
      </c>
      <c r="B22" s="170">
        <v>0.12</v>
      </c>
      <c r="C22" s="170">
        <v>0.12</v>
      </c>
      <c r="D22" s="170">
        <v>0.12</v>
      </c>
      <c r="E22" s="170">
        <v>0.12</v>
      </c>
      <c r="F22" s="170">
        <v>0.12</v>
      </c>
      <c r="G22" s="170">
        <v>0.12</v>
      </c>
      <c r="H22" s="170">
        <v>0.12</v>
      </c>
      <c r="I22" s="170">
        <v>0.12</v>
      </c>
      <c r="K22" s="220">
        <f>0.05*(100%-K2)</f>
        <v>4.5000000000000005E-2</v>
      </c>
      <c r="L22" s="220">
        <f>0.05*(100%-K2)</f>
        <v>4.5000000000000005E-2</v>
      </c>
      <c r="M22" s="220">
        <f>0.05*(100%-M2)</f>
        <v>2.5000000000000001E-2</v>
      </c>
      <c r="N22" s="220">
        <f>0.05*(100%-M2)</f>
        <v>2.5000000000000001E-2</v>
      </c>
      <c r="O22" s="220">
        <f>0.05*(100%-O2)</f>
        <v>0</v>
      </c>
      <c r="P22" s="220">
        <f>0.05*(100%-O2)</f>
        <v>0</v>
      </c>
    </row>
    <row r="23" spans="1:16" s="215" customFormat="1">
      <c r="A23" s="215" t="s">
        <v>297</v>
      </c>
      <c r="B23" s="170">
        <f>B12+B11*B13+B11*B15+B17*B16</f>
        <v>318.2244</v>
      </c>
      <c r="C23" s="170">
        <f t="shared" ref="C23" si="10">C12+C11*C13+C11*C15+C17*C16</f>
        <v>317.82679999999999</v>
      </c>
      <c r="D23" s="170">
        <f>D12+D11*D13+D11*D15+D17*D16</f>
        <v>877.74270000000001</v>
      </c>
      <c r="E23" s="170">
        <f>E12+E11*E13+E11*E15+E17*E16</f>
        <v>651.10990000000004</v>
      </c>
      <c r="F23" s="170">
        <f t="shared" ref="F23:G23" si="11">F12+F11*F13+F11*F15+F17*F16</f>
        <v>1023.4509939999999</v>
      </c>
      <c r="G23" s="170">
        <f t="shared" si="11"/>
        <v>1023.4509939999999</v>
      </c>
      <c r="H23" s="170">
        <f>H12+H11*H13+H11*H15+H16*H17</f>
        <v>1027.9427249999999</v>
      </c>
      <c r="I23" s="170">
        <f>I12+I11*I13+I11*I15+I16*I17</f>
        <v>927.06752499999993</v>
      </c>
      <c r="K23" s="170">
        <f t="shared" ref="K23:P23" si="12">K12+K11*K13</f>
        <v>1110.6666666666667</v>
      </c>
      <c r="L23" s="170">
        <f t="shared" si="12"/>
        <v>1110.6666666666667</v>
      </c>
      <c r="M23" s="170">
        <f t="shared" si="12"/>
        <v>1110.6666666666667</v>
      </c>
      <c r="N23" s="170">
        <f t="shared" si="12"/>
        <v>1110.6666666666667</v>
      </c>
      <c r="O23" s="170">
        <f t="shared" si="12"/>
        <v>1110.6666666666667</v>
      </c>
      <c r="P23" s="170">
        <f t="shared" si="12"/>
        <v>1110.6666666666667</v>
      </c>
    </row>
    <row r="24" spans="1:16" s="216" customFormat="1">
      <c r="A24" s="216" t="s">
        <v>304</v>
      </c>
      <c r="B24" s="170">
        <v>0.75</v>
      </c>
      <c r="C24" s="170">
        <v>0.75</v>
      </c>
      <c r="D24" s="170">
        <v>0.75</v>
      </c>
      <c r="E24" s="170">
        <v>0.75</v>
      </c>
      <c r="F24" s="170">
        <v>0.75</v>
      </c>
      <c r="G24" s="170">
        <v>0.75</v>
      </c>
      <c r="H24" s="170">
        <v>0.8</v>
      </c>
      <c r="I24" s="170">
        <v>0.8</v>
      </c>
      <c r="K24" s="170">
        <v>0.75</v>
      </c>
      <c r="L24" s="170">
        <v>0.75</v>
      </c>
      <c r="M24" s="170">
        <v>0.75</v>
      </c>
      <c r="N24" s="170">
        <v>0.75</v>
      </c>
      <c r="O24" s="170">
        <v>0.75</v>
      </c>
      <c r="P24" s="170">
        <v>0.75</v>
      </c>
    </row>
    <row r="25" spans="1:16" s="215" customFormat="1">
      <c r="A25" s="215" t="s">
        <v>298</v>
      </c>
      <c r="B25" s="170">
        <v>700</v>
      </c>
      <c r="C25" s="170">
        <v>125</v>
      </c>
      <c r="D25" s="170">
        <v>700</v>
      </c>
      <c r="E25" s="170">
        <v>125</v>
      </c>
      <c r="F25" s="170">
        <v>700</v>
      </c>
      <c r="G25" s="170">
        <v>183</v>
      </c>
      <c r="H25" s="170">
        <v>700</v>
      </c>
      <c r="I25" s="170">
        <v>166</v>
      </c>
      <c r="K25" s="170">
        <v>700</v>
      </c>
      <c r="L25" s="170">
        <v>183</v>
      </c>
      <c r="M25" s="170">
        <v>700</v>
      </c>
      <c r="N25" s="170">
        <v>183</v>
      </c>
      <c r="O25" s="170">
        <v>700</v>
      </c>
      <c r="P25" s="170">
        <v>183</v>
      </c>
    </row>
    <row r="26" spans="1:16" s="216" customFormat="1">
      <c r="A26" s="216" t="s">
        <v>305</v>
      </c>
      <c r="B26" s="170">
        <v>0.75</v>
      </c>
      <c r="C26" s="170">
        <v>0.75</v>
      </c>
      <c r="D26" s="170">
        <v>0.75</v>
      </c>
      <c r="E26" s="170">
        <v>0.75</v>
      </c>
      <c r="F26" s="170">
        <v>0.75</v>
      </c>
      <c r="G26" s="170">
        <v>0.75</v>
      </c>
      <c r="H26" s="170">
        <v>0.75</v>
      </c>
      <c r="I26" s="170">
        <v>0.75</v>
      </c>
      <c r="K26" s="170">
        <v>0.75</v>
      </c>
      <c r="L26" s="170">
        <v>0.75</v>
      </c>
      <c r="M26" s="170">
        <v>0.75</v>
      </c>
      <c r="N26" s="170">
        <v>0.75</v>
      </c>
      <c r="O26" s="170">
        <v>0.75</v>
      </c>
      <c r="P26" s="170">
        <v>0.75</v>
      </c>
    </row>
    <row r="27" spans="1:16">
      <c r="A27" t="s">
        <v>301</v>
      </c>
      <c r="B27" s="170">
        <v>19</v>
      </c>
      <c r="C27" s="170">
        <v>312</v>
      </c>
      <c r="D27" s="170">
        <v>19</v>
      </c>
      <c r="E27" s="170">
        <v>312</v>
      </c>
      <c r="F27" s="170">
        <v>19</v>
      </c>
      <c r="G27" s="170">
        <v>312</v>
      </c>
      <c r="H27" s="170">
        <v>19</v>
      </c>
      <c r="I27" s="170">
        <v>312</v>
      </c>
      <c r="K27" s="170">
        <v>19</v>
      </c>
      <c r="L27" s="170">
        <v>312</v>
      </c>
      <c r="M27" s="170">
        <v>19</v>
      </c>
      <c r="N27" s="170">
        <v>312</v>
      </c>
      <c r="O27" s="170">
        <v>19</v>
      </c>
      <c r="P27" s="170">
        <v>312</v>
      </c>
    </row>
    <row r="28" spans="1:16" s="216" customFormat="1">
      <c r="A28" s="216" t="s">
        <v>306</v>
      </c>
      <c r="B28" s="170">
        <v>0.7</v>
      </c>
      <c r="C28" s="170">
        <v>0.7</v>
      </c>
      <c r="D28" s="170">
        <v>0.7</v>
      </c>
      <c r="E28" s="170">
        <v>0.7</v>
      </c>
      <c r="F28" s="170">
        <v>0.7</v>
      </c>
      <c r="G28" s="170">
        <v>0.7</v>
      </c>
      <c r="H28" s="170">
        <v>0.7</v>
      </c>
      <c r="I28" s="170">
        <v>0.7</v>
      </c>
      <c r="K28" s="170">
        <v>0.7</v>
      </c>
      <c r="L28" s="170">
        <v>0.7</v>
      </c>
      <c r="M28" s="170">
        <v>0.7</v>
      </c>
      <c r="N28" s="170">
        <v>0.7</v>
      </c>
      <c r="O28" s="170">
        <v>0.7</v>
      </c>
      <c r="P28" s="170">
        <v>0.7</v>
      </c>
    </row>
    <row r="29" spans="1:16" s="180" customFormat="1">
      <c r="A29" s="180" t="s">
        <v>308</v>
      </c>
      <c r="B29" s="219">
        <f t="shared" ref="B29:I29" si="13">B5*B23*B24+B25*B5*B26+B27*B5*B28+B19*B20</f>
        <v>746889568</v>
      </c>
      <c r="C29" s="219">
        <f t="shared" si="13"/>
        <v>534499296</v>
      </c>
      <c r="D29" s="219">
        <f t="shared" si="13"/>
        <v>1149742744</v>
      </c>
      <c r="E29" s="219">
        <f>E5*E23*E24+E25*E5*E26+E27*E5*E28+E19*E20</f>
        <v>774463128</v>
      </c>
      <c r="F29" s="219">
        <f>F5*F23*F24+F25*F5*F26+F27*F5*F28+F19*F20</f>
        <v>1254652715.6799998</v>
      </c>
      <c r="G29" s="219">
        <f t="shared" si="13"/>
        <v>1084308715.6799998</v>
      </c>
      <c r="H29" s="219">
        <f t="shared" si="13"/>
        <v>1307228012.8</v>
      </c>
      <c r="I29" s="219">
        <f t="shared" si="13"/>
        <v>1047171859.1999999</v>
      </c>
      <c r="K29" s="219">
        <f>K5*K23*K24+K25*K5*K26+K27*K5*K28+K19*K20</f>
        <v>1317448000</v>
      </c>
      <c r="L29" s="219">
        <f t="shared" ref="L29:N29" si="14">L5*L23*L24+L25*L5*L26+L27*L5*L28+L19*L20</f>
        <v>1147104000</v>
      </c>
      <c r="M29" s="219">
        <f>M5*M23*M24+M25*M5*M26+M27*M5*M28+M19*M20</f>
        <v>1317448000</v>
      </c>
      <c r="N29" s="219">
        <f t="shared" si="14"/>
        <v>1147104000</v>
      </c>
      <c r="O29" s="219">
        <f>O5*O23*O24+O25*O5*O26+O27*O5*O28+O19*O20</f>
        <v>1317448000</v>
      </c>
      <c r="P29" s="219">
        <f t="shared" ref="P29" si="15">P5*P23*P24+P25*P5*P26+P27*P5*P28+P19*P20</f>
        <v>1147104000</v>
      </c>
    </row>
    <row r="30" spans="1:16" s="216" customFormat="1">
      <c r="A30" s="216" t="s">
        <v>309</v>
      </c>
      <c r="B30" s="170">
        <f>B29*0.2</f>
        <v>149377913.59999999</v>
      </c>
      <c r="C30" s="170">
        <f t="shared" ref="C30:I30" si="16">C29*0.2</f>
        <v>106899859.2</v>
      </c>
      <c r="D30" s="170">
        <f t="shared" si="16"/>
        <v>229948548.80000001</v>
      </c>
      <c r="E30" s="170">
        <f t="shared" si="16"/>
        <v>154892625.59999999</v>
      </c>
      <c r="F30" s="170">
        <f t="shared" si="16"/>
        <v>250930543.13599998</v>
      </c>
      <c r="G30" s="170">
        <f t="shared" si="16"/>
        <v>216861743.13599998</v>
      </c>
      <c r="H30" s="170">
        <f t="shared" si="16"/>
        <v>261445602.56</v>
      </c>
      <c r="I30" s="170">
        <f t="shared" si="16"/>
        <v>209434371.84</v>
      </c>
      <c r="K30" s="170">
        <f t="shared" ref="K30:L30" si="17">K29*0.2</f>
        <v>263489600</v>
      </c>
      <c r="L30" s="170">
        <f t="shared" si="17"/>
        <v>229420800</v>
      </c>
      <c r="M30" s="170">
        <f t="shared" ref="M30:P30" si="18">M29*0.2</f>
        <v>263489600</v>
      </c>
      <c r="N30" s="170">
        <f t="shared" si="18"/>
        <v>229420800</v>
      </c>
      <c r="O30" s="170">
        <f t="shared" si="18"/>
        <v>263489600</v>
      </c>
      <c r="P30" s="170">
        <f t="shared" si="18"/>
        <v>229420800</v>
      </c>
    </row>
    <row r="31" spans="1:16" s="216" customFormat="1">
      <c r="A31" s="216" t="s">
        <v>310</v>
      </c>
      <c r="B31" s="170">
        <f>B29*0.1</f>
        <v>74688956.799999997</v>
      </c>
      <c r="C31" s="170">
        <f>C29*0.1</f>
        <v>53449929.600000001</v>
      </c>
      <c r="D31" s="170">
        <f t="shared" ref="D31:I31" si="19">D29*0.1</f>
        <v>114974274.40000001</v>
      </c>
      <c r="E31" s="170">
        <f t="shared" si="19"/>
        <v>77446312.799999997</v>
      </c>
      <c r="F31" s="170">
        <f t="shared" si="19"/>
        <v>125465271.56799999</v>
      </c>
      <c r="G31" s="170">
        <f t="shared" si="19"/>
        <v>108430871.56799999</v>
      </c>
      <c r="H31" s="170">
        <f t="shared" si="19"/>
        <v>130722801.28</v>
      </c>
      <c r="I31" s="170">
        <f t="shared" si="19"/>
        <v>104717185.92</v>
      </c>
      <c r="K31" s="170">
        <f t="shared" ref="K31:L31" si="20">K29*0.1</f>
        <v>131744800</v>
      </c>
      <c r="L31" s="170">
        <f t="shared" si="20"/>
        <v>114710400</v>
      </c>
      <c r="M31" s="170">
        <f t="shared" ref="M31:P31" si="21">M29*0.1</f>
        <v>131744800</v>
      </c>
      <c r="N31" s="170">
        <f t="shared" si="21"/>
        <v>114710400</v>
      </c>
      <c r="O31" s="170">
        <f t="shared" si="21"/>
        <v>131744800</v>
      </c>
      <c r="P31" s="170">
        <f t="shared" si="21"/>
        <v>114710400</v>
      </c>
    </row>
    <row r="32" spans="1:16" s="216" customFormat="1">
      <c r="A32" s="216" t="s">
        <v>311</v>
      </c>
      <c r="B32" s="170">
        <f>B29*0.1</f>
        <v>74688956.799999997</v>
      </c>
      <c r="C32" s="170">
        <f t="shared" ref="C32:I32" si="22">C29*0.1</f>
        <v>53449929.600000001</v>
      </c>
      <c r="D32" s="170">
        <f t="shared" si="22"/>
        <v>114974274.40000001</v>
      </c>
      <c r="E32" s="170">
        <f t="shared" si="22"/>
        <v>77446312.799999997</v>
      </c>
      <c r="F32" s="170">
        <f t="shared" si="22"/>
        <v>125465271.56799999</v>
      </c>
      <c r="G32" s="170">
        <f t="shared" si="22"/>
        <v>108430871.56799999</v>
      </c>
      <c r="H32" s="170">
        <f t="shared" si="22"/>
        <v>130722801.28</v>
      </c>
      <c r="I32" s="170">
        <f t="shared" si="22"/>
        <v>104717185.92</v>
      </c>
      <c r="K32" s="170">
        <f t="shared" ref="K32:L32" si="23">K29*0.1</f>
        <v>131744800</v>
      </c>
      <c r="L32" s="170">
        <f t="shared" si="23"/>
        <v>114710400</v>
      </c>
      <c r="M32" s="170">
        <f t="shared" ref="M32:P32" si="24">M29*0.1</f>
        <v>131744800</v>
      </c>
      <c r="N32" s="170">
        <f t="shared" si="24"/>
        <v>114710400</v>
      </c>
      <c r="O32" s="170">
        <f t="shared" si="24"/>
        <v>131744800</v>
      </c>
      <c r="P32" s="170">
        <f t="shared" si="24"/>
        <v>114710400</v>
      </c>
    </row>
    <row r="33" spans="1:16" s="216" customFormat="1">
      <c r="A33" s="216" t="s">
        <v>312</v>
      </c>
      <c r="B33" s="170">
        <f>B29*0.05</f>
        <v>37344478.399999999</v>
      </c>
      <c r="C33" s="170">
        <f t="shared" ref="C33:I33" si="25">C29*0.05</f>
        <v>26724964.800000001</v>
      </c>
      <c r="D33" s="170">
        <f t="shared" si="25"/>
        <v>57487137.200000003</v>
      </c>
      <c r="E33" s="170">
        <f t="shared" si="25"/>
        <v>38723156.399999999</v>
      </c>
      <c r="F33" s="170">
        <f t="shared" si="25"/>
        <v>62732635.783999994</v>
      </c>
      <c r="G33" s="170">
        <f t="shared" si="25"/>
        <v>54215435.783999994</v>
      </c>
      <c r="H33" s="170">
        <f t="shared" si="25"/>
        <v>65361400.640000001</v>
      </c>
      <c r="I33" s="170">
        <f t="shared" si="25"/>
        <v>52358592.960000001</v>
      </c>
      <c r="K33" s="170">
        <f t="shared" ref="K33:L33" si="26">K29*0.05</f>
        <v>65872400</v>
      </c>
      <c r="L33" s="170">
        <f t="shared" si="26"/>
        <v>57355200</v>
      </c>
      <c r="M33" s="170">
        <f t="shared" ref="M33:P33" si="27">M29*0.05</f>
        <v>65872400</v>
      </c>
      <c r="N33" s="170">
        <f t="shared" si="27"/>
        <v>57355200</v>
      </c>
      <c r="O33" s="170">
        <f t="shared" si="27"/>
        <v>65872400</v>
      </c>
      <c r="P33" s="170">
        <f t="shared" si="27"/>
        <v>57355200</v>
      </c>
    </row>
    <row r="34" spans="1:16" s="180" customFormat="1">
      <c r="A34" s="180" t="s">
        <v>313</v>
      </c>
      <c r="B34" s="219">
        <f>SUM(B29:B33)</f>
        <v>1082989873.5999999</v>
      </c>
      <c r="C34" s="219">
        <f t="shared" ref="C34:I34" si="28">SUM(C29:C33)</f>
        <v>775023979.20000005</v>
      </c>
      <c r="D34" s="219">
        <f t="shared" si="28"/>
        <v>1667126978.8000002</v>
      </c>
      <c r="E34" s="219">
        <f t="shared" si="28"/>
        <v>1122971535.6000001</v>
      </c>
      <c r="F34" s="219">
        <f t="shared" si="28"/>
        <v>1819246437.7359998</v>
      </c>
      <c r="G34" s="219">
        <f t="shared" si="28"/>
        <v>1572247637.7359998</v>
      </c>
      <c r="H34" s="219">
        <f t="shared" si="28"/>
        <v>1895480618.5599999</v>
      </c>
      <c r="I34" s="219">
        <f t="shared" si="28"/>
        <v>1518399195.8400002</v>
      </c>
      <c r="K34" s="219">
        <f t="shared" ref="K34:L34" si="29">SUM(K29:K33)</f>
        <v>1910299600</v>
      </c>
      <c r="L34" s="219">
        <f t="shared" si="29"/>
        <v>1663300800</v>
      </c>
      <c r="M34" s="219">
        <f t="shared" ref="M34:P34" si="30">SUM(M29:M33)</f>
        <v>1910299600</v>
      </c>
      <c r="N34" s="219">
        <f t="shared" si="30"/>
        <v>1663300800</v>
      </c>
      <c r="O34" s="219">
        <f t="shared" si="30"/>
        <v>1910299600</v>
      </c>
      <c r="P34" s="219">
        <f t="shared" si="30"/>
        <v>1663300800</v>
      </c>
    </row>
    <row r="35" spans="1:16" s="216" customFormat="1">
      <c r="A35" s="216" t="s">
        <v>348</v>
      </c>
      <c r="B35" s="170">
        <f>B34*0.03</f>
        <v>32489696.207999997</v>
      </c>
      <c r="C35" s="170">
        <f t="shared" ref="C35:I35" si="31">C34*0.03</f>
        <v>23250719.376000002</v>
      </c>
      <c r="D35" s="170">
        <f t="shared" si="31"/>
        <v>50013809.364000008</v>
      </c>
      <c r="E35" s="170">
        <f t="shared" si="31"/>
        <v>33689146.068000004</v>
      </c>
      <c r="F35" s="170">
        <f t="shared" si="31"/>
        <v>54577393.132079996</v>
      </c>
      <c r="G35" s="170">
        <f t="shared" si="31"/>
        <v>47167429.132079996</v>
      </c>
      <c r="H35" s="170">
        <f t="shared" si="31"/>
        <v>56864418.556799993</v>
      </c>
      <c r="I35" s="170">
        <f t="shared" si="31"/>
        <v>45551975.875200003</v>
      </c>
      <c r="K35" s="170">
        <f t="shared" ref="K35:L35" si="32">K34*0.01</f>
        <v>19102996</v>
      </c>
      <c r="L35" s="170">
        <f t="shared" si="32"/>
        <v>16633008</v>
      </c>
      <c r="M35" s="170">
        <f t="shared" ref="M35:P35" si="33">M34*0.01</f>
        <v>19102996</v>
      </c>
      <c r="N35" s="170">
        <f t="shared" si="33"/>
        <v>16633008</v>
      </c>
      <c r="O35" s="170">
        <f t="shared" si="33"/>
        <v>19102996</v>
      </c>
      <c r="P35" s="170">
        <f t="shared" si="33"/>
        <v>16633008</v>
      </c>
    </row>
    <row r="36" spans="1:16" s="216" customFormat="1">
      <c r="A36" s="216" t="s">
        <v>316</v>
      </c>
      <c r="B36" s="170">
        <f t="shared" ref="B36:I36" si="34">B7*B8*B10</f>
        <v>139727616</v>
      </c>
      <c r="C36" s="170">
        <f t="shared" si="34"/>
        <v>139727616</v>
      </c>
      <c r="D36" s="170">
        <f t="shared" si="34"/>
        <v>50502816</v>
      </c>
      <c r="E36" s="170">
        <f>E7*E8*E10</f>
        <v>50502816</v>
      </c>
      <c r="F36" s="170">
        <f>F7*F8*F10</f>
        <v>1052378880.0000001</v>
      </c>
      <c r="G36" s="170">
        <f t="shared" si="34"/>
        <v>1052378880.0000001</v>
      </c>
      <c r="H36" s="170">
        <f t="shared" si="34"/>
        <v>177817920</v>
      </c>
      <c r="I36" s="170">
        <f t="shared" si="34"/>
        <v>177817920</v>
      </c>
      <c r="K36" s="170">
        <f t="shared" ref="K36:L36" si="35">K7*K8*K10</f>
        <v>676529280.00000012</v>
      </c>
      <c r="L36" s="170">
        <f t="shared" si="35"/>
        <v>676529280.00000012</v>
      </c>
      <c r="M36" s="170">
        <f t="shared" ref="M36:P36" si="36">M7*M8*M10</f>
        <v>375849600</v>
      </c>
      <c r="N36" s="170">
        <f t="shared" si="36"/>
        <v>375849600</v>
      </c>
      <c r="O36" s="170">
        <f t="shared" si="36"/>
        <v>0</v>
      </c>
      <c r="P36" s="170">
        <f t="shared" si="36"/>
        <v>0</v>
      </c>
    </row>
    <row r="37" spans="1:16">
      <c r="A37" t="s">
        <v>318</v>
      </c>
      <c r="B37" s="170">
        <f>B7*B21*B22</f>
        <v>416908800</v>
      </c>
      <c r="C37" s="170">
        <f t="shared" ref="C37:I37" si="37">C7*C21*C22</f>
        <v>113702400</v>
      </c>
      <c r="D37" s="170">
        <f t="shared" si="37"/>
        <v>416908800</v>
      </c>
      <c r="E37" s="170">
        <f t="shared" si="37"/>
        <v>113702400</v>
      </c>
      <c r="F37" s="170">
        <f t="shared" si="37"/>
        <v>416908800</v>
      </c>
      <c r="G37" s="170">
        <f t="shared" si="37"/>
        <v>113702400</v>
      </c>
      <c r="H37" s="170">
        <f t="shared" si="37"/>
        <v>416908800</v>
      </c>
      <c r="I37" s="170">
        <f t="shared" si="37"/>
        <v>113702400</v>
      </c>
      <c r="K37" s="170">
        <f t="shared" ref="K37:L37" si="38">K7*K21*K22</f>
        <v>832870080.00000012</v>
      </c>
      <c r="L37" s="170">
        <f t="shared" si="38"/>
        <v>719167680.00000012</v>
      </c>
      <c r="M37" s="170">
        <f t="shared" ref="M37:P37" si="39">M7*M21*M22</f>
        <v>462705600</v>
      </c>
      <c r="N37" s="170">
        <f t="shared" si="39"/>
        <v>399537600</v>
      </c>
      <c r="O37" s="170">
        <f t="shared" si="39"/>
        <v>0</v>
      </c>
      <c r="P37" s="170">
        <f t="shared" si="39"/>
        <v>0</v>
      </c>
    </row>
    <row r="38" spans="1:16">
      <c r="A38" t="s">
        <v>319</v>
      </c>
      <c r="B38" s="170">
        <f>B34*0.05</f>
        <v>54149493.68</v>
      </c>
      <c r="C38" s="170">
        <f t="shared" ref="C38:I38" si="40">C34*0.05</f>
        <v>38751198.960000001</v>
      </c>
      <c r="D38" s="170">
        <f t="shared" si="40"/>
        <v>83356348.940000013</v>
      </c>
      <c r="E38" s="170">
        <f t="shared" si="40"/>
        <v>56148576.780000009</v>
      </c>
      <c r="F38" s="170">
        <f t="shared" si="40"/>
        <v>90962321.886799991</v>
      </c>
      <c r="G38" s="170">
        <f t="shared" si="40"/>
        <v>78612381.886799991</v>
      </c>
      <c r="H38" s="170">
        <f t="shared" si="40"/>
        <v>94774030.928000003</v>
      </c>
      <c r="I38" s="170">
        <f t="shared" si="40"/>
        <v>75919959.792000011</v>
      </c>
      <c r="K38" s="170">
        <f t="shared" ref="K38:L38" si="41">K34*0.05</f>
        <v>95514980</v>
      </c>
      <c r="L38" s="170">
        <f t="shared" si="41"/>
        <v>83165040</v>
      </c>
      <c r="M38" s="170">
        <f t="shared" ref="M38:P38" si="42">M34*0.05</f>
        <v>95514980</v>
      </c>
      <c r="N38" s="170">
        <f t="shared" si="42"/>
        <v>83165040</v>
      </c>
      <c r="O38" s="170">
        <f t="shared" si="42"/>
        <v>95514980</v>
      </c>
      <c r="P38" s="170">
        <f t="shared" si="42"/>
        <v>83165040</v>
      </c>
    </row>
    <row r="39" spans="1:16" s="216" customFormat="1">
      <c r="A39" s="216" t="s">
        <v>320</v>
      </c>
      <c r="B39" s="170">
        <f>B34*0.12</f>
        <v>129958784.83199999</v>
      </c>
      <c r="C39" s="170">
        <f t="shared" ref="C39:I39" si="43">C34*0.12</f>
        <v>93002877.504000008</v>
      </c>
      <c r="D39" s="170">
        <f t="shared" si="43"/>
        <v>200055237.45600003</v>
      </c>
      <c r="E39" s="170">
        <f t="shared" si="43"/>
        <v>134756584.27200001</v>
      </c>
      <c r="F39" s="170">
        <f t="shared" si="43"/>
        <v>218309572.52831998</v>
      </c>
      <c r="G39" s="170">
        <f t="shared" si="43"/>
        <v>188669716.52831998</v>
      </c>
      <c r="H39" s="170">
        <f t="shared" si="43"/>
        <v>227457674.22719997</v>
      </c>
      <c r="I39" s="170">
        <f t="shared" si="43"/>
        <v>182207903.50080001</v>
      </c>
      <c r="K39" s="170">
        <f t="shared" ref="K39:L39" si="44">K34*0.12</f>
        <v>229235952</v>
      </c>
      <c r="L39" s="170">
        <f t="shared" si="44"/>
        <v>199596096</v>
      </c>
      <c r="M39" s="170">
        <f t="shared" ref="M39:P39" si="45">M34*0.12</f>
        <v>229235952</v>
      </c>
      <c r="N39" s="170">
        <f t="shared" si="45"/>
        <v>199596096</v>
      </c>
      <c r="O39" s="170">
        <f t="shared" si="45"/>
        <v>229235952</v>
      </c>
      <c r="P39" s="170">
        <f t="shared" si="45"/>
        <v>199596096</v>
      </c>
    </row>
    <row r="40" spans="1:16" s="180" customFormat="1">
      <c r="A40" s="180" t="s">
        <v>321</v>
      </c>
      <c r="B40" s="219">
        <f>SUM(B35:B39)</f>
        <v>773234390.71999991</v>
      </c>
      <c r="C40" s="219">
        <f t="shared" ref="C40:I40" si="46">SUM(C35:C39)</f>
        <v>408434811.83999997</v>
      </c>
      <c r="D40" s="219">
        <f t="shared" si="46"/>
        <v>800837011.75999999</v>
      </c>
      <c r="E40" s="219">
        <f t="shared" si="46"/>
        <v>388799523.12</v>
      </c>
      <c r="F40" s="219">
        <f>SUM(F35:F39)+F42</f>
        <v>1833137537.7872002</v>
      </c>
      <c r="G40" s="219">
        <f>SUM(G35:G39)+G42</f>
        <v>1480531377.7872002</v>
      </c>
      <c r="H40" s="219">
        <f t="shared" si="46"/>
        <v>973822843.71199989</v>
      </c>
      <c r="I40" s="219">
        <f t="shared" si="46"/>
        <v>595200159.16799998</v>
      </c>
      <c r="K40" s="219">
        <f t="shared" ref="K40:L40" si="47">SUM(K35:K39)</f>
        <v>1853253288.0000002</v>
      </c>
      <c r="L40" s="219">
        <f t="shared" si="47"/>
        <v>1695091104.0000002</v>
      </c>
      <c r="M40" s="219">
        <f t="shared" ref="M40:P40" si="48">SUM(M35:M39)</f>
        <v>1182409128</v>
      </c>
      <c r="N40" s="219">
        <f t="shared" si="48"/>
        <v>1074781344</v>
      </c>
      <c r="O40" s="219">
        <f t="shared" si="48"/>
        <v>343853928</v>
      </c>
      <c r="P40" s="219">
        <f t="shared" si="48"/>
        <v>299394144</v>
      </c>
    </row>
    <row r="41" spans="1:16" s="180" customFormat="1">
      <c r="A41" s="180" t="s">
        <v>322</v>
      </c>
      <c r="B41" s="219">
        <f>B40/B7</f>
        <v>2.4481838611955418</v>
      </c>
      <c r="C41" s="219">
        <f t="shared" ref="C41:I41" si="49">C40/C7</f>
        <v>1.2931699969604862</v>
      </c>
      <c r="D41" s="219">
        <f t="shared" si="49"/>
        <v>2.535578178064843</v>
      </c>
      <c r="E41" s="219">
        <f t="shared" si="49"/>
        <v>1.2310015296352583</v>
      </c>
      <c r="F41" s="219">
        <f t="shared" si="49"/>
        <v>5.8040068952228987</v>
      </c>
      <c r="G41" s="219">
        <f t="shared" si="49"/>
        <v>4.6875993470972652</v>
      </c>
      <c r="H41" s="219">
        <f t="shared" si="49"/>
        <v>3.0832790137791282</v>
      </c>
      <c r="I41" s="219">
        <f t="shared" si="49"/>
        <v>1.8844989841945288</v>
      </c>
      <c r="K41" s="221">
        <f t="shared" ref="K41:L41" si="50">K40/K7</f>
        <v>5.8676965805471131</v>
      </c>
      <c r="L41" s="221">
        <f t="shared" si="50"/>
        <v>5.3669297872340431</v>
      </c>
      <c r="M41" s="221">
        <f t="shared" ref="M41:P41" si="51">M40/M7</f>
        <v>3.7436965805471125</v>
      </c>
      <c r="N41" s="221">
        <f t="shared" si="51"/>
        <v>3.4029297872340427</v>
      </c>
      <c r="O41" s="221">
        <f t="shared" si="51"/>
        <v>1.0886965805471125</v>
      </c>
      <c r="P41" s="221">
        <f t="shared" si="51"/>
        <v>0.94792978723404253</v>
      </c>
    </row>
    <row r="42" spans="1:16">
      <c r="A42" t="s">
        <v>349</v>
      </c>
      <c r="F42">
        <f>F5*F17*F16</f>
        <v>570.24</v>
      </c>
      <c r="G42" s="238">
        <f>G5*G17*G16</f>
        <v>570.24</v>
      </c>
    </row>
    <row r="44" spans="1:16">
      <c r="A44" s="285" t="s">
        <v>109</v>
      </c>
      <c r="B44" s="285"/>
      <c r="C44" s="285"/>
      <c r="D44" s="285"/>
      <c r="E44" s="285"/>
      <c r="F44" s="18"/>
      <c r="G44" s="18"/>
      <c r="H44" s="18"/>
      <c r="I44" s="18"/>
    </row>
    <row r="45" spans="1:16">
      <c r="A45" t="s">
        <v>110</v>
      </c>
      <c r="B45" t="s">
        <v>111</v>
      </c>
      <c r="C45" t="s">
        <v>112</v>
      </c>
      <c r="D45" t="s">
        <v>113</v>
      </c>
      <c r="E45" t="s">
        <v>114</v>
      </c>
    </row>
    <row r="46" spans="1:16">
      <c r="A46" t="s">
        <v>115</v>
      </c>
      <c r="B46">
        <v>4082</v>
      </c>
      <c r="C46">
        <v>181</v>
      </c>
      <c r="D46">
        <v>9072</v>
      </c>
      <c r="E46">
        <v>454</v>
      </c>
      <c r="L46" s="222">
        <v>2.5319154309999998</v>
      </c>
    </row>
    <row r="47" spans="1:16">
      <c r="A47" t="s">
        <v>116</v>
      </c>
      <c r="B47" s="19">
        <v>350000</v>
      </c>
      <c r="C47" s="19">
        <v>100000</v>
      </c>
      <c r="D47" s="19">
        <v>400000</v>
      </c>
      <c r="E47" s="19">
        <v>200000</v>
      </c>
      <c r="L47" s="222">
        <v>2.5319458209999999</v>
      </c>
    </row>
    <row r="48" spans="1:16">
      <c r="A48" t="s">
        <v>117</v>
      </c>
      <c r="B48" s="19">
        <v>60000</v>
      </c>
      <c r="C48">
        <v>60000</v>
      </c>
      <c r="D48">
        <v>100000</v>
      </c>
      <c r="E48">
        <v>100000</v>
      </c>
    </row>
    <row r="49" spans="1:5">
      <c r="A49" t="s">
        <v>118</v>
      </c>
      <c r="B49" s="19">
        <v>90000</v>
      </c>
      <c r="C49">
        <v>90000</v>
      </c>
    </row>
    <row r="50" spans="1:5">
      <c r="A50" t="s">
        <v>119</v>
      </c>
      <c r="B50" s="19">
        <v>500000</v>
      </c>
      <c r="C50">
        <v>250000</v>
      </c>
      <c r="D50">
        <v>500000</v>
      </c>
      <c r="E50">
        <v>300000</v>
      </c>
    </row>
    <row r="51" spans="1:5">
      <c r="A51" t="s">
        <v>120</v>
      </c>
      <c r="B51" s="286">
        <v>2.5499999999999998</v>
      </c>
      <c r="C51" s="286"/>
      <c r="D51" s="285">
        <v>4.25</v>
      </c>
      <c r="E51" s="285"/>
    </row>
    <row r="52" spans="1:5">
      <c r="A52" t="s">
        <v>121</v>
      </c>
      <c r="B52" s="285">
        <v>55</v>
      </c>
      <c r="C52" s="285"/>
      <c r="D52" s="285">
        <v>42</v>
      </c>
      <c r="E52" s="285"/>
    </row>
    <row r="53" spans="1:5">
      <c r="A53" t="s">
        <v>122</v>
      </c>
      <c r="B53" s="285">
        <v>24</v>
      </c>
      <c r="C53" s="285"/>
      <c r="D53" s="285">
        <v>24</v>
      </c>
      <c r="E53" s="285"/>
    </row>
    <row r="54" spans="1:5">
      <c r="A54" t="s">
        <v>123</v>
      </c>
      <c r="B54" s="285">
        <v>2</v>
      </c>
      <c r="C54" s="285"/>
      <c r="D54" s="285">
        <v>2</v>
      </c>
      <c r="E54" s="285"/>
    </row>
    <row r="55" spans="1:5">
      <c r="A55" t="s">
        <v>124</v>
      </c>
      <c r="B55" s="285">
        <v>35</v>
      </c>
      <c r="C55" s="285"/>
      <c r="D55" s="285">
        <v>35</v>
      </c>
      <c r="E55" s="285"/>
    </row>
    <row r="56" spans="1:5" s="242" customFormat="1">
      <c r="A56" s="242" t="s">
        <v>350</v>
      </c>
      <c r="B56" s="285">
        <v>6</v>
      </c>
      <c r="C56" s="285"/>
      <c r="D56" s="285">
        <v>5</v>
      </c>
      <c r="E56" s="285"/>
    </row>
    <row r="57" spans="1:5">
      <c r="A57" t="s">
        <v>125</v>
      </c>
      <c r="B57" s="285">
        <v>1.1599999999999999</v>
      </c>
      <c r="C57" s="285"/>
      <c r="D57" s="285">
        <v>0.06</v>
      </c>
      <c r="E57" s="285"/>
    </row>
    <row r="58" spans="1:5">
      <c r="A58" t="s">
        <v>126</v>
      </c>
      <c r="B58" s="285">
        <v>9.7600000000000006E-2</v>
      </c>
      <c r="C58" s="285"/>
      <c r="D58" s="285">
        <v>6.2100000000000002E-2</v>
      </c>
      <c r="E58" s="285"/>
    </row>
    <row r="59" spans="1:5">
      <c r="A59" t="s">
        <v>127</v>
      </c>
      <c r="B59" s="285">
        <v>8.2200000000000006</v>
      </c>
      <c r="C59" s="285"/>
      <c r="D59" s="285">
        <v>6.85</v>
      </c>
      <c r="E59" s="285"/>
    </row>
    <row r="62" spans="1:5">
      <c r="A62" s="285" t="s">
        <v>128</v>
      </c>
      <c r="B62" s="285"/>
      <c r="C62" s="285"/>
    </row>
    <row r="63" spans="1:5" ht="45" customHeight="1">
      <c r="A63" t="s">
        <v>129</v>
      </c>
      <c r="B63" s="20" t="s">
        <v>132</v>
      </c>
      <c r="C63" s="21" t="s">
        <v>133</v>
      </c>
    </row>
    <row r="64" spans="1:5">
      <c r="A64" t="s">
        <v>106</v>
      </c>
      <c r="B64" t="s">
        <v>107</v>
      </c>
      <c r="C64" t="s">
        <v>108</v>
      </c>
    </row>
    <row r="65" spans="1:4">
      <c r="A65" t="s">
        <v>130</v>
      </c>
      <c r="B65">
        <v>122</v>
      </c>
      <c r="C65">
        <v>1894</v>
      </c>
    </row>
    <row r="66" spans="1:4">
      <c r="A66" t="s">
        <v>131</v>
      </c>
      <c r="B66">
        <v>5.0000000000000001E-3</v>
      </c>
      <c r="C66">
        <v>7.5999999999999998E-2</v>
      </c>
    </row>
    <row r="70" spans="1:4" ht="30" customHeight="1">
      <c r="A70" s="21" t="s">
        <v>276</v>
      </c>
      <c r="B70">
        <v>2015</v>
      </c>
      <c r="C70">
        <v>2030</v>
      </c>
      <c r="D70">
        <v>2050</v>
      </c>
    </row>
    <row r="71" spans="1:4">
      <c r="A71" t="s">
        <v>277</v>
      </c>
      <c r="B71">
        <v>45046564</v>
      </c>
      <c r="C71">
        <v>4504656.4000000004</v>
      </c>
      <c r="D71">
        <v>18018625.600000001</v>
      </c>
    </row>
    <row r="72" spans="1:4" ht="26.25" customHeight="1">
      <c r="A72" s="21" t="s">
        <v>278</v>
      </c>
      <c r="B72">
        <v>13000</v>
      </c>
    </row>
    <row r="73" spans="1:4">
      <c r="A73" t="s">
        <v>279</v>
      </c>
      <c r="B73">
        <v>1.7999999999999999E-2</v>
      </c>
    </row>
    <row r="74" spans="1:4">
      <c r="B74">
        <f>B72*B73</f>
        <v>233.99999999999997</v>
      </c>
    </row>
  </sheetData>
  <mergeCells count="33">
    <mergeCell ref="K1:P1"/>
    <mergeCell ref="K3:L3"/>
    <mergeCell ref="M3:N3"/>
    <mergeCell ref="O3:P3"/>
    <mergeCell ref="K2:L2"/>
    <mergeCell ref="M2:N2"/>
    <mergeCell ref="O2:P2"/>
    <mergeCell ref="A1:I1"/>
    <mergeCell ref="B51:C51"/>
    <mergeCell ref="B52:C52"/>
    <mergeCell ref="B53:C53"/>
    <mergeCell ref="B54:C54"/>
    <mergeCell ref="B3:C3"/>
    <mergeCell ref="D3:E3"/>
    <mergeCell ref="F3:G3"/>
    <mergeCell ref="H3:I3"/>
    <mergeCell ref="B2:I2"/>
    <mergeCell ref="D58:E58"/>
    <mergeCell ref="D59:E59"/>
    <mergeCell ref="A62:C62"/>
    <mergeCell ref="A44:E44"/>
    <mergeCell ref="B55:C55"/>
    <mergeCell ref="B57:C57"/>
    <mergeCell ref="B58:C58"/>
    <mergeCell ref="B59:C59"/>
    <mergeCell ref="D51:E51"/>
    <mergeCell ref="D52:E52"/>
    <mergeCell ref="D53:E53"/>
    <mergeCell ref="D54:E54"/>
    <mergeCell ref="D55:E55"/>
    <mergeCell ref="D57:E57"/>
    <mergeCell ref="D56:E56"/>
    <mergeCell ref="B56:C56"/>
  </mergeCells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8"/>
  <sheetViews>
    <sheetView tabSelected="1" topLeftCell="A29" workbookViewId="0">
      <pane xSplit="2" topLeftCell="C1" activePane="topRight" state="frozen"/>
      <selection pane="topRight" sqref="A1:B18"/>
    </sheetView>
  </sheetViews>
  <sheetFormatPr baseColWidth="10" defaultColWidth="8.83203125" defaultRowHeight="15"/>
  <cols>
    <col min="1" max="1" width="16.83203125" customWidth="1"/>
    <col min="3" max="18" width="7.5" customWidth="1"/>
  </cols>
  <sheetData>
    <row r="1" spans="1:21" ht="24">
      <c r="A1" s="290" t="s">
        <v>149</v>
      </c>
      <c r="B1" s="291"/>
      <c r="C1" s="292" t="s">
        <v>176</v>
      </c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3" t="s">
        <v>134</v>
      </c>
      <c r="T1" s="295" t="s">
        <v>341</v>
      </c>
      <c r="U1" s="296" t="s">
        <v>342</v>
      </c>
    </row>
    <row r="2" spans="1:21" ht="16" thickBot="1">
      <c r="A2" s="27" t="s">
        <v>135</v>
      </c>
      <c r="B2" s="28" t="s">
        <v>85</v>
      </c>
      <c r="C2" s="27" t="s">
        <v>86</v>
      </c>
      <c r="D2" s="27" t="s">
        <v>87</v>
      </c>
      <c r="E2" s="27" t="s">
        <v>88</v>
      </c>
      <c r="F2" s="27" t="s">
        <v>178</v>
      </c>
      <c r="G2" s="27" t="s">
        <v>89</v>
      </c>
      <c r="H2" s="27" t="s">
        <v>90</v>
      </c>
      <c r="I2" s="27" t="s">
        <v>91</v>
      </c>
      <c r="J2" s="27" t="s">
        <v>92</v>
      </c>
      <c r="K2" s="27" t="s">
        <v>93</v>
      </c>
      <c r="L2" s="27" t="s">
        <v>94</v>
      </c>
      <c r="M2" s="27" t="s">
        <v>95</v>
      </c>
      <c r="N2" s="27" t="s">
        <v>96</v>
      </c>
      <c r="O2" s="27" t="s">
        <v>97</v>
      </c>
      <c r="P2" s="27" t="s">
        <v>98</v>
      </c>
      <c r="Q2" s="27" t="s">
        <v>99</v>
      </c>
      <c r="R2" s="27" t="s">
        <v>100</v>
      </c>
      <c r="S2" s="294"/>
      <c r="T2" s="295"/>
      <c r="U2" s="296"/>
    </row>
    <row r="3" spans="1:21">
      <c r="A3" s="23" t="s">
        <v>136</v>
      </c>
      <c r="B3" s="22" t="s">
        <v>86</v>
      </c>
      <c r="C3" s="17">
        <v>0</v>
      </c>
      <c r="D3">
        <v>233</v>
      </c>
      <c r="E3">
        <v>628</v>
      </c>
      <c r="F3">
        <v>598</v>
      </c>
      <c r="G3">
        <v>632</v>
      </c>
      <c r="H3">
        <v>656</v>
      </c>
      <c r="I3">
        <v>204</v>
      </c>
      <c r="J3">
        <v>822</v>
      </c>
      <c r="K3">
        <v>513</v>
      </c>
      <c r="L3">
        <v>366</v>
      </c>
      <c r="M3">
        <v>207</v>
      </c>
      <c r="N3">
        <v>218</v>
      </c>
      <c r="O3">
        <v>509</v>
      </c>
      <c r="P3">
        <v>459</v>
      </c>
      <c r="Q3">
        <v>751</v>
      </c>
      <c r="R3" s="24">
        <v>339</v>
      </c>
      <c r="S3" s="26">
        <f>SUM(C3:R3)</f>
        <v>7135</v>
      </c>
      <c r="T3" s="234">
        <v>9.1829000000000001</v>
      </c>
      <c r="U3" s="235">
        <v>48.775799999999997</v>
      </c>
    </row>
    <row r="4" spans="1:21">
      <c r="A4" s="23" t="s">
        <v>137</v>
      </c>
      <c r="B4" s="22" t="s">
        <v>87</v>
      </c>
      <c r="C4">
        <v>233</v>
      </c>
      <c r="D4" s="17">
        <v>0</v>
      </c>
      <c r="E4">
        <v>584</v>
      </c>
      <c r="F4">
        <v>554</v>
      </c>
      <c r="G4">
        <v>751</v>
      </c>
      <c r="H4">
        <v>775</v>
      </c>
      <c r="I4">
        <v>392</v>
      </c>
      <c r="J4">
        <v>778</v>
      </c>
      <c r="K4">
        <v>632</v>
      </c>
      <c r="L4">
        <v>573</v>
      </c>
      <c r="M4">
        <v>427</v>
      </c>
      <c r="N4">
        <v>429</v>
      </c>
      <c r="O4">
        <v>461</v>
      </c>
      <c r="P4">
        <v>439</v>
      </c>
      <c r="Q4">
        <v>871</v>
      </c>
      <c r="R4" s="24">
        <v>396</v>
      </c>
      <c r="S4" s="26">
        <f t="shared" ref="S4:S18" si="0">SUM(C4:R4)</f>
        <v>8295</v>
      </c>
      <c r="T4" s="234">
        <v>11.582000000000001</v>
      </c>
      <c r="U4" s="235">
        <v>48.135100000000001</v>
      </c>
    </row>
    <row r="5" spans="1:21">
      <c r="A5" s="23" t="s">
        <v>88</v>
      </c>
      <c r="B5" s="22" t="s">
        <v>88</v>
      </c>
      <c r="C5">
        <v>628</v>
      </c>
      <c r="D5">
        <v>584</v>
      </c>
      <c r="E5" s="17">
        <v>0</v>
      </c>
      <c r="F5">
        <v>32.5</v>
      </c>
      <c r="G5">
        <v>407</v>
      </c>
      <c r="H5">
        <v>290</v>
      </c>
      <c r="I5">
        <v>546</v>
      </c>
      <c r="J5">
        <v>234</v>
      </c>
      <c r="K5">
        <v>291</v>
      </c>
      <c r="L5">
        <v>578</v>
      </c>
      <c r="M5">
        <v>545</v>
      </c>
      <c r="N5">
        <v>724</v>
      </c>
      <c r="O5">
        <v>196</v>
      </c>
      <c r="P5">
        <v>170</v>
      </c>
      <c r="Q5">
        <v>357</v>
      </c>
      <c r="R5" s="24">
        <v>301</v>
      </c>
      <c r="S5" s="26">
        <f t="shared" si="0"/>
        <v>5883.5</v>
      </c>
      <c r="T5" s="234">
        <v>13.404999999999999</v>
      </c>
      <c r="U5" s="235">
        <v>52.52</v>
      </c>
    </row>
    <row r="6" spans="1:21">
      <c r="A6" s="23" t="s">
        <v>138</v>
      </c>
      <c r="B6" s="22" t="s">
        <v>178</v>
      </c>
      <c r="C6">
        <v>598</v>
      </c>
      <c r="D6">
        <v>554</v>
      </c>
      <c r="E6">
        <v>32.5</v>
      </c>
      <c r="F6" s="17">
        <v>0</v>
      </c>
      <c r="G6">
        <v>369</v>
      </c>
      <c r="H6">
        <v>284</v>
      </c>
      <c r="I6">
        <v>516</v>
      </c>
      <c r="J6">
        <v>229</v>
      </c>
      <c r="K6">
        <v>261</v>
      </c>
      <c r="L6">
        <v>548</v>
      </c>
      <c r="M6">
        <v>546</v>
      </c>
      <c r="N6">
        <v>695</v>
      </c>
      <c r="O6">
        <v>200</v>
      </c>
      <c r="P6">
        <v>141</v>
      </c>
      <c r="Q6">
        <v>350</v>
      </c>
      <c r="R6" s="24">
        <v>272</v>
      </c>
      <c r="S6" s="26">
        <f t="shared" si="0"/>
        <v>5595.5</v>
      </c>
      <c r="T6" s="234">
        <v>13.064500000000001</v>
      </c>
      <c r="U6" s="235">
        <v>52.390599999999999</v>
      </c>
    </row>
    <row r="7" spans="1:21">
      <c r="A7" s="23" t="s">
        <v>89</v>
      </c>
      <c r="B7" s="22" t="s">
        <v>89</v>
      </c>
      <c r="C7">
        <v>632</v>
      </c>
      <c r="D7">
        <v>751</v>
      </c>
      <c r="E7">
        <v>407</v>
      </c>
      <c r="F7">
        <v>369</v>
      </c>
      <c r="G7" s="17">
        <v>0</v>
      </c>
      <c r="H7">
        <v>127</v>
      </c>
      <c r="I7">
        <v>442</v>
      </c>
      <c r="J7">
        <v>300</v>
      </c>
      <c r="K7">
        <v>135</v>
      </c>
      <c r="L7">
        <v>314</v>
      </c>
      <c r="M7">
        <v>471</v>
      </c>
      <c r="N7">
        <v>553</v>
      </c>
      <c r="O7">
        <v>471</v>
      </c>
      <c r="P7">
        <v>331</v>
      </c>
      <c r="Q7">
        <v>211</v>
      </c>
      <c r="R7" s="24">
        <v>368</v>
      </c>
      <c r="S7" s="26">
        <f t="shared" si="0"/>
        <v>5882</v>
      </c>
      <c r="T7" s="234">
        <v>8.8017000000000003</v>
      </c>
      <c r="U7" s="235">
        <v>53.079300000000003</v>
      </c>
    </row>
    <row r="8" spans="1:21">
      <c r="A8" s="23" t="s">
        <v>90</v>
      </c>
      <c r="B8" s="22" t="s">
        <v>90</v>
      </c>
      <c r="C8">
        <v>656</v>
      </c>
      <c r="D8">
        <v>775</v>
      </c>
      <c r="E8">
        <v>290</v>
      </c>
      <c r="F8">
        <v>284</v>
      </c>
      <c r="G8">
        <v>127</v>
      </c>
      <c r="H8" s="17">
        <v>0</v>
      </c>
      <c r="I8">
        <v>492</v>
      </c>
      <c r="J8">
        <v>180</v>
      </c>
      <c r="K8">
        <v>159</v>
      </c>
      <c r="L8">
        <v>424</v>
      </c>
      <c r="M8">
        <v>521</v>
      </c>
      <c r="N8">
        <v>663</v>
      </c>
      <c r="O8">
        <v>476</v>
      </c>
      <c r="P8">
        <v>355</v>
      </c>
      <c r="Q8">
        <v>95.4</v>
      </c>
      <c r="R8" s="24">
        <v>391</v>
      </c>
      <c r="S8" s="26">
        <f t="shared" si="0"/>
        <v>5888.4</v>
      </c>
      <c r="T8" s="234">
        <v>9.9937000000000005</v>
      </c>
      <c r="U8" s="235">
        <v>53.551099999999998</v>
      </c>
    </row>
    <row r="9" spans="1:21">
      <c r="A9" s="23" t="s">
        <v>139</v>
      </c>
      <c r="B9" s="22" t="s">
        <v>91</v>
      </c>
      <c r="C9">
        <v>204</v>
      </c>
      <c r="D9">
        <v>392</v>
      </c>
      <c r="E9">
        <v>546</v>
      </c>
      <c r="F9">
        <v>516</v>
      </c>
      <c r="G9">
        <v>442</v>
      </c>
      <c r="H9">
        <v>492</v>
      </c>
      <c r="I9" s="17">
        <v>0</v>
      </c>
      <c r="J9">
        <v>671</v>
      </c>
      <c r="K9">
        <v>354</v>
      </c>
      <c r="L9">
        <v>190</v>
      </c>
      <c r="M9">
        <v>43.4</v>
      </c>
      <c r="N9">
        <v>186</v>
      </c>
      <c r="O9">
        <v>465</v>
      </c>
      <c r="P9">
        <v>382</v>
      </c>
      <c r="Q9">
        <v>593</v>
      </c>
      <c r="R9" s="24">
        <v>262</v>
      </c>
      <c r="S9" s="26">
        <f t="shared" si="0"/>
        <v>5738.4</v>
      </c>
      <c r="T9" s="234">
        <v>8.6821000000000002</v>
      </c>
      <c r="U9" s="235">
        <v>50.110900000000001</v>
      </c>
    </row>
    <row r="10" spans="1:21">
      <c r="A10" s="23" t="s">
        <v>140</v>
      </c>
      <c r="B10" s="22" t="s">
        <v>92</v>
      </c>
      <c r="C10">
        <v>822</v>
      </c>
      <c r="D10">
        <v>778</v>
      </c>
      <c r="E10">
        <v>234</v>
      </c>
      <c r="F10">
        <v>229</v>
      </c>
      <c r="G10">
        <v>300</v>
      </c>
      <c r="H10">
        <v>180</v>
      </c>
      <c r="I10">
        <v>671</v>
      </c>
      <c r="J10" s="17">
        <v>0</v>
      </c>
      <c r="K10">
        <v>304</v>
      </c>
      <c r="L10">
        <v>599</v>
      </c>
      <c r="M10">
        <v>696</v>
      </c>
      <c r="N10">
        <v>837</v>
      </c>
      <c r="O10">
        <v>427</v>
      </c>
      <c r="P10">
        <v>377</v>
      </c>
      <c r="Q10">
        <v>200</v>
      </c>
      <c r="R10" s="24">
        <v>500</v>
      </c>
      <c r="S10" s="26">
        <f t="shared" si="0"/>
        <v>7154</v>
      </c>
      <c r="T10" s="234">
        <v>12.0991</v>
      </c>
      <c r="U10" s="235">
        <v>54.092399999999998</v>
      </c>
    </row>
    <row r="11" spans="1:21">
      <c r="A11" s="23" t="s">
        <v>141</v>
      </c>
      <c r="B11" s="22" t="s">
        <v>93</v>
      </c>
      <c r="C11">
        <v>513</v>
      </c>
      <c r="D11">
        <v>632</v>
      </c>
      <c r="E11">
        <v>291</v>
      </c>
      <c r="F11">
        <v>261</v>
      </c>
      <c r="G11">
        <v>135</v>
      </c>
      <c r="H11">
        <v>159</v>
      </c>
      <c r="I11">
        <v>354</v>
      </c>
      <c r="J11">
        <v>304</v>
      </c>
      <c r="K11" s="17">
        <v>0</v>
      </c>
      <c r="L11">
        <v>293</v>
      </c>
      <c r="M11">
        <v>379</v>
      </c>
      <c r="N11">
        <v>528</v>
      </c>
      <c r="O11">
        <v>367</v>
      </c>
      <c r="P11">
        <v>222</v>
      </c>
      <c r="Q11">
        <v>247</v>
      </c>
      <c r="R11" s="24">
        <v>217</v>
      </c>
      <c r="S11" s="30">
        <f t="shared" si="0"/>
        <v>4902</v>
      </c>
      <c r="T11" s="234">
        <v>9.7319999999999993</v>
      </c>
      <c r="U11" s="235">
        <v>52.375900000000001</v>
      </c>
    </row>
    <row r="12" spans="1:21">
      <c r="A12" s="23" t="s">
        <v>142</v>
      </c>
      <c r="B12" s="22" t="s">
        <v>94</v>
      </c>
      <c r="C12">
        <v>366</v>
      </c>
      <c r="D12">
        <v>573</v>
      </c>
      <c r="E12">
        <v>578</v>
      </c>
      <c r="F12">
        <v>548</v>
      </c>
      <c r="G12">
        <v>314</v>
      </c>
      <c r="H12">
        <v>424</v>
      </c>
      <c r="I12">
        <v>190</v>
      </c>
      <c r="J12">
        <v>599</v>
      </c>
      <c r="K12">
        <v>293</v>
      </c>
      <c r="L12" s="17">
        <v>0</v>
      </c>
      <c r="M12">
        <v>179</v>
      </c>
      <c r="N12">
        <v>245</v>
      </c>
      <c r="O12">
        <v>573</v>
      </c>
      <c r="P12">
        <v>453</v>
      </c>
      <c r="Q12">
        <v>509</v>
      </c>
      <c r="R12" s="24">
        <v>369</v>
      </c>
      <c r="S12" s="26">
        <f t="shared" si="0"/>
        <v>6213</v>
      </c>
      <c r="T12" s="234">
        <v>6.9603000000000002</v>
      </c>
      <c r="U12" s="235">
        <v>50.9375</v>
      </c>
    </row>
    <row r="13" spans="1:21">
      <c r="A13" s="23" t="s">
        <v>143</v>
      </c>
      <c r="B13" s="22" t="s">
        <v>95</v>
      </c>
      <c r="C13">
        <v>207</v>
      </c>
      <c r="D13">
        <v>427</v>
      </c>
      <c r="E13">
        <v>545</v>
      </c>
      <c r="F13">
        <v>546</v>
      </c>
      <c r="G13">
        <v>471</v>
      </c>
      <c r="H13">
        <v>521</v>
      </c>
      <c r="I13">
        <v>43.4</v>
      </c>
      <c r="J13">
        <v>696</v>
      </c>
      <c r="K13">
        <v>379</v>
      </c>
      <c r="L13">
        <v>179</v>
      </c>
      <c r="M13" s="17">
        <v>0</v>
      </c>
      <c r="N13">
        <v>147</v>
      </c>
      <c r="O13">
        <v>504</v>
      </c>
      <c r="P13">
        <v>419</v>
      </c>
      <c r="Q13">
        <v>630</v>
      </c>
      <c r="R13" s="24">
        <v>299</v>
      </c>
      <c r="S13" s="26">
        <f t="shared" si="0"/>
        <v>6013.4</v>
      </c>
      <c r="T13" s="234">
        <v>8.2472999999999992</v>
      </c>
      <c r="U13" s="235">
        <v>49.992899999999999</v>
      </c>
    </row>
    <row r="14" spans="1:21">
      <c r="A14" s="23" t="s">
        <v>144</v>
      </c>
      <c r="B14" s="22" t="s">
        <v>96</v>
      </c>
      <c r="C14">
        <v>218</v>
      </c>
      <c r="D14">
        <v>429</v>
      </c>
      <c r="E14">
        <v>724</v>
      </c>
      <c r="F14">
        <v>695</v>
      </c>
      <c r="G14">
        <v>553</v>
      </c>
      <c r="H14">
        <v>663</v>
      </c>
      <c r="I14">
        <v>186</v>
      </c>
      <c r="J14">
        <v>837</v>
      </c>
      <c r="K14">
        <v>528</v>
      </c>
      <c r="L14">
        <v>245</v>
      </c>
      <c r="M14">
        <v>147</v>
      </c>
      <c r="N14" s="17">
        <v>0</v>
      </c>
      <c r="O14">
        <v>640</v>
      </c>
      <c r="P14">
        <v>556</v>
      </c>
      <c r="Q14">
        <v>746</v>
      </c>
      <c r="R14" s="24">
        <v>436</v>
      </c>
      <c r="S14" s="26">
        <f t="shared" si="0"/>
        <v>7603</v>
      </c>
      <c r="T14" s="234">
        <v>6.9969000000000001</v>
      </c>
      <c r="U14" s="235">
        <v>49.240200000000002</v>
      </c>
    </row>
    <row r="15" spans="1:21">
      <c r="A15" s="23" t="s">
        <v>145</v>
      </c>
      <c r="B15" s="22" t="s">
        <v>97</v>
      </c>
      <c r="C15">
        <v>509</v>
      </c>
      <c r="D15">
        <v>461</v>
      </c>
      <c r="E15">
        <v>196</v>
      </c>
      <c r="F15">
        <v>200</v>
      </c>
      <c r="G15">
        <v>471</v>
      </c>
      <c r="H15">
        <v>476</v>
      </c>
      <c r="I15">
        <v>465</v>
      </c>
      <c r="J15">
        <v>427</v>
      </c>
      <c r="K15">
        <v>367</v>
      </c>
      <c r="L15">
        <v>573</v>
      </c>
      <c r="M15">
        <v>504</v>
      </c>
      <c r="N15">
        <v>640</v>
      </c>
      <c r="O15" s="17">
        <v>0</v>
      </c>
      <c r="P15">
        <v>145</v>
      </c>
      <c r="Q15">
        <v>544</v>
      </c>
      <c r="R15" s="24">
        <v>215</v>
      </c>
      <c r="S15" s="26">
        <f t="shared" si="0"/>
        <v>6193</v>
      </c>
      <c r="T15" s="234">
        <v>13.737299999999999</v>
      </c>
      <c r="U15" s="235">
        <v>51.050400000000003</v>
      </c>
    </row>
    <row r="16" spans="1:21">
      <c r="A16" s="23" t="s">
        <v>146</v>
      </c>
      <c r="B16" s="22" t="s">
        <v>98</v>
      </c>
      <c r="C16">
        <v>459</v>
      </c>
      <c r="D16">
        <v>439</v>
      </c>
      <c r="E16">
        <v>170</v>
      </c>
      <c r="F16">
        <v>141</v>
      </c>
      <c r="G16">
        <v>331</v>
      </c>
      <c r="H16">
        <v>355</v>
      </c>
      <c r="I16">
        <v>382</v>
      </c>
      <c r="J16">
        <v>377</v>
      </c>
      <c r="K16">
        <v>222</v>
      </c>
      <c r="L16">
        <v>453</v>
      </c>
      <c r="M16">
        <v>419</v>
      </c>
      <c r="N16">
        <v>556</v>
      </c>
      <c r="O16">
        <v>145</v>
      </c>
      <c r="P16" s="17">
        <v>0</v>
      </c>
      <c r="Q16">
        <v>463</v>
      </c>
      <c r="R16" s="24">
        <v>118</v>
      </c>
      <c r="S16" s="30">
        <f t="shared" si="0"/>
        <v>5030</v>
      </c>
      <c r="T16" s="234">
        <v>11.9688</v>
      </c>
      <c r="U16" s="235">
        <v>51.497</v>
      </c>
    </row>
    <row r="17" spans="1:26">
      <c r="A17" s="23" t="s">
        <v>147</v>
      </c>
      <c r="B17" s="22" t="s">
        <v>99</v>
      </c>
      <c r="C17">
        <v>751</v>
      </c>
      <c r="D17">
        <v>871</v>
      </c>
      <c r="E17">
        <v>357</v>
      </c>
      <c r="F17">
        <v>350</v>
      </c>
      <c r="G17">
        <v>211</v>
      </c>
      <c r="H17">
        <v>95.4</v>
      </c>
      <c r="I17">
        <v>593</v>
      </c>
      <c r="J17">
        <v>200</v>
      </c>
      <c r="K17">
        <v>247</v>
      </c>
      <c r="L17">
        <v>509</v>
      </c>
      <c r="M17">
        <v>630</v>
      </c>
      <c r="N17">
        <v>746</v>
      </c>
      <c r="O17">
        <v>544</v>
      </c>
      <c r="P17">
        <v>463</v>
      </c>
      <c r="Q17" s="17">
        <v>0</v>
      </c>
      <c r="R17" s="24">
        <v>487</v>
      </c>
      <c r="S17" s="26">
        <f t="shared" si="0"/>
        <v>7054.4</v>
      </c>
      <c r="T17" s="234">
        <v>10.1228</v>
      </c>
      <c r="U17" s="235">
        <v>54.323300000000003</v>
      </c>
    </row>
    <row r="18" spans="1:26">
      <c r="A18" s="23" t="s">
        <v>148</v>
      </c>
      <c r="B18" s="22" t="s">
        <v>100</v>
      </c>
      <c r="C18">
        <v>339</v>
      </c>
      <c r="D18">
        <v>396</v>
      </c>
      <c r="E18">
        <v>301</v>
      </c>
      <c r="F18">
        <v>272</v>
      </c>
      <c r="G18">
        <v>368</v>
      </c>
      <c r="H18">
        <v>391</v>
      </c>
      <c r="I18">
        <v>262</v>
      </c>
      <c r="J18">
        <v>500</v>
      </c>
      <c r="K18">
        <v>217</v>
      </c>
      <c r="L18">
        <v>369</v>
      </c>
      <c r="M18">
        <v>299</v>
      </c>
      <c r="N18">
        <v>436</v>
      </c>
      <c r="O18">
        <v>215</v>
      </c>
      <c r="P18">
        <v>118</v>
      </c>
      <c r="Q18">
        <v>487</v>
      </c>
      <c r="R18" s="25">
        <v>0</v>
      </c>
      <c r="S18" s="30">
        <f t="shared" si="0"/>
        <v>4970</v>
      </c>
      <c r="T18" s="234">
        <v>11.0299</v>
      </c>
      <c r="U18" s="235">
        <v>50.9848</v>
      </c>
    </row>
    <row r="21" spans="1:26" ht="24">
      <c r="A21" s="290" t="s">
        <v>149</v>
      </c>
      <c r="B21" s="291"/>
      <c r="C21" s="292" t="s">
        <v>177</v>
      </c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3" t="s">
        <v>134</v>
      </c>
      <c r="T21" s="295" t="s">
        <v>341</v>
      </c>
      <c r="U21" s="296" t="s">
        <v>342</v>
      </c>
    </row>
    <row r="22" spans="1:26" ht="16" thickBot="1">
      <c r="A22" s="27" t="s">
        <v>135</v>
      </c>
      <c r="B22" s="28" t="s">
        <v>85</v>
      </c>
      <c r="C22" s="27" t="s">
        <v>86</v>
      </c>
      <c r="D22" s="27" t="s">
        <v>87</v>
      </c>
      <c r="E22" s="27" t="s">
        <v>88</v>
      </c>
      <c r="F22" s="27" t="s">
        <v>178</v>
      </c>
      <c r="G22" s="27" t="s">
        <v>89</v>
      </c>
      <c r="H22" s="27" t="s">
        <v>90</v>
      </c>
      <c r="I22" s="27" t="s">
        <v>91</v>
      </c>
      <c r="J22" s="27" t="s">
        <v>92</v>
      </c>
      <c r="K22" s="27" t="s">
        <v>93</v>
      </c>
      <c r="L22" s="27" t="s">
        <v>94</v>
      </c>
      <c r="M22" s="27" t="s">
        <v>95</v>
      </c>
      <c r="N22" s="27" t="s">
        <v>96</v>
      </c>
      <c r="O22" s="27" t="s">
        <v>97</v>
      </c>
      <c r="P22" s="27" t="s">
        <v>98</v>
      </c>
      <c r="Q22" s="27" t="s">
        <v>99</v>
      </c>
      <c r="R22" s="27" t="s">
        <v>100</v>
      </c>
      <c r="S22" s="294"/>
      <c r="T22" s="295"/>
      <c r="U22" s="296"/>
    </row>
    <row r="23" spans="1:26">
      <c r="A23" s="23" t="s">
        <v>136</v>
      </c>
      <c r="B23" s="22" t="s">
        <v>86</v>
      </c>
      <c r="C23" s="17">
        <v>0</v>
      </c>
      <c r="D23">
        <v>191</v>
      </c>
      <c r="E23">
        <v>511</v>
      </c>
      <c r="F23">
        <v>487</v>
      </c>
      <c r="G23">
        <v>479</v>
      </c>
      <c r="H23">
        <v>535</v>
      </c>
      <c r="I23">
        <v>153</v>
      </c>
      <c r="J23">
        <v>625</v>
      </c>
      <c r="K23">
        <v>402</v>
      </c>
      <c r="L23">
        <v>289</v>
      </c>
      <c r="M23">
        <v>151</v>
      </c>
      <c r="N23">
        <v>168</v>
      </c>
      <c r="O23">
        <v>413</v>
      </c>
      <c r="P23">
        <v>361</v>
      </c>
      <c r="Q23">
        <v>620</v>
      </c>
      <c r="R23" s="24">
        <v>278</v>
      </c>
      <c r="S23" s="26">
        <f>SUM(C23:R23)</f>
        <v>5663</v>
      </c>
      <c r="T23" s="234">
        <v>9.1829000000000001</v>
      </c>
      <c r="U23" s="235">
        <v>48.775799999999997</v>
      </c>
      <c r="X23" s="233"/>
      <c r="Z23" s="233"/>
    </row>
    <row r="24" spans="1:26">
      <c r="A24" s="23" t="s">
        <v>137</v>
      </c>
      <c r="B24" s="22" t="s">
        <v>87</v>
      </c>
      <c r="C24">
        <v>191</v>
      </c>
      <c r="D24" s="17">
        <v>0</v>
      </c>
      <c r="E24">
        <v>504</v>
      </c>
      <c r="F24">
        <v>486</v>
      </c>
      <c r="G24">
        <v>583</v>
      </c>
      <c r="H24">
        <v>613</v>
      </c>
      <c r="I24">
        <v>305</v>
      </c>
      <c r="J24">
        <v>663</v>
      </c>
      <c r="K24">
        <v>489</v>
      </c>
      <c r="L24">
        <v>456</v>
      </c>
      <c r="M24">
        <v>318</v>
      </c>
      <c r="N24">
        <v>358</v>
      </c>
      <c r="O24">
        <v>360</v>
      </c>
      <c r="P24">
        <v>373</v>
      </c>
      <c r="Q24">
        <v>695</v>
      </c>
      <c r="R24" s="24">
        <v>319</v>
      </c>
      <c r="S24" s="26">
        <f t="shared" ref="S24:S38" si="1">SUM(C24:R24)</f>
        <v>6713</v>
      </c>
      <c r="T24" s="234">
        <v>11.582000000000001</v>
      </c>
      <c r="U24" s="235">
        <v>48.135100000000001</v>
      </c>
      <c r="X24" s="233"/>
    </row>
    <row r="25" spans="1:26">
      <c r="A25" s="23" t="s">
        <v>88</v>
      </c>
      <c r="B25" s="22" t="s">
        <v>88</v>
      </c>
      <c r="C25">
        <v>511</v>
      </c>
      <c r="D25">
        <v>504</v>
      </c>
      <c r="E25" s="17">
        <v>0</v>
      </c>
      <c r="F25">
        <v>26</v>
      </c>
      <c r="G25">
        <v>314</v>
      </c>
      <c r="H25">
        <v>255</v>
      </c>
      <c r="I25">
        <v>423</v>
      </c>
      <c r="J25">
        <v>194</v>
      </c>
      <c r="K25">
        <v>248</v>
      </c>
      <c r="L25">
        <v>476</v>
      </c>
      <c r="M25">
        <v>453</v>
      </c>
      <c r="N25">
        <v>578</v>
      </c>
      <c r="O25">
        <v>165</v>
      </c>
      <c r="P25">
        <v>151</v>
      </c>
      <c r="Q25">
        <v>295</v>
      </c>
      <c r="R25" s="24">
        <v>236</v>
      </c>
      <c r="S25" s="26">
        <f t="shared" si="1"/>
        <v>4829</v>
      </c>
      <c r="T25" s="234">
        <v>13.404999999999999</v>
      </c>
      <c r="U25" s="235">
        <v>52.52</v>
      </c>
      <c r="X25" s="233"/>
    </row>
    <row r="26" spans="1:26">
      <c r="A26" s="23" t="s">
        <v>138</v>
      </c>
      <c r="B26" s="22" t="s">
        <v>178</v>
      </c>
      <c r="C26">
        <v>487</v>
      </c>
      <c r="D26">
        <v>486</v>
      </c>
      <c r="E26">
        <v>26</v>
      </c>
      <c r="F26" s="17">
        <v>0</v>
      </c>
      <c r="G26">
        <v>296</v>
      </c>
      <c r="H26">
        <v>243</v>
      </c>
      <c r="I26">
        <v>397</v>
      </c>
      <c r="J26">
        <v>198</v>
      </c>
      <c r="K26">
        <v>226</v>
      </c>
      <c r="L26">
        <v>451</v>
      </c>
      <c r="M26">
        <v>428</v>
      </c>
      <c r="N26">
        <v>552</v>
      </c>
      <c r="O26">
        <v>157</v>
      </c>
      <c r="P26">
        <v>127</v>
      </c>
      <c r="Q26">
        <v>289</v>
      </c>
      <c r="R26" s="24">
        <v>212</v>
      </c>
      <c r="S26" s="26">
        <f t="shared" si="1"/>
        <v>4575</v>
      </c>
      <c r="T26" s="234">
        <v>13.064500000000001</v>
      </c>
      <c r="U26" s="235">
        <v>52.390599999999999</v>
      </c>
      <c r="X26" s="233"/>
    </row>
    <row r="27" spans="1:26">
      <c r="A27" s="23" t="s">
        <v>89</v>
      </c>
      <c r="B27" s="22" t="s">
        <v>89</v>
      </c>
      <c r="C27">
        <v>479</v>
      </c>
      <c r="D27">
        <v>583</v>
      </c>
      <c r="E27">
        <v>314</v>
      </c>
      <c r="F27">
        <v>296</v>
      </c>
      <c r="G27" s="17">
        <v>0</v>
      </c>
      <c r="H27">
        <v>95</v>
      </c>
      <c r="I27">
        <v>330</v>
      </c>
      <c r="J27">
        <v>247</v>
      </c>
      <c r="K27">
        <v>101</v>
      </c>
      <c r="L27">
        <v>270</v>
      </c>
      <c r="M27">
        <v>345</v>
      </c>
      <c r="N27">
        <v>446</v>
      </c>
      <c r="O27">
        <v>405</v>
      </c>
      <c r="P27">
        <v>280</v>
      </c>
      <c r="Q27">
        <v>164</v>
      </c>
      <c r="R27" s="24">
        <v>279</v>
      </c>
      <c r="S27" s="26">
        <f t="shared" si="1"/>
        <v>4634</v>
      </c>
      <c r="T27" s="234">
        <v>8.8017000000000003</v>
      </c>
      <c r="U27" s="235">
        <v>53.079300000000003</v>
      </c>
      <c r="X27" s="233"/>
    </row>
    <row r="28" spans="1:26">
      <c r="A28" s="23" t="s">
        <v>90</v>
      </c>
      <c r="B28" s="22" t="s">
        <v>90</v>
      </c>
      <c r="C28">
        <v>535</v>
      </c>
      <c r="D28">
        <v>613</v>
      </c>
      <c r="E28">
        <v>255</v>
      </c>
      <c r="F28">
        <v>243</v>
      </c>
      <c r="G28">
        <v>95</v>
      </c>
      <c r="H28" s="17">
        <v>0</v>
      </c>
      <c r="I28">
        <v>394</v>
      </c>
      <c r="J28">
        <v>153</v>
      </c>
      <c r="K28">
        <v>133</v>
      </c>
      <c r="L28">
        <v>357</v>
      </c>
      <c r="M28">
        <v>413</v>
      </c>
      <c r="N28">
        <v>524</v>
      </c>
      <c r="O28">
        <v>377</v>
      </c>
      <c r="P28">
        <v>267</v>
      </c>
      <c r="Q28">
        <v>86</v>
      </c>
      <c r="R28" s="24">
        <v>296</v>
      </c>
      <c r="S28" s="26">
        <f t="shared" si="1"/>
        <v>4741</v>
      </c>
      <c r="T28" s="234">
        <v>9.9937000000000005</v>
      </c>
      <c r="U28" s="235">
        <v>53.551099999999998</v>
      </c>
      <c r="X28" s="233"/>
    </row>
    <row r="29" spans="1:26">
      <c r="A29" s="23" t="s">
        <v>139</v>
      </c>
      <c r="B29" s="22" t="s">
        <v>91</v>
      </c>
      <c r="C29">
        <v>153</v>
      </c>
      <c r="D29">
        <v>305</v>
      </c>
      <c r="E29">
        <v>423</v>
      </c>
      <c r="F29">
        <v>397</v>
      </c>
      <c r="G29">
        <v>330</v>
      </c>
      <c r="H29">
        <v>394</v>
      </c>
      <c r="I29" s="17">
        <v>0</v>
      </c>
      <c r="J29">
        <v>502</v>
      </c>
      <c r="K29">
        <v>262</v>
      </c>
      <c r="L29">
        <v>153</v>
      </c>
      <c r="M29">
        <v>33</v>
      </c>
      <c r="N29">
        <v>156</v>
      </c>
      <c r="O29">
        <v>372</v>
      </c>
      <c r="P29">
        <v>278</v>
      </c>
      <c r="Q29">
        <v>479</v>
      </c>
      <c r="R29" s="24">
        <v>192</v>
      </c>
      <c r="S29" s="26">
        <f t="shared" si="1"/>
        <v>4429</v>
      </c>
      <c r="T29" s="234">
        <v>8.6821000000000002</v>
      </c>
      <c r="U29" s="235">
        <v>50.110900000000001</v>
      </c>
      <c r="X29" s="233"/>
      <c r="Z29" s="233"/>
    </row>
    <row r="30" spans="1:26">
      <c r="A30" s="23" t="s">
        <v>140</v>
      </c>
      <c r="B30" s="22" t="s">
        <v>92</v>
      </c>
      <c r="C30">
        <v>625</v>
      </c>
      <c r="D30">
        <v>663</v>
      </c>
      <c r="E30">
        <v>194</v>
      </c>
      <c r="F30">
        <v>198</v>
      </c>
      <c r="G30">
        <v>247</v>
      </c>
      <c r="H30">
        <v>153</v>
      </c>
      <c r="I30">
        <v>502</v>
      </c>
      <c r="J30" s="17">
        <v>0</v>
      </c>
      <c r="K30">
        <v>249</v>
      </c>
      <c r="L30">
        <v>495</v>
      </c>
      <c r="M30">
        <v>526</v>
      </c>
      <c r="N30">
        <v>646</v>
      </c>
      <c r="O30">
        <v>355</v>
      </c>
      <c r="P30">
        <v>291</v>
      </c>
      <c r="Q30">
        <v>133</v>
      </c>
      <c r="R30" s="24">
        <v>355</v>
      </c>
      <c r="S30" s="26">
        <f t="shared" si="1"/>
        <v>5632</v>
      </c>
      <c r="T30" s="234">
        <v>12.0991</v>
      </c>
      <c r="U30" s="235">
        <v>54.092399999999998</v>
      </c>
      <c r="X30" s="233"/>
    </row>
    <row r="31" spans="1:26">
      <c r="A31" s="23" t="s">
        <v>141</v>
      </c>
      <c r="B31" s="22" t="s">
        <v>93</v>
      </c>
      <c r="C31">
        <v>402</v>
      </c>
      <c r="D31">
        <v>489</v>
      </c>
      <c r="E31">
        <v>248</v>
      </c>
      <c r="F31">
        <v>226</v>
      </c>
      <c r="G31">
        <v>101</v>
      </c>
      <c r="H31">
        <v>133</v>
      </c>
      <c r="I31">
        <v>262</v>
      </c>
      <c r="J31">
        <v>249</v>
      </c>
      <c r="K31" s="17">
        <v>0</v>
      </c>
      <c r="L31">
        <v>249</v>
      </c>
      <c r="M31">
        <v>284</v>
      </c>
      <c r="N31">
        <v>399</v>
      </c>
      <c r="O31">
        <v>313</v>
      </c>
      <c r="P31">
        <v>183</v>
      </c>
      <c r="Q31">
        <v>219</v>
      </c>
      <c r="R31" s="24">
        <v>180</v>
      </c>
      <c r="S31" s="30">
        <f t="shared" si="1"/>
        <v>3937</v>
      </c>
      <c r="T31" s="234">
        <v>9.7319999999999993</v>
      </c>
      <c r="U31" s="235">
        <v>52.375900000000001</v>
      </c>
      <c r="X31" s="233"/>
      <c r="Z31" s="233"/>
    </row>
    <row r="32" spans="1:26">
      <c r="A32" s="23" t="s">
        <v>142</v>
      </c>
      <c r="B32" s="22" t="s">
        <v>94</v>
      </c>
      <c r="C32">
        <v>289</v>
      </c>
      <c r="D32">
        <v>456</v>
      </c>
      <c r="E32">
        <v>476</v>
      </c>
      <c r="F32">
        <v>451</v>
      </c>
      <c r="G32">
        <v>270</v>
      </c>
      <c r="H32">
        <v>357</v>
      </c>
      <c r="I32">
        <v>153</v>
      </c>
      <c r="J32">
        <v>495</v>
      </c>
      <c r="K32">
        <v>249</v>
      </c>
      <c r="L32" s="17">
        <v>0</v>
      </c>
      <c r="M32">
        <v>140</v>
      </c>
      <c r="N32">
        <v>190</v>
      </c>
      <c r="O32">
        <v>475</v>
      </c>
      <c r="P32">
        <v>355</v>
      </c>
      <c r="Q32">
        <v>433</v>
      </c>
      <c r="R32" s="24">
        <v>285</v>
      </c>
      <c r="S32" s="26">
        <f t="shared" si="1"/>
        <v>5074</v>
      </c>
      <c r="T32" s="234">
        <v>6.9603000000000002</v>
      </c>
      <c r="U32" s="235">
        <v>50.9375</v>
      </c>
      <c r="X32" s="233"/>
    </row>
    <row r="33" spans="1:36">
      <c r="A33" s="23" t="s">
        <v>143</v>
      </c>
      <c r="B33" s="22" t="s">
        <v>95</v>
      </c>
      <c r="C33">
        <v>151</v>
      </c>
      <c r="D33">
        <v>318</v>
      </c>
      <c r="E33">
        <v>453</v>
      </c>
      <c r="F33">
        <v>428</v>
      </c>
      <c r="G33">
        <v>345</v>
      </c>
      <c r="H33">
        <v>413</v>
      </c>
      <c r="I33">
        <v>33</v>
      </c>
      <c r="J33">
        <v>526</v>
      </c>
      <c r="K33">
        <v>284</v>
      </c>
      <c r="L33">
        <v>140</v>
      </c>
      <c r="M33" s="17">
        <v>0</v>
      </c>
      <c r="N33">
        <v>125</v>
      </c>
      <c r="O33">
        <v>404</v>
      </c>
      <c r="P33">
        <v>309</v>
      </c>
      <c r="Q33">
        <v>498</v>
      </c>
      <c r="R33" s="24">
        <v>224</v>
      </c>
      <c r="S33" s="26">
        <f t="shared" si="1"/>
        <v>4651</v>
      </c>
      <c r="T33" s="234">
        <v>8.2472999999999992</v>
      </c>
      <c r="U33" s="235">
        <v>49.992899999999999</v>
      </c>
      <c r="X33" s="233"/>
    </row>
    <row r="34" spans="1:36">
      <c r="A34" s="23" t="s">
        <v>144</v>
      </c>
      <c r="B34" s="22" t="s">
        <v>96</v>
      </c>
      <c r="C34">
        <v>168</v>
      </c>
      <c r="D34">
        <v>358</v>
      </c>
      <c r="E34">
        <v>578</v>
      </c>
      <c r="F34">
        <v>552</v>
      </c>
      <c r="G34">
        <v>446</v>
      </c>
      <c r="H34">
        <v>524</v>
      </c>
      <c r="I34">
        <v>156</v>
      </c>
      <c r="J34">
        <v>646</v>
      </c>
      <c r="K34">
        <v>399</v>
      </c>
      <c r="L34">
        <v>190</v>
      </c>
      <c r="M34">
        <v>125</v>
      </c>
      <c r="N34" s="17">
        <v>0</v>
      </c>
      <c r="O34">
        <v>521</v>
      </c>
      <c r="P34">
        <v>433</v>
      </c>
      <c r="Q34">
        <v>606</v>
      </c>
      <c r="R34" s="24">
        <v>347</v>
      </c>
      <c r="S34" s="26">
        <f t="shared" si="1"/>
        <v>6049</v>
      </c>
      <c r="T34" s="234">
        <v>6.9969000000000001</v>
      </c>
      <c r="U34" s="235">
        <v>49.240200000000002</v>
      </c>
      <c r="X34" s="233"/>
      <c r="Z34" s="233"/>
    </row>
    <row r="35" spans="1:36">
      <c r="A35" s="23" t="s">
        <v>145</v>
      </c>
      <c r="B35" s="22" t="s">
        <v>97</v>
      </c>
      <c r="C35">
        <v>413</v>
      </c>
      <c r="D35">
        <v>360</v>
      </c>
      <c r="E35">
        <v>165</v>
      </c>
      <c r="F35">
        <v>157</v>
      </c>
      <c r="G35">
        <v>405</v>
      </c>
      <c r="H35">
        <v>377</v>
      </c>
      <c r="I35">
        <v>372</v>
      </c>
      <c r="J35">
        <v>355</v>
      </c>
      <c r="K35">
        <v>313</v>
      </c>
      <c r="L35">
        <v>475</v>
      </c>
      <c r="M35">
        <v>404</v>
      </c>
      <c r="N35">
        <v>521</v>
      </c>
      <c r="O35" s="17">
        <v>0</v>
      </c>
      <c r="P35">
        <v>132</v>
      </c>
      <c r="Q35">
        <v>437</v>
      </c>
      <c r="R35" s="24">
        <v>190</v>
      </c>
      <c r="S35" s="26">
        <f t="shared" si="1"/>
        <v>5076</v>
      </c>
      <c r="T35" s="234">
        <v>13.737299999999999</v>
      </c>
      <c r="U35" s="235">
        <v>51.050400000000003</v>
      </c>
      <c r="X35" s="233"/>
    </row>
    <row r="36" spans="1:36">
      <c r="A36" s="23" t="s">
        <v>146</v>
      </c>
      <c r="B36" s="22" t="s">
        <v>98</v>
      </c>
      <c r="C36">
        <v>361</v>
      </c>
      <c r="D36">
        <v>373</v>
      </c>
      <c r="E36">
        <v>151</v>
      </c>
      <c r="F36">
        <v>127</v>
      </c>
      <c r="G36">
        <v>280</v>
      </c>
      <c r="H36">
        <v>267</v>
      </c>
      <c r="I36">
        <v>278</v>
      </c>
      <c r="J36">
        <v>291</v>
      </c>
      <c r="K36">
        <v>183</v>
      </c>
      <c r="L36">
        <v>355</v>
      </c>
      <c r="M36">
        <v>309</v>
      </c>
      <c r="N36">
        <v>433</v>
      </c>
      <c r="O36">
        <v>132</v>
      </c>
      <c r="P36" s="17">
        <v>0</v>
      </c>
      <c r="Q36">
        <v>340</v>
      </c>
      <c r="R36" s="24">
        <v>87</v>
      </c>
      <c r="S36" s="30">
        <f t="shared" si="1"/>
        <v>3967</v>
      </c>
      <c r="T36" s="234">
        <v>11.9688</v>
      </c>
      <c r="U36" s="235">
        <v>51.497</v>
      </c>
      <c r="X36" s="233"/>
    </row>
    <row r="37" spans="1:36">
      <c r="A37" s="23" t="s">
        <v>147</v>
      </c>
      <c r="B37" s="22" t="s">
        <v>99</v>
      </c>
      <c r="C37">
        <v>620</v>
      </c>
      <c r="D37">
        <v>695</v>
      </c>
      <c r="E37">
        <v>295</v>
      </c>
      <c r="F37">
        <v>289</v>
      </c>
      <c r="G37">
        <v>164</v>
      </c>
      <c r="H37">
        <v>86</v>
      </c>
      <c r="I37">
        <v>479</v>
      </c>
      <c r="J37">
        <v>133</v>
      </c>
      <c r="K37">
        <v>219</v>
      </c>
      <c r="L37">
        <v>433</v>
      </c>
      <c r="M37">
        <v>498</v>
      </c>
      <c r="N37">
        <v>606</v>
      </c>
      <c r="O37">
        <v>437</v>
      </c>
      <c r="P37">
        <v>340</v>
      </c>
      <c r="Q37" s="17">
        <v>0</v>
      </c>
      <c r="R37" s="24">
        <v>377</v>
      </c>
      <c r="S37" s="26">
        <f t="shared" si="1"/>
        <v>5671</v>
      </c>
      <c r="T37" s="234">
        <v>10.1228</v>
      </c>
      <c r="U37" s="235">
        <v>54.323300000000003</v>
      </c>
      <c r="X37" s="233"/>
    </row>
    <row r="38" spans="1:36">
      <c r="A38" s="23" t="s">
        <v>148</v>
      </c>
      <c r="B38" s="22" t="s">
        <v>100</v>
      </c>
      <c r="C38" s="24">
        <v>278</v>
      </c>
      <c r="D38" s="24">
        <v>319</v>
      </c>
      <c r="E38" s="24">
        <v>236</v>
      </c>
      <c r="F38" s="24">
        <v>212</v>
      </c>
      <c r="G38" s="24">
        <v>279</v>
      </c>
      <c r="H38" s="24">
        <v>296</v>
      </c>
      <c r="I38" s="24">
        <v>192</v>
      </c>
      <c r="J38" s="24">
        <v>355</v>
      </c>
      <c r="K38" s="24">
        <v>180</v>
      </c>
      <c r="L38" s="24">
        <v>285</v>
      </c>
      <c r="M38" s="24">
        <v>224</v>
      </c>
      <c r="N38" s="24">
        <v>347</v>
      </c>
      <c r="O38" s="24">
        <v>190</v>
      </c>
      <c r="P38" s="24">
        <v>87</v>
      </c>
      <c r="Q38" s="24">
        <v>377</v>
      </c>
      <c r="R38" s="25">
        <v>0</v>
      </c>
      <c r="S38" s="30">
        <f t="shared" si="1"/>
        <v>3857</v>
      </c>
      <c r="T38" s="234">
        <v>11.0299</v>
      </c>
      <c r="U38" s="235">
        <v>50.9848</v>
      </c>
      <c r="X38" s="233"/>
    </row>
    <row r="41" spans="1:36">
      <c r="C41" s="17">
        <v>-1</v>
      </c>
      <c r="D41" s="224">
        <v>191</v>
      </c>
      <c r="E41" s="224">
        <v>511</v>
      </c>
      <c r="F41" s="224">
        <v>487</v>
      </c>
      <c r="G41" s="224">
        <v>479</v>
      </c>
      <c r="H41" s="224">
        <v>535</v>
      </c>
      <c r="I41" s="224">
        <v>153</v>
      </c>
      <c r="J41" s="224">
        <v>625</v>
      </c>
      <c r="K41" s="224">
        <v>402</v>
      </c>
      <c r="L41" s="224">
        <v>289</v>
      </c>
      <c r="M41" s="224">
        <v>151</v>
      </c>
      <c r="N41" s="224">
        <v>168</v>
      </c>
      <c r="O41" s="224">
        <v>413</v>
      </c>
      <c r="P41" s="224">
        <v>361</v>
      </c>
      <c r="Q41" s="224">
        <v>620</v>
      </c>
      <c r="R41" s="24">
        <v>278</v>
      </c>
    </row>
    <row r="42" spans="1:36">
      <c r="C42" s="17">
        <v>-1</v>
      </c>
      <c r="D42" s="17">
        <v>0</v>
      </c>
      <c r="E42" s="224">
        <v>504</v>
      </c>
      <c r="F42" s="224">
        <v>486</v>
      </c>
      <c r="G42" s="224">
        <v>583</v>
      </c>
      <c r="H42" s="224">
        <v>613</v>
      </c>
      <c r="I42" s="224">
        <v>305</v>
      </c>
      <c r="J42" s="224">
        <v>663</v>
      </c>
      <c r="K42" s="224">
        <v>489</v>
      </c>
      <c r="L42" s="224">
        <v>456</v>
      </c>
      <c r="M42" s="224">
        <v>318</v>
      </c>
      <c r="N42" s="224">
        <v>358</v>
      </c>
      <c r="O42" s="224">
        <v>360</v>
      </c>
      <c r="P42" s="224">
        <v>373</v>
      </c>
      <c r="Q42" s="224">
        <v>695</v>
      </c>
      <c r="R42" s="24">
        <v>319</v>
      </c>
    </row>
    <row r="43" spans="1:36">
      <c r="C43" s="17">
        <v>-1</v>
      </c>
      <c r="D43" s="224">
        <v>504</v>
      </c>
      <c r="E43" s="17">
        <v>0</v>
      </c>
      <c r="F43" s="224">
        <v>26</v>
      </c>
      <c r="G43" s="224">
        <v>314</v>
      </c>
      <c r="H43" s="224">
        <v>255</v>
      </c>
      <c r="I43" s="224">
        <v>423</v>
      </c>
      <c r="J43" s="224">
        <v>194</v>
      </c>
      <c r="K43" s="224">
        <v>248</v>
      </c>
      <c r="L43" s="224">
        <v>476</v>
      </c>
      <c r="M43" s="224">
        <v>453</v>
      </c>
      <c r="N43" s="224">
        <v>578</v>
      </c>
      <c r="O43" s="224">
        <v>165</v>
      </c>
      <c r="P43" s="224">
        <v>151</v>
      </c>
      <c r="Q43" s="224">
        <v>295</v>
      </c>
      <c r="R43" s="24">
        <v>236</v>
      </c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</row>
    <row r="44" spans="1:36">
      <c r="C44" s="17">
        <v>-1</v>
      </c>
      <c r="D44" s="224">
        <v>486</v>
      </c>
      <c r="E44" s="224">
        <v>26</v>
      </c>
      <c r="F44" s="17">
        <v>0</v>
      </c>
      <c r="G44" s="224">
        <v>296</v>
      </c>
      <c r="H44" s="224">
        <v>243</v>
      </c>
      <c r="I44" s="224">
        <v>397</v>
      </c>
      <c r="J44" s="224">
        <v>198</v>
      </c>
      <c r="K44" s="224">
        <v>226</v>
      </c>
      <c r="L44" s="224">
        <v>451</v>
      </c>
      <c r="M44" s="224">
        <v>428</v>
      </c>
      <c r="N44" s="224">
        <v>552</v>
      </c>
      <c r="O44" s="224">
        <v>157</v>
      </c>
      <c r="P44" s="224">
        <v>127</v>
      </c>
      <c r="Q44" s="224">
        <v>289</v>
      </c>
      <c r="R44" s="24">
        <v>212</v>
      </c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</row>
    <row r="45" spans="1:36">
      <c r="C45" s="17">
        <v>-1</v>
      </c>
      <c r="D45" s="224">
        <v>583</v>
      </c>
      <c r="E45" s="224">
        <v>314</v>
      </c>
      <c r="F45" s="224">
        <v>296</v>
      </c>
      <c r="G45" s="17">
        <v>0</v>
      </c>
      <c r="H45" s="224">
        <v>95</v>
      </c>
      <c r="I45" s="224">
        <v>330</v>
      </c>
      <c r="J45" s="224">
        <v>247</v>
      </c>
      <c r="K45" s="224">
        <v>101</v>
      </c>
      <c r="L45" s="224">
        <v>270</v>
      </c>
      <c r="M45" s="224">
        <v>345</v>
      </c>
      <c r="N45" s="224">
        <v>446</v>
      </c>
      <c r="O45" s="224">
        <v>405</v>
      </c>
      <c r="P45" s="224">
        <v>280</v>
      </c>
      <c r="Q45" s="224">
        <v>164</v>
      </c>
      <c r="R45" s="24">
        <v>279</v>
      </c>
      <c r="U45" s="236"/>
      <c r="V45" s="236"/>
      <c r="W45" s="236"/>
      <c r="X45" s="236"/>
      <c r="Y45" s="236"/>
      <c r="Z45" s="236"/>
      <c r="AA45" s="236"/>
      <c r="AB45" s="236"/>
      <c r="AC45" s="236"/>
      <c r="AD45" s="236"/>
      <c r="AE45" s="236"/>
      <c r="AF45" s="236"/>
      <c r="AG45" s="236"/>
      <c r="AH45" s="236"/>
      <c r="AI45" s="236"/>
      <c r="AJ45" s="236"/>
    </row>
    <row r="46" spans="1:36">
      <c r="C46" s="17">
        <v>-1</v>
      </c>
      <c r="D46" s="224">
        <v>613</v>
      </c>
      <c r="E46" s="224">
        <v>255</v>
      </c>
      <c r="F46" s="224">
        <v>243</v>
      </c>
      <c r="G46" s="224">
        <v>95</v>
      </c>
      <c r="H46" s="17">
        <v>0</v>
      </c>
      <c r="I46" s="224">
        <v>394</v>
      </c>
      <c r="J46" s="224">
        <v>153</v>
      </c>
      <c r="K46" s="224">
        <v>133</v>
      </c>
      <c r="L46" s="224">
        <v>357</v>
      </c>
      <c r="M46" s="224">
        <v>413</v>
      </c>
      <c r="N46" s="224">
        <v>524</v>
      </c>
      <c r="O46" s="224">
        <v>377</v>
      </c>
      <c r="P46" s="224">
        <v>267</v>
      </c>
      <c r="Q46" s="224">
        <v>86</v>
      </c>
      <c r="R46" s="24">
        <v>296</v>
      </c>
      <c r="U46" s="236"/>
      <c r="V46" s="236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6"/>
      <c r="AH46" s="236"/>
      <c r="AI46" s="236"/>
      <c r="AJ46" s="236"/>
    </row>
    <row r="47" spans="1:36">
      <c r="C47" s="17">
        <v>-1</v>
      </c>
      <c r="D47" s="224">
        <v>305</v>
      </c>
      <c r="E47" s="224">
        <v>423</v>
      </c>
      <c r="F47" s="224">
        <v>397</v>
      </c>
      <c r="G47" s="224">
        <v>330</v>
      </c>
      <c r="H47" s="224">
        <v>394</v>
      </c>
      <c r="I47" s="17">
        <v>0</v>
      </c>
      <c r="J47" s="224">
        <v>502</v>
      </c>
      <c r="K47" s="224">
        <v>262</v>
      </c>
      <c r="L47" s="224">
        <v>153</v>
      </c>
      <c r="M47" s="224">
        <v>33</v>
      </c>
      <c r="N47" s="224">
        <v>156</v>
      </c>
      <c r="O47" s="224">
        <v>372</v>
      </c>
      <c r="P47" s="224">
        <v>278</v>
      </c>
      <c r="Q47" s="224">
        <v>479</v>
      </c>
      <c r="R47" s="24">
        <v>192</v>
      </c>
      <c r="U47" s="236"/>
      <c r="V47" s="236"/>
      <c r="W47" s="236"/>
      <c r="X47" s="236"/>
      <c r="Y47" s="236"/>
      <c r="Z47" s="236"/>
      <c r="AA47" s="236"/>
      <c r="AB47" s="236"/>
      <c r="AC47" s="236"/>
      <c r="AD47" s="236"/>
      <c r="AE47" s="236"/>
      <c r="AF47" s="236"/>
      <c r="AG47" s="236"/>
      <c r="AH47" s="236"/>
      <c r="AI47" s="236"/>
      <c r="AJ47" s="236"/>
    </row>
    <row r="48" spans="1:36">
      <c r="C48" s="17">
        <v>-1</v>
      </c>
      <c r="D48" s="224">
        <v>663</v>
      </c>
      <c r="E48" s="224">
        <v>194</v>
      </c>
      <c r="F48" s="224">
        <v>198</v>
      </c>
      <c r="G48" s="224">
        <v>247</v>
      </c>
      <c r="H48" s="224">
        <v>153</v>
      </c>
      <c r="I48" s="224">
        <v>502</v>
      </c>
      <c r="J48" s="17">
        <v>0</v>
      </c>
      <c r="K48" s="224">
        <v>249</v>
      </c>
      <c r="L48" s="224">
        <v>495</v>
      </c>
      <c r="M48" s="224">
        <v>526</v>
      </c>
      <c r="N48" s="224">
        <v>646</v>
      </c>
      <c r="O48" s="224">
        <v>355</v>
      </c>
      <c r="P48" s="224">
        <v>291</v>
      </c>
      <c r="Q48" s="224">
        <v>133</v>
      </c>
      <c r="R48" s="24">
        <v>355</v>
      </c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6"/>
      <c r="AJ48" s="236"/>
    </row>
    <row r="49" spans="3:36">
      <c r="C49" s="17">
        <v>-1</v>
      </c>
      <c r="D49" s="224">
        <v>489</v>
      </c>
      <c r="E49" s="224">
        <v>248</v>
      </c>
      <c r="F49" s="224">
        <v>226</v>
      </c>
      <c r="G49" s="224">
        <v>101</v>
      </c>
      <c r="H49" s="224">
        <v>133</v>
      </c>
      <c r="I49" s="224">
        <v>262</v>
      </c>
      <c r="J49" s="224">
        <v>249</v>
      </c>
      <c r="K49" s="17">
        <v>0</v>
      </c>
      <c r="L49" s="224">
        <v>249</v>
      </c>
      <c r="M49" s="224">
        <v>284</v>
      </c>
      <c r="N49" s="224">
        <v>399</v>
      </c>
      <c r="O49" s="224">
        <v>313</v>
      </c>
      <c r="P49" s="224">
        <v>183</v>
      </c>
      <c r="Q49" s="224">
        <v>219</v>
      </c>
      <c r="R49" s="24">
        <v>180</v>
      </c>
      <c r="U49" s="236"/>
      <c r="V49" s="236"/>
      <c r="W49" s="236"/>
      <c r="X49" s="236"/>
      <c r="Y49" s="236"/>
      <c r="Z49" s="236"/>
      <c r="AA49" s="236"/>
      <c r="AB49" s="236"/>
      <c r="AC49" s="236"/>
      <c r="AD49" s="236"/>
      <c r="AE49" s="236"/>
      <c r="AF49" s="236"/>
      <c r="AG49" s="236"/>
      <c r="AH49" s="236"/>
      <c r="AI49" s="236"/>
      <c r="AJ49" s="236"/>
    </row>
    <row r="50" spans="3:36">
      <c r="C50" s="17">
        <v>-1</v>
      </c>
      <c r="D50" s="224">
        <v>456</v>
      </c>
      <c r="E50" s="224">
        <v>476</v>
      </c>
      <c r="F50" s="224">
        <v>451</v>
      </c>
      <c r="G50" s="224">
        <v>270</v>
      </c>
      <c r="H50" s="224">
        <v>357</v>
      </c>
      <c r="I50" s="224">
        <v>153</v>
      </c>
      <c r="J50" s="224">
        <v>495</v>
      </c>
      <c r="K50" s="224">
        <v>249</v>
      </c>
      <c r="L50" s="17">
        <v>0</v>
      </c>
      <c r="M50" s="224">
        <v>140</v>
      </c>
      <c r="N50" s="224">
        <v>190</v>
      </c>
      <c r="O50" s="224">
        <v>475</v>
      </c>
      <c r="P50" s="224">
        <v>355</v>
      </c>
      <c r="Q50" s="224">
        <v>433</v>
      </c>
      <c r="R50" s="24">
        <v>285</v>
      </c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6"/>
      <c r="AH50" s="236"/>
      <c r="AI50" s="236"/>
      <c r="AJ50" s="236"/>
    </row>
    <row r="51" spans="3:36">
      <c r="C51" s="17">
        <v>-1</v>
      </c>
      <c r="D51" s="224">
        <v>318</v>
      </c>
      <c r="E51" s="224">
        <v>453</v>
      </c>
      <c r="F51" s="224">
        <v>428</v>
      </c>
      <c r="G51" s="224">
        <v>345</v>
      </c>
      <c r="H51" s="224">
        <v>413</v>
      </c>
      <c r="I51" s="224">
        <v>33</v>
      </c>
      <c r="J51" s="224">
        <v>526</v>
      </c>
      <c r="K51" s="224">
        <v>284</v>
      </c>
      <c r="L51" s="224">
        <v>140</v>
      </c>
      <c r="M51" s="17">
        <v>0</v>
      </c>
      <c r="N51" s="224">
        <v>125</v>
      </c>
      <c r="O51" s="224">
        <v>404</v>
      </c>
      <c r="P51" s="224">
        <v>309</v>
      </c>
      <c r="Q51" s="224">
        <v>498</v>
      </c>
      <c r="R51" s="24">
        <v>224</v>
      </c>
      <c r="U51" s="236"/>
      <c r="V51" s="236"/>
      <c r="W51" s="236"/>
      <c r="X51" s="236"/>
      <c r="Y51" s="236"/>
      <c r="Z51" s="236"/>
      <c r="AA51" s="236"/>
      <c r="AB51" s="236"/>
      <c r="AC51" s="236"/>
      <c r="AD51" s="236"/>
      <c r="AE51" s="236"/>
      <c r="AF51" s="236"/>
      <c r="AG51" s="236"/>
      <c r="AH51" s="236"/>
      <c r="AI51" s="236"/>
      <c r="AJ51" s="236"/>
    </row>
    <row r="52" spans="3:36">
      <c r="C52" s="17">
        <v>-1</v>
      </c>
      <c r="D52" s="224">
        <v>358</v>
      </c>
      <c r="E52" s="224">
        <v>578</v>
      </c>
      <c r="F52" s="224">
        <v>552</v>
      </c>
      <c r="G52" s="224">
        <v>446</v>
      </c>
      <c r="H52" s="224">
        <v>524</v>
      </c>
      <c r="I52" s="224">
        <v>156</v>
      </c>
      <c r="J52" s="224">
        <v>646</v>
      </c>
      <c r="K52" s="224">
        <v>399</v>
      </c>
      <c r="L52" s="224">
        <v>190</v>
      </c>
      <c r="M52" s="224">
        <v>125</v>
      </c>
      <c r="N52" s="17">
        <v>0</v>
      </c>
      <c r="O52" s="224">
        <v>521</v>
      </c>
      <c r="P52" s="224">
        <v>433</v>
      </c>
      <c r="Q52" s="224">
        <v>606</v>
      </c>
      <c r="R52" s="24">
        <v>347</v>
      </c>
      <c r="U52" s="236"/>
      <c r="V52" s="236"/>
      <c r="W52" s="236"/>
      <c r="X52" s="236"/>
      <c r="Y52" s="236"/>
      <c r="Z52" s="236"/>
      <c r="AA52" s="236"/>
      <c r="AB52" s="236"/>
      <c r="AC52" s="236"/>
      <c r="AD52" s="236"/>
      <c r="AE52" s="236"/>
      <c r="AF52" s="236"/>
      <c r="AG52" s="236"/>
      <c r="AH52" s="236"/>
      <c r="AI52" s="236"/>
      <c r="AJ52" s="236"/>
    </row>
    <row r="53" spans="3:36">
      <c r="C53" s="17">
        <v>-1</v>
      </c>
      <c r="D53" s="224">
        <v>360</v>
      </c>
      <c r="E53" s="224">
        <v>165</v>
      </c>
      <c r="F53" s="224">
        <v>157</v>
      </c>
      <c r="G53" s="224">
        <v>405</v>
      </c>
      <c r="H53" s="224">
        <v>377</v>
      </c>
      <c r="I53" s="224">
        <v>372</v>
      </c>
      <c r="J53" s="224">
        <v>355</v>
      </c>
      <c r="K53" s="224">
        <v>313</v>
      </c>
      <c r="L53" s="224">
        <v>475</v>
      </c>
      <c r="M53" s="224">
        <v>404</v>
      </c>
      <c r="N53" s="224">
        <v>521</v>
      </c>
      <c r="O53" s="17">
        <v>0</v>
      </c>
      <c r="P53" s="224">
        <v>132</v>
      </c>
      <c r="Q53" s="224">
        <v>437</v>
      </c>
      <c r="R53" s="24">
        <v>190</v>
      </c>
      <c r="U53" s="236"/>
      <c r="V53" s="236"/>
      <c r="W53" s="236"/>
      <c r="X53" s="236"/>
      <c r="Y53" s="236"/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</row>
    <row r="54" spans="3:36">
      <c r="C54" s="17">
        <v>-1</v>
      </c>
      <c r="D54" s="224">
        <v>373</v>
      </c>
      <c r="E54" s="224">
        <v>151</v>
      </c>
      <c r="F54" s="224">
        <v>127</v>
      </c>
      <c r="G54" s="224">
        <v>280</v>
      </c>
      <c r="H54" s="224">
        <v>267</v>
      </c>
      <c r="I54" s="224">
        <v>278</v>
      </c>
      <c r="J54" s="224">
        <v>291</v>
      </c>
      <c r="K54" s="224">
        <v>183</v>
      </c>
      <c r="L54" s="224">
        <v>355</v>
      </c>
      <c r="M54" s="224">
        <v>309</v>
      </c>
      <c r="N54" s="224">
        <v>433</v>
      </c>
      <c r="O54" s="224">
        <v>132</v>
      </c>
      <c r="P54" s="17">
        <v>0</v>
      </c>
      <c r="Q54" s="224">
        <v>340</v>
      </c>
      <c r="R54" s="24">
        <v>87</v>
      </c>
      <c r="U54" s="236"/>
      <c r="V54" s="236"/>
      <c r="W54" s="236"/>
      <c r="X54" s="236"/>
      <c r="Y54" s="236"/>
      <c r="Z54" s="236"/>
      <c r="AA54" s="236"/>
      <c r="AB54" s="236"/>
      <c r="AC54" s="236"/>
      <c r="AD54" s="236"/>
      <c r="AE54" s="236"/>
      <c r="AF54" s="236"/>
      <c r="AG54" s="236"/>
      <c r="AH54" s="236"/>
      <c r="AI54" s="236"/>
      <c r="AJ54" s="236"/>
    </row>
    <row r="55" spans="3:36">
      <c r="C55" s="17">
        <v>-1</v>
      </c>
      <c r="D55" s="224">
        <v>695</v>
      </c>
      <c r="E55" s="224">
        <v>295</v>
      </c>
      <c r="F55" s="224">
        <v>289</v>
      </c>
      <c r="G55" s="224">
        <v>164</v>
      </c>
      <c r="H55" s="224">
        <v>86</v>
      </c>
      <c r="I55" s="224">
        <v>479</v>
      </c>
      <c r="J55" s="224">
        <v>133</v>
      </c>
      <c r="K55" s="224">
        <v>219</v>
      </c>
      <c r="L55" s="224">
        <v>433</v>
      </c>
      <c r="M55" s="224">
        <v>498</v>
      </c>
      <c r="N55" s="224">
        <v>606</v>
      </c>
      <c r="O55" s="224">
        <v>437</v>
      </c>
      <c r="P55" s="224">
        <v>340</v>
      </c>
      <c r="Q55" s="17">
        <v>0</v>
      </c>
      <c r="R55" s="24">
        <v>377</v>
      </c>
      <c r="U55" s="236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6"/>
      <c r="AJ55" s="236"/>
    </row>
    <row r="56" spans="3:36">
      <c r="C56" s="17">
        <v>-1</v>
      </c>
      <c r="D56" s="24">
        <v>319</v>
      </c>
      <c r="E56" s="24">
        <v>236</v>
      </c>
      <c r="F56" s="24">
        <v>212</v>
      </c>
      <c r="G56" s="24">
        <v>279</v>
      </c>
      <c r="H56" s="24">
        <v>296</v>
      </c>
      <c r="I56" s="24">
        <v>192</v>
      </c>
      <c r="J56" s="24">
        <v>355</v>
      </c>
      <c r="K56" s="24">
        <v>180</v>
      </c>
      <c r="L56" s="24">
        <v>285</v>
      </c>
      <c r="M56" s="24">
        <v>224</v>
      </c>
      <c r="N56" s="24">
        <v>347</v>
      </c>
      <c r="O56" s="24">
        <v>190</v>
      </c>
      <c r="P56" s="24">
        <v>87</v>
      </c>
      <c r="Q56" s="24">
        <v>377</v>
      </c>
      <c r="R56" s="25">
        <v>0</v>
      </c>
      <c r="U56" s="236"/>
      <c r="V56" s="236"/>
      <c r="W56" s="236"/>
      <c r="X56" s="236"/>
      <c r="Y56" s="236"/>
      <c r="Z56" s="236"/>
      <c r="AA56" s="236"/>
      <c r="AB56" s="236"/>
      <c r="AC56" s="236"/>
      <c r="AD56" s="236"/>
      <c r="AE56" s="236"/>
      <c r="AF56" s="236"/>
      <c r="AG56" s="236"/>
      <c r="AH56" s="236"/>
      <c r="AI56" s="236"/>
      <c r="AJ56" s="236"/>
    </row>
    <row r="57" spans="3:36">
      <c r="U57" s="236"/>
      <c r="V57" s="236"/>
      <c r="W57" s="236"/>
      <c r="X57" s="236"/>
      <c r="Y57" s="236"/>
      <c r="Z57" s="236"/>
      <c r="AA57" s="236"/>
      <c r="AB57" s="236"/>
      <c r="AC57" s="236"/>
      <c r="AD57" s="236"/>
      <c r="AE57" s="236"/>
      <c r="AF57" s="236"/>
      <c r="AG57" s="236"/>
      <c r="AH57" s="236"/>
      <c r="AI57" s="236"/>
      <c r="AJ57" s="236"/>
    </row>
    <row r="58" spans="3:36">
      <c r="U58" s="236"/>
      <c r="V58" s="236"/>
      <c r="W58" s="236"/>
      <c r="X58" s="236"/>
      <c r="Y58" s="236"/>
      <c r="Z58" s="236"/>
      <c r="AA58" s="236"/>
      <c r="AB58" s="236"/>
      <c r="AC58" s="236"/>
      <c r="AD58" s="236"/>
      <c r="AE58" s="236"/>
      <c r="AF58" s="236"/>
      <c r="AG58" s="236"/>
      <c r="AH58" s="236"/>
      <c r="AI58" s="236"/>
      <c r="AJ58" s="236"/>
    </row>
  </sheetData>
  <mergeCells count="10">
    <mergeCell ref="U21:U22"/>
    <mergeCell ref="T1:T2"/>
    <mergeCell ref="U1:U2"/>
    <mergeCell ref="C1:R1"/>
    <mergeCell ref="S1:S2"/>
    <mergeCell ref="A1:B1"/>
    <mergeCell ref="A21:B21"/>
    <mergeCell ref="C21:R21"/>
    <mergeCell ref="S21:S22"/>
    <mergeCell ref="T21:T22"/>
  </mergeCells>
  <pageMargins left="0.7" right="0.7" top="0.75" bottom="0.75" header="0.3" footer="0.3"/>
  <pageSetup paperSize="9" scale="51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96"/>
  <sheetViews>
    <sheetView workbookViewId="0">
      <pane xSplit="1" ySplit="2" topLeftCell="C41" activePane="bottomRight" state="frozen"/>
      <selection pane="topRight" activeCell="B1" sqref="B1"/>
      <selection pane="bottomLeft" activeCell="A3" sqref="A3"/>
      <selection pane="bottomRight" activeCell="W21" sqref="W21"/>
    </sheetView>
  </sheetViews>
  <sheetFormatPr baseColWidth="10" defaultColWidth="8.83203125" defaultRowHeight="15"/>
  <cols>
    <col min="1" max="1" width="21.6640625" customWidth="1"/>
    <col min="6" max="6" width="11" customWidth="1"/>
    <col min="7" max="7" width="9.5" customWidth="1"/>
    <col min="8" max="8" width="10.33203125" customWidth="1"/>
    <col min="9" max="9" width="10.1640625" customWidth="1"/>
    <col min="10" max="10" width="9.5" customWidth="1"/>
    <col min="11" max="11" width="9.83203125" customWidth="1"/>
    <col min="19" max="19" width="10.5" customWidth="1"/>
    <col min="36" max="36" width="5.5" customWidth="1"/>
  </cols>
  <sheetData>
    <row r="1" spans="1:17" ht="24">
      <c r="A1" s="226" t="s">
        <v>149</v>
      </c>
      <c r="B1" s="292" t="s">
        <v>329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</row>
    <row r="2" spans="1:17" ht="15.75" customHeight="1" thickBot="1">
      <c r="A2" s="27"/>
      <c r="B2" s="245" t="s">
        <v>86</v>
      </c>
      <c r="C2" s="245" t="s">
        <v>87</v>
      </c>
      <c r="D2" s="245" t="s">
        <v>88</v>
      </c>
      <c r="E2" s="245" t="s">
        <v>178</v>
      </c>
      <c r="F2" s="245" t="s">
        <v>89</v>
      </c>
      <c r="G2" s="245" t="s">
        <v>90</v>
      </c>
      <c r="H2" s="245" t="s">
        <v>91</v>
      </c>
      <c r="I2" s="245" t="s">
        <v>92</v>
      </c>
      <c r="J2" s="245" t="s">
        <v>93</v>
      </c>
      <c r="K2" s="245" t="s">
        <v>94</v>
      </c>
      <c r="L2" s="245" t="s">
        <v>95</v>
      </c>
      <c r="M2" s="245" t="s">
        <v>96</v>
      </c>
      <c r="N2" s="245" t="s">
        <v>97</v>
      </c>
      <c r="O2" s="245" t="s">
        <v>98</v>
      </c>
      <c r="P2" s="245" t="s">
        <v>99</v>
      </c>
      <c r="Q2" s="245" t="s">
        <v>100</v>
      </c>
    </row>
    <row r="3" spans="1:17" ht="15" customHeight="1">
      <c r="A3" s="22" t="s">
        <v>86</v>
      </c>
      <c r="B3" s="17">
        <f>D41</f>
        <v>4</v>
      </c>
      <c r="C3" s="244">
        <v>9</v>
      </c>
      <c r="D3" s="244">
        <v>13</v>
      </c>
      <c r="E3" s="244">
        <v>13</v>
      </c>
      <c r="F3" s="244">
        <v>15</v>
      </c>
      <c r="G3" s="244">
        <v>15</v>
      </c>
      <c r="H3" s="244">
        <v>8</v>
      </c>
      <c r="I3" s="244">
        <v>18</v>
      </c>
      <c r="J3" s="244">
        <v>14</v>
      </c>
      <c r="K3" s="244">
        <v>16</v>
      </c>
      <c r="L3" s="244">
        <v>6</v>
      </c>
      <c r="M3" s="244">
        <v>7</v>
      </c>
      <c r="N3" s="244">
        <v>12</v>
      </c>
      <c r="O3" s="244">
        <v>11</v>
      </c>
      <c r="P3" s="244">
        <v>16</v>
      </c>
      <c r="Q3" s="244">
        <v>10</v>
      </c>
    </row>
    <row r="4" spans="1:17">
      <c r="A4" s="22" t="s">
        <v>87</v>
      </c>
      <c r="B4" s="225">
        <f>D42+D41</f>
        <v>9</v>
      </c>
      <c r="C4" s="17">
        <f>D42</f>
        <v>5</v>
      </c>
      <c r="D4" s="244">
        <v>12</v>
      </c>
      <c r="E4" s="244">
        <v>12</v>
      </c>
      <c r="F4" s="244">
        <v>11</v>
      </c>
      <c r="G4" s="244">
        <v>11</v>
      </c>
      <c r="H4" s="244">
        <v>12</v>
      </c>
      <c r="I4" s="244">
        <v>14</v>
      </c>
      <c r="J4" s="244">
        <v>10</v>
      </c>
      <c r="K4" s="244">
        <v>21</v>
      </c>
      <c r="L4" s="244">
        <v>10</v>
      </c>
      <c r="M4" s="244">
        <v>12</v>
      </c>
      <c r="N4" s="244">
        <v>8</v>
      </c>
      <c r="O4" s="244">
        <v>9</v>
      </c>
      <c r="P4" s="244">
        <v>13</v>
      </c>
      <c r="Q4" s="244">
        <v>6</v>
      </c>
    </row>
    <row r="5" spans="1:17">
      <c r="A5" s="22" t="s">
        <v>88</v>
      </c>
      <c r="B5" s="225">
        <f>D41+D43+D44+D47+E51+D49+D54</f>
        <v>13</v>
      </c>
      <c r="C5" s="225">
        <f>D42+D43+D44+D53+D54+D56</f>
        <v>12</v>
      </c>
      <c r="D5" s="17">
        <f>D43</f>
        <v>2</v>
      </c>
      <c r="E5" s="244">
        <v>3</v>
      </c>
      <c r="F5" s="244">
        <v>11</v>
      </c>
      <c r="G5" s="244">
        <v>9</v>
      </c>
      <c r="H5" s="244">
        <v>10</v>
      </c>
      <c r="I5" s="244">
        <v>6</v>
      </c>
      <c r="J5" s="244">
        <v>5</v>
      </c>
      <c r="K5" s="244">
        <v>12</v>
      </c>
      <c r="L5" s="244">
        <v>12</v>
      </c>
      <c r="M5" s="244">
        <v>11</v>
      </c>
      <c r="N5" s="244">
        <v>5</v>
      </c>
      <c r="O5" s="244">
        <v>5</v>
      </c>
      <c r="P5" s="244">
        <v>8</v>
      </c>
      <c r="Q5" s="244">
        <v>7</v>
      </c>
    </row>
    <row r="6" spans="1:17">
      <c r="A6" s="22" t="s">
        <v>178</v>
      </c>
      <c r="B6" s="225">
        <f>D41+D43+D44+D47+E51+D49+D54</f>
        <v>13</v>
      </c>
      <c r="C6" s="225">
        <f>D42+D43+D44+D53+D54+D56</f>
        <v>12</v>
      </c>
      <c r="D6" s="225">
        <f>D43+D44</f>
        <v>3</v>
      </c>
      <c r="E6" s="17">
        <f>D44</f>
        <v>1</v>
      </c>
      <c r="F6" s="244">
        <v>11</v>
      </c>
      <c r="G6" s="244">
        <v>9</v>
      </c>
      <c r="H6" s="244">
        <v>8</v>
      </c>
      <c r="I6" s="244">
        <v>4</v>
      </c>
      <c r="J6" s="244">
        <v>3</v>
      </c>
      <c r="K6" s="244">
        <v>10</v>
      </c>
      <c r="L6" s="244">
        <v>10</v>
      </c>
      <c r="M6" s="244">
        <v>11</v>
      </c>
      <c r="N6" s="244">
        <v>3</v>
      </c>
      <c r="O6" s="244">
        <v>3</v>
      </c>
      <c r="P6" s="244">
        <v>6</v>
      </c>
      <c r="Q6" s="244">
        <v>5</v>
      </c>
    </row>
    <row r="7" spans="1:17">
      <c r="A7" s="22" t="s">
        <v>89</v>
      </c>
      <c r="B7" s="225">
        <f>D45+D41+D47+D56+D49+D42</f>
        <v>15</v>
      </c>
      <c r="C7" s="225">
        <f>D42+D45+D56+D54+D53+D49</f>
        <v>11</v>
      </c>
      <c r="D7" s="225">
        <f>D43+D45+D44+D55+D46+D48+D49</f>
        <v>11</v>
      </c>
      <c r="E7" s="225">
        <f>D43+D45+D44+D55+D46+D48+D49</f>
        <v>11</v>
      </c>
      <c r="F7" s="17">
        <f>D45</f>
        <v>1</v>
      </c>
      <c r="G7" s="244">
        <v>3</v>
      </c>
      <c r="H7" s="244">
        <v>13</v>
      </c>
      <c r="I7" s="244">
        <v>8</v>
      </c>
      <c r="J7" s="244">
        <v>2</v>
      </c>
      <c r="K7" s="244">
        <v>9</v>
      </c>
      <c r="L7" s="244">
        <v>14</v>
      </c>
      <c r="M7" s="244">
        <v>12</v>
      </c>
      <c r="N7" s="244">
        <v>5</v>
      </c>
      <c r="O7" s="244">
        <v>3</v>
      </c>
      <c r="P7" s="244">
        <v>5</v>
      </c>
      <c r="Q7" s="244">
        <v>4</v>
      </c>
    </row>
    <row r="8" spans="1:17">
      <c r="A8" s="22" t="s">
        <v>90</v>
      </c>
      <c r="B8" s="225">
        <f>D41+D46+D47+D49+D42+E56</f>
        <v>15</v>
      </c>
      <c r="C8" s="225">
        <f>D42+D46+D56+D54+D53+D49</f>
        <v>11</v>
      </c>
      <c r="D8" s="225">
        <f>D43+D44+D55+D46+D48</f>
        <v>9</v>
      </c>
      <c r="E8" s="225">
        <f>D43+D44+D55+D46+D48</f>
        <v>9</v>
      </c>
      <c r="F8" s="225">
        <f>D45+D46+D49</f>
        <v>3</v>
      </c>
      <c r="G8" s="17">
        <f>D46</f>
        <v>1</v>
      </c>
      <c r="H8" s="244">
        <v>6</v>
      </c>
      <c r="I8" s="244">
        <v>6</v>
      </c>
      <c r="J8" s="244">
        <v>2</v>
      </c>
      <c r="K8" s="244">
        <v>9</v>
      </c>
      <c r="L8" s="244">
        <v>7</v>
      </c>
      <c r="M8" s="244">
        <v>9</v>
      </c>
      <c r="N8" s="244">
        <v>11</v>
      </c>
      <c r="O8" s="244">
        <v>3</v>
      </c>
      <c r="P8" s="244">
        <v>3</v>
      </c>
      <c r="Q8" s="244">
        <v>4</v>
      </c>
    </row>
    <row r="9" spans="1:17">
      <c r="A9" s="22" t="s">
        <v>91</v>
      </c>
      <c r="B9" s="225">
        <f>D41+D47+E51</f>
        <v>8</v>
      </c>
      <c r="C9" s="225">
        <f>D41+D42+D47</f>
        <v>12</v>
      </c>
      <c r="D9" s="225">
        <f>D43+D44+D54+D53+D56+D47</f>
        <v>10</v>
      </c>
      <c r="E9" s="225">
        <f>D44+D54+D53+D56+D47</f>
        <v>8</v>
      </c>
      <c r="F9" s="225">
        <f>D45+D47+D49+D50+E51</f>
        <v>13</v>
      </c>
      <c r="G9" s="225">
        <f>D46+D47+D49+E56</f>
        <v>6</v>
      </c>
      <c r="H9" s="17">
        <f>D47</f>
        <v>3</v>
      </c>
      <c r="I9" s="244">
        <v>11</v>
      </c>
      <c r="J9" s="244">
        <v>4</v>
      </c>
      <c r="K9" s="244">
        <v>12</v>
      </c>
      <c r="L9" s="244">
        <v>5</v>
      </c>
      <c r="M9" s="244">
        <v>6</v>
      </c>
      <c r="N9" s="244">
        <v>7</v>
      </c>
      <c r="O9" s="244">
        <v>5</v>
      </c>
      <c r="P9" s="244">
        <v>7</v>
      </c>
      <c r="Q9" s="24">
        <v>4</v>
      </c>
    </row>
    <row r="10" spans="1:17">
      <c r="A10" s="22" t="s">
        <v>92</v>
      </c>
      <c r="B10" s="225">
        <f>D41+D48+D42+D56+D53+D54+D44+E43</f>
        <v>18</v>
      </c>
      <c r="C10" s="225">
        <f>D48+D42+D56+D53+D54+D44+E43</f>
        <v>14</v>
      </c>
      <c r="D10" s="225">
        <f>D43+D44+D48</f>
        <v>6</v>
      </c>
      <c r="E10" s="225">
        <f>D44+D48</f>
        <v>4</v>
      </c>
      <c r="F10" s="225">
        <f>D45+D46+D49+D55+D48</f>
        <v>8</v>
      </c>
      <c r="G10" s="225">
        <f>D46+D55+D48</f>
        <v>6</v>
      </c>
      <c r="H10" s="225">
        <f>D47+D48+D46+D49+D55+E56</f>
        <v>11</v>
      </c>
      <c r="I10" s="17">
        <f>D48</f>
        <v>3</v>
      </c>
      <c r="J10" s="244">
        <v>7</v>
      </c>
      <c r="K10" s="244">
        <v>14</v>
      </c>
      <c r="L10" s="244">
        <v>13</v>
      </c>
      <c r="M10" s="244">
        <v>17</v>
      </c>
      <c r="N10" s="244">
        <v>8</v>
      </c>
      <c r="O10" s="244">
        <v>6</v>
      </c>
      <c r="P10" s="244">
        <v>5</v>
      </c>
      <c r="Q10" s="244">
        <v>7</v>
      </c>
    </row>
    <row r="11" spans="1:17">
      <c r="A11" s="22" t="s">
        <v>93</v>
      </c>
      <c r="B11" s="225">
        <f>D41+D42+D47+D49+E56</f>
        <v>14</v>
      </c>
      <c r="C11" s="225">
        <f>D42+D49+D47+E56</f>
        <v>10</v>
      </c>
      <c r="D11" s="225">
        <f>D43+D44+D49+D54</f>
        <v>5</v>
      </c>
      <c r="E11" s="225">
        <f>D44+D49+D54</f>
        <v>3</v>
      </c>
      <c r="F11" s="228">
        <f>D45+D49</f>
        <v>2</v>
      </c>
      <c r="G11" s="225">
        <f>D46+D49</f>
        <v>2</v>
      </c>
      <c r="H11" s="225">
        <f>D47+D49</f>
        <v>4</v>
      </c>
      <c r="I11" s="225">
        <f>D48+D49+D46+D55</f>
        <v>7</v>
      </c>
      <c r="J11" s="17">
        <f>D49</f>
        <v>1</v>
      </c>
      <c r="K11" s="244">
        <v>8</v>
      </c>
      <c r="L11" s="244">
        <v>7</v>
      </c>
      <c r="M11" s="244">
        <v>7</v>
      </c>
      <c r="N11" s="244">
        <v>4</v>
      </c>
      <c r="O11" s="244">
        <v>2</v>
      </c>
      <c r="P11" s="244">
        <v>4</v>
      </c>
      <c r="Q11" s="244">
        <v>3</v>
      </c>
    </row>
    <row r="12" spans="1:17">
      <c r="A12" s="22" t="s">
        <v>94</v>
      </c>
      <c r="B12" s="228">
        <f>D41+D50+D51+D47</f>
        <v>16</v>
      </c>
      <c r="C12" s="225">
        <f>D42+D41+D47+D50+D51</f>
        <v>21</v>
      </c>
      <c r="D12" s="228">
        <f>D44+D54+D49+D50+D43</f>
        <v>12</v>
      </c>
      <c r="E12" s="225">
        <f>D44+D54+D49+D50</f>
        <v>10</v>
      </c>
      <c r="F12" s="225">
        <f>D45+D49+D50</f>
        <v>9</v>
      </c>
      <c r="G12" s="228">
        <f>D46+D49+D50</f>
        <v>9</v>
      </c>
      <c r="H12" s="225">
        <f>D47+D50+D51</f>
        <v>12</v>
      </c>
      <c r="I12" s="228">
        <f>D46+D48+D49+D50+D55</f>
        <v>14</v>
      </c>
      <c r="J12" s="225">
        <f>D50+D49</f>
        <v>8</v>
      </c>
      <c r="K12" s="17">
        <f>D50</f>
        <v>7</v>
      </c>
      <c r="L12" s="244">
        <v>12</v>
      </c>
      <c r="M12" s="244">
        <v>10</v>
      </c>
      <c r="N12" s="244">
        <v>15</v>
      </c>
      <c r="O12" s="244">
        <v>13</v>
      </c>
      <c r="P12" s="244">
        <v>12</v>
      </c>
      <c r="Q12" s="244">
        <v>12</v>
      </c>
    </row>
    <row r="13" spans="1:17">
      <c r="A13" s="22" t="s">
        <v>95</v>
      </c>
      <c r="B13" s="225">
        <f>D41+D51</f>
        <v>6</v>
      </c>
      <c r="C13" s="225">
        <f>D42+D47+D51</f>
        <v>10</v>
      </c>
      <c r="D13" s="225">
        <f>D43+D44+D53+D54+D56+D51+D47</f>
        <v>12</v>
      </c>
      <c r="E13" s="228">
        <f>D44+D53+D54+D56+D51+D47</f>
        <v>10</v>
      </c>
      <c r="F13" s="225">
        <f>D45+D49+D50+D47+D51</f>
        <v>14</v>
      </c>
      <c r="G13" s="228">
        <f>D46+D49+D47+D51</f>
        <v>7</v>
      </c>
      <c r="H13" s="225">
        <f>D47+D51</f>
        <v>5</v>
      </c>
      <c r="I13" s="228">
        <f>D55+D46+D48+D49+D47+D51+E56</f>
        <v>13</v>
      </c>
      <c r="J13" s="228">
        <f>D49+D47+D51+E56</f>
        <v>7</v>
      </c>
      <c r="K13" s="228">
        <f>D50+D51+D47</f>
        <v>12</v>
      </c>
      <c r="L13" s="17">
        <f>D51</f>
        <v>2</v>
      </c>
      <c r="M13" s="244">
        <v>3</v>
      </c>
      <c r="N13" s="244">
        <v>9</v>
      </c>
      <c r="O13" s="244">
        <v>7</v>
      </c>
      <c r="P13" s="244">
        <v>9</v>
      </c>
      <c r="Q13" s="244">
        <v>6</v>
      </c>
    </row>
    <row r="14" spans="1:17">
      <c r="A14" s="22" t="s">
        <v>96</v>
      </c>
      <c r="B14" s="225">
        <f>D41+D51+D52</f>
        <v>7</v>
      </c>
      <c r="C14" s="225">
        <f>D41+D42+D51+D52</f>
        <v>12</v>
      </c>
      <c r="D14" s="230">
        <f>D44+D53+D54+D56+D47+D51+D52</f>
        <v>11</v>
      </c>
      <c r="E14" s="225">
        <f>D44+D53+D54+D56+D47+D51+D52</f>
        <v>11</v>
      </c>
      <c r="F14" s="225">
        <f>D45+D49+D50+D51+D52</f>
        <v>12</v>
      </c>
      <c r="G14" s="225">
        <f>D46+D47+D49+D51+D52+E56</f>
        <v>9</v>
      </c>
      <c r="H14" s="225">
        <f>D47+D51+D52</f>
        <v>6</v>
      </c>
      <c r="I14" s="225">
        <f>D49+D48+D47+D46+D41+D51+D52+D55</f>
        <v>17</v>
      </c>
      <c r="J14" s="225">
        <f>D49+D47+D51+D52</f>
        <v>7</v>
      </c>
      <c r="K14" s="225">
        <f>D52+D51+D50</f>
        <v>10</v>
      </c>
      <c r="L14" s="228">
        <f>D51+D52</f>
        <v>3</v>
      </c>
      <c r="M14" s="17">
        <f>D52</f>
        <v>1</v>
      </c>
      <c r="N14" s="244">
        <v>10</v>
      </c>
      <c r="O14" s="244">
        <v>8</v>
      </c>
      <c r="P14" s="244">
        <v>10</v>
      </c>
      <c r="Q14" s="244">
        <v>7</v>
      </c>
    </row>
    <row r="15" spans="1:17">
      <c r="A15" s="22" t="s">
        <v>97</v>
      </c>
      <c r="B15" s="225">
        <f>D41+D42+D56+D53</f>
        <v>12</v>
      </c>
      <c r="C15" s="225">
        <f>D42+D53+E56</f>
        <v>8</v>
      </c>
      <c r="D15" s="225">
        <f>D43+D44+D53</f>
        <v>5</v>
      </c>
      <c r="E15" s="225">
        <f>D44+D53</f>
        <v>3</v>
      </c>
      <c r="F15" s="225">
        <f>D45+D49+D54+D53</f>
        <v>5</v>
      </c>
      <c r="G15" s="225">
        <f>D46+D55+D48+D44+D43+D53</f>
        <v>11</v>
      </c>
      <c r="H15" s="225">
        <f>D47+D56+E54+D53</f>
        <v>7</v>
      </c>
      <c r="I15" s="225">
        <f>D48+D53+D43+D44</f>
        <v>8</v>
      </c>
      <c r="J15" s="230">
        <f>D49+D54+D53</f>
        <v>4</v>
      </c>
      <c r="K15" s="225">
        <f>D50+D47+E51+D56+D53+E54</f>
        <v>15</v>
      </c>
      <c r="L15" s="230">
        <f>D51+D53+D47+D56+E54</f>
        <v>9</v>
      </c>
      <c r="M15" s="225">
        <f>D52+D51+D53+D56+D47+E54</f>
        <v>10</v>
      </c>
      <c r="N15" s="17">
        <f>D53</f>
        <v>2</v>
      </c>
      <c r="O15" s="225">
        <v>3</v>
      </c>
      <c r="P15" s="225">
        <v>10</v>
      </c>
      <c r="Q15" s="232">
        <v>4</v>
      </c>
    </row>
    <row r="16" spans="1:17">
      <c r="A16" s="22" t="s">
        <v>98</v>
      </c>
      <c r="B16" s="225">
        <f>D41+D42+D54+D56</f>
        <v>11</v>
      </c>
      <c r="C16" s="225">
        <f>D42+D56+D54+D53</f>
        <v>9</v>
      </c>
      <c r="D16" s="225">
        <f>D43+D44+E53+D54</f>
        <v>5</v>
      </c>
      <c r="E16" s="225">
        <f>D44+D54+E53</f>
        <v>3</v>
      </c>
      <c r="F16" s="230">
        <f>D45+D49+D54</f>
        <v>3</v>
      </c>
      <c r="G16" s="225">
        <f>D54+D46+D49</f>
        <v>3</v>
      </c>
      <c r="H16" s="230">
        <f>D47+D56+D54</f>
        <v>5</v>
      </c>
      <c r="I16" s="225">
        <f>D48+D54+D44+E53</f>
        <v>6</v>
      </c>
      <c r="J16" s="225">
        <f>D49+D54</f>
        <v>2</v>
      </c>
      <c r="K16" s="225">
        <f>D50+D47+D56+D49+D54</f>
        <v>13</v>
      </c>
      <c r="L16" s="225">
        <f>D51+D47+D56+D54</f>
        <v>7</v>
      </c>
      <c r="M16" s="225">
        <f>D52+D51+D47+D56+D54</f>
        <v>8</v>
      </c>
      <c r="N16" s="225">
        <f>D53+D54</f>
        <v>3</v>
      </c>
      <c r="O16" s="17">
        <f>D54</f>
        <v>1</v>
      </c>
      <c r="P16" s="225">
        <v>5</v>
      </c>
      <c r="Q16" s="232">
        <v>2</v>
      </c>
    </row>
    <row r="17" spans="1:29">
      <c r="A17" s="22" t="s">
        <v>99</v>
      </c>
      <c r="B17" s="225">
        <f>D41+D42+D47+D49+D46+D55</f>
        <v>16</v>
      </c>
      <c r="C17" s="225">
        <f>D42+D56+D55+D54+D53+D46+D49</f>
        <v>13</v>
      </c>
      <c r="D17" s="225">
        <f>D43+D44+D48+D55</f>
        <v>8</v>
      </c>
      <c r="E17" s="230">
        <f>D44+D48+D55</f>
        <v>6</v>
      </c>
      <c r="F17" s="225">
        <f>D45+D46+D49+D55</f>
        <v>5</v>
      </c>
      <c r="G17" s="225">
        <f>D46+D55</f>
        <v>3</v>
      </c>
      <c r="H17" s="225">
        <f>D47+D55+D49+D46</f>
        <v>7</v>
      </c>
      <c r="I17" s="225">
        <f>D48+D55</f>
        <v>5</v>
      </c>
      <c r="J17" s="225">
        <f>D46+D49+D55</f>
        <v>4</v>
      </c>
      <c r="K17" s="225">
        <f>D50+D45+D46+D49+D55</f>
        <v>12</v>
      </c>
      <c r="L17" s="230">
        <f>D51+D55+D49+D47+D46</f>
        <v>9</v>
      </c>
      <c r="M17" s="225">
        <f>D52+D51+D47+D49+D46+D55</f>
        <v>10</v>
      </c>
      <c r="N17" s="230">
        <f>D53+D44+D43+D48+D55</f>
        <v>10</v>
      </c>
      <c r="O17" s="230">
        <f>D54+D55+D49+D46</f>
        <v>5</v>
      </c>
      <c r="P17" s="17">
        <f>D55</f>
        <v>2</v>
      </c>
      <c r="Q17" s="232">
        <v>6</v>
      </c>
    </row>
    <row r="18" spans="1:29">
      <c r="A18" s="22" t="s">
        <v>100</v>
      </c>
      <c r="B18" s="24">
        <f>D41+D42+D56</f>
        <v>10</v>
      </c>
      <c r="C18" s="24">
        <f>D42+D56</f>
        <v>6</v>
      </c>
      <c r="D18" s="24">
        <f>D56+D54+D53+D44+D43</f>
        <v>7</v>
      </c>
      <c r="E18" s="24">
        <f>D56+D54+D53+D44</f>
        <v>5</v>
      </c>
      <c r="F18" s="24">
        <f>D45+D49+D56+D54</f>
        <v>4</v>
      </c>
      <c r="G18" s="24">
        <f>D46+D49+D56+D54</f>
        <v>4</v>
      </c>
      <c r="H18" s="24">
        <f>D47+D56</f>
        <v>4</v>
      </c>
      <c r="I18" s="24">
        <f>D48+D44+D54+D56+E53</f>
        <v>7</v>
      </c>
      <c r="J18" s="24">
        <f>D49+D54+D56</f>
        <v>3</v>
      </c>
      <c r="K18" s="24">
        <f>D50+D47+D56+E51</f>
        <v>12</v>
      </c>
      <c r="L18" s="24">
        <f>D51+D47+D56</f>
        <v>6</v>
      </c>
      <c r="M18" s="24">
        <f>D52+D56+D51+D47</f>
        <v>7</v>
      </c>
      <c r="N18" s="24">
        <f>D56+D53+E54</f>
        <v>4</v>
      </c>
      <c r="O18" s="24">
        <f>D56+D54</f>
        <v>2</v>
      </c>
      <c r="P18" s="24">
        <f>D55+D56+E54+D49+D46</f>
        <v>6</v>
      </c>
      <c r="Q18" s="25">
        <f>D56</f>
        <v>1</v>
      </c>
    </row>
    <row r="20" spans="1:29" s="228" customFormat="1">
      <c r="S20"/>
      <c r="T20"/>
      <c r="U20"/>
      <c r="V20"/>
      <c r="W20"/>
      <c r="X20"/>
      <c r="Y20"/>
      <c r="Z20"/>
      <c r="AA20"/>
      <c r="AB20"/>
      <c r="AC20"/>
    </row>
    <row r="21" spans="1:29" s="228" customFormat="1">
      <c r="A21" s="23" t="s">
        <v>136</v>
      </c>
      <c r="B21" s="17">
        <f>D41</f>
        <v>4</v>
      </c>
      <c r="C21" s="228">
        <v>9</v>
      </c>
      <c r="D21" s="228">
        <v>13</v>
      </c>
      <c r="E21" s="228">
        <v>13</v>
      </c>
      <c r="F21" s="228">
        <v>13</v>
      </c>
      <c r="G21" s="228">
        <v>10</v>
      </c>
      <c r="H21" s="228">
        <v>8</v>
      </c>
      <c r="I21" s="228">
        <v>16</v>
      </c>
      <c r="J21" s="228">
        <v>11</v>
      </c>
      <c r="K21" s="228">
        <v>16</v>
      </c>
      <c r="L21" s="228">
        <v>6</v>
      </c>
      <c r="M21" s="228">
        <v>8</v>
      </c>
      <c r="N21" s="228">
        <v>12</v>
      </c>
      <c r="O21" s="228">
        <v>12</v>
      </c>
      <c r="P21" s="228">
        <v>14</v>
      </c>
      <c r="Q21" s="24">
        <v>11</v>
      </c>
    </row>
    <row r="22" spans="1:29" s="228" customFormat="1">
      <c r="A22" s="23" t="s">
        <v>137</v>
      </c>
      <c r="B22" s="228">
        <f>D42+D41</f>
        <v>9</v>
      </c>
      <c r="C22" s="17">
        <f>D42</f>
        <v>5</v>
      </c>
      <c r="D22" s="228">
        <v>12</v>
      </c>
      <c r="E22" s="228">
        <v>12</v>
      </c>
      <c r="F22" s="228">
        <v>10</v>
      </c>
      <c r="G22" s="228">
        <v>10</v>
      </c>
      <c r="H22" s="228">
        <v>8</v>
      </c>
      <c r="I22" s="228">
        <v>14</v>
      </c>
      <c r="J22" s="228">
        <v>9</v>
      </c>
      <c r="K22" s="228">
        <v>21</v>
      </c>
      <c r="L22" s="228">
        <v>12</v>
      </c>
      <c r="M22" s="228">
        <v>13</v>
      </c>
      <c r="N22" s="228">
        <v>9</v>
      </c>
      <c r="O22" s="228">
        <v>7</v>
      </c>
      <c r="P22" s="228">
        <v>12</v>
      </c>
      <c r="Q22" s="24">
        <v>9</v>
      </c>
    </row>
    <row r="23" spans="1:29" s="228" customFormat="1">
      <c r="A23" s="23" t="s">
        <v>88</v>
      </c>
      <c r="B23" s="228">
        <f>D41+D43+D44+D47+E51+D49+D54</f>
        <v>13</v>
      </c>
      <c r="C23" s="228">
        <f>D42+D43+D44+D53+D54+D56</f>
        <v>12</v>
      </c>
      <c r="D23" s="17">
        <f>D43</f>
        <v>2</v>
      </c>
      <c r="E23" s="228">
        <v>3</v>
      </c>
      <c r="F23" s="228">
        <v>12</v>
      </c>
      <c r="G23" s="228">
        <v>10</v>
      </c>
      <c r="H23" s="228">
        <v>10</v>
      </c>
      <c r="I23" s="228">
        <v>6</v>
      </c>
      <c r="J23" s="228">
        <v>5</v>
      </c>
      <c r="K23" s="228">
        <v>12</v>
      </c>
      <c r="L23" s="228">
        <v>10</v>
      </c>
      <c r="M23" s="228">
        <v>15</v>
      </c>
      <c r="N23" s="228">
        <v>5</v>
      </c>
      <c r="O23" s="228">
        <v>6</v>
      </c>
      <c r="P23" s="228">
        <v>10</v>
      </c>
      <c r="Q23" s="24">
        <v>7</v>
      </c>
    </row>
    <row r="24" spans="1:29" s="228" customFormat="1">
      <c r="A24" s="23" t="s">
        <v>138</v>
      </c>
      <c r="B24" s="228">
        <f>D41+D43+D44+D47+E51+D49+D54</f>
        <v>13</v>
      </c>
      <c r="C24" s="228">
        <f>D42+D43+D44+D53+D54+D56</f>
        <v>12</v>
      </c>
      <c r="D24" s="228">
        <f>D43+D44</f>
        <v>3</v>
      </c>
      <c r="E24" s="17">
        <f>D44</f>
        <v>1</v>
      </c>
      <c r="F24" s="228">
        <v>12</v>
      </c>
      <c r="G24" s="228">
        <v>10</v>
      </c>
      <c r="H24" s="228">
        <v>10</v>
      </c>
      <c r="I24" s="228">
        <v>6</v>
      </c>
      <c r="J24" s="228">
        <v>5</v>
      </c>
      <c r="K24" s="228">
        <v>12</v>
      </c>
      <c r="L24" s="228">
        <v>10</v>
      </c>
      <c r="M24" s="228">
        <v>15</v>
      </c>
      <c r="N24" s="228">
        <v>6</v>
      </c>
      <c r="O24" s="228">
        <v>2</v>
      </c>
      <c r="P24" s="228">
        <v>10</v>
      </c>
      <c r="Q24" s="24">
        <v>7</v>
      </c>
    </row>
    <row r="25" spans="1:29" s="228" customFormat="1">
      <c r="A25" s="23" t="s">
        <v>89</v>
      </c>
      <c r="B25" s="228">
        <f>D45+D41+D47+D56+D49+E51+E42</f>
        <v>13</v>
      </c>
      <c r="C25" s="228">
        <f>D42+D45+D47+D49</f>
        <v>10</v>
      </c>
      <c r="D25" s="228">
        <f>D43+D44+D45+D48+D55+D49+E54+D46</f>
        <v>12</v>
      </c>
      <c r="E25" s="228">
        <f>D43+D44+D45+D48+D55+D49+E54+D46</f>
        <v>12</v>
      </c>
      <c r="F25" s="17">
        <f>D45</f>
        <v>1</v>
      </c>
      <c r="G25" s="228">
        <v>3</v>
      </c>
      <c r="H25" s="228">
        <v>16</v>
      </c>
      <c r="I25" s="228">
        <v>8</v>
      </c>
      <c r="J25" s="228">
        <v>2</v>
      </c>
      <c r="K25" s="228">
        <v>9</v>
      </c>
      <c r="L25" s="228">
        <v>14</v>
      </c>
      <c r="M25" s="228">
        <v>12</v>
      </c>
      <c r="N25" s="228">
        <v>5</v>
      </c>
      <c r="O25" s="228">
        <v>3</v>
      </c>
      <c r="P25" s="228">
        <v>5</v>
      </c>
      <c r="Q25" s="24">
        <v>6</v>
      </c>
    </row>
    <row r="26" spans="1:29" s="228" customFormat="1">
      <c r="A26" s="23" t="s">
        <v>90</v>
      </c>
      <c r="B26" s="228">
        <f>D41+D46+D49+D47+E51</f>
        <v>10</v>
      </c>
      <c r="C26" s="228">
        <f>D42+D46+D47+D49</f>
        <v>10</v>
      </c>
      <c r="D26" s="228">
        <f>D43+D48+D55+E54+D46+D44</f>
        <v>10</v>
      </c>
      <c r="E26" s="228">
        <f>D43+D48+D55+E54+D46+D44</f>
        <v>10</v>
      </c>
      <c r="F26" s="228">
        <f>D45+D46+D49</f>
        <v>3</v>
      </c>
      <c r="G26" s="17">
        <f>D46</f>
        <v>1</v>
      </c>
      <c r="H26" s="228">
        <v>8</v>
      </c>
      <c r="I26" s="228">
        <v>7</v>
      </c>
      <c r="J26" s="228">
        <v>2</v>
      </c>
      <c r="K26" s="228">
        <v>10</v>
      </c>
      <c r="L26" s="228">
        <v>7</v>
      </c>
      <c r="M26" s="228">
        <v>12</v>
      </c>
      <c r="N26" s="228">
        <v>11</v>
      </c>
      <c r="O26" s="228">
        <v>3</v>
      </c>
      <c r="P26" s="228">
        <v>3</v>
      </c>
      <c r="Q26" s="24">
        <v>6</v>
      </c>
    </row>
    <row r="27" spans="1:29" s="228" customFormat="1">
      <c r="A27" s="23" t="s">
        <v>139</v>
      </c>
      <c r="B27" s="228">
        <f>D41+D47+E51</f>
        <v>8</v>
      </c>
      <c r="C27" s="228">
        <f>D42+D47</f>
        <v>8</v>
      </c>
      <c r="D27" s="228">
        <f>D43+D44+D47+D54+D49+E42</f>
        <v>10</v>
      </c>
      <c r="E27" s="228">
        <f>D43+D44+D47+D54+D49+E42</f>
        <v>10</v>
      </c>
      <c r="F27" s="228">
        <f>D45+D47+D49+D50+D51+E42</f>
        <v>16</v>
      </c>
      <c r="G27" s="228">
        <f>D46+D47+D49+E42+E56</f>
        <v>8</v>
      </c>
      <c r="H27" s="17">
        <f>D47</f>
        <v>3</v>
      </c>
      <c r="I27" s="228">
        <v>11</v>
      </c>
      <c r="J27" s="228">
        <v>6</v>
      </c>
      <c r="K27" s="228">
        <v>12</v>
      </c>
      <c r="L27" s="228">
        <v>5</v>
      </c>
      <c r="M27" s="228">
        <v>10</v>
      </c>
      <c r="N27" s="228">
        <v>10</v>
      </c>
      <c r="O27" s="228">
        <v>5</v>
      </c>
      <c r="P27" s="228">
        <v>9</v>
      </c>
      <c r="Q27" s="24">
        <v>6</v>
      </c>
      <c r="S27"/>
    </row>
    <row r="28" spans="1:29" s="228" customFormat="1">
      <c r="A28" s="23" t="s">
        <v>140</v>
      </c>
      <c r="B28" s="228">
        <f>D41+D48+D47+E51+D49+D55+E42</f>
        <v>16</v>
      </c>
      <c r="C28" s="228">
        <f>D42+D48+D47+D49+D55</f>
        <v>14</v>
      </c>
      <c r="D28" s="228">
        <f>D43+D44+D48</f>
        <v>6</v>
      </c>
      <c r="E28" s="228">
        <f>D43+D44+D48</f>
        <v>6</v>
      </c>
      <c r="F28" s="228">
        <f>D45+D46+D49+D55+D48</f>
        <v>8</v>
      </c>
      <c r="G28" s="228">
        <f>D46+D55+D48+E49</f>
        <v>7</v>
      </c>
      <c r="H28" s="228">
        <f>D47+D48+D49+D55+E42</f>
        <v>11</v>
      </c>
      <c r="I28" s="17">
        <f>D48</f>
        <v>3</v>
      </c>
      <c r="J28" s="228">
        <v>7</v>
      </c>
      <c r="K28" s="228">
        <v>15</v>
      </c>
      <c r="L28" s="228">
        <v>12</v>
      </c>
      <c r="M28" s="228">
        <v>14</v>
      </c>
      <c r="N28" s="228">
        <v>9</v>
      </c>
      <c r="O28" s="228">
        <v>5</v>
      </c>
      <c r="P28" s="228">
        <v>7</v>
      </c>
      <c r="Q28" s="24">
        <v>8</v>
      </c>
      <c r="S28"/>
    </row>
    <row r="29" spans="1:29" s="228" customFormat="1">
      <c r="A29" s="23" t="s">
        <v>141</v>
      </c>
      <c r="B29" s="228">
        <f>D41+D49+D47+E42+E51</f>
        <v>11</v>
      </c>
      <c r="C29" s="228">
        <f>D42+D49+D47</f>
        <v>9</v>
      </c>
      <c r="D29" s="228">
        <f>D43+D44+D49+D54</f>
        <v>5</v>
      </c>
      <c r="E29" s="228">
        <f>D43+D44+D49+D54</f>
        <v>5</v>
      </c>
      <c r="F29" s="228">
        <f>D45+D49</f>
        <v>2</v>
      </c>
      <c r="G29" s="228">
        <f>D46+D49</f>
        <v>2</v>
      </c>
      <c r="H29" s="228">
        <f>D47+E42+D49</f>
        <v>6</v>
      </c>
      <c r="I29" s="228">
        <f>D48+D49+D46+D55</f>
        <v>7</v>
      </c>
      <c r="J29" s="17">
        <f>D49</f>
        <v>1</v>
      </c>
      <c r="K29" s="228">
        <v>8</v>
      </c>
      <c r="L29" s="228">
        <v>6</v>
      </c>
      <c r="M29" s="228">
        <v>13</v>
      </c>
      <c r="N29" s="228">
        <v>4</v>
      </c>
      <c r="O29" s="228">
        <v>2</v>
      </c>
      <c r="P29" s="228">
        <v>4</v>
      </c>
      <c r="Q29" s="24">
        <v>5</v>
      </c>
      <c r="S29"/>
    </row>
    <row r="30" spans="1:29" s="228" customFormat="1">
      <c r="A30" s="23" t="s">
        <v>142</v>
      </c>
      <c r="B30" s="228">
        <f>D41+D50+D51+D47</f>
        <v>16</v>
      </c>
      <c r="C30" s="228">
        <f>D42+D41+D47+D50+D51</f>
        <v>21</v>
      </c>
      <c r="D30" s="228">
        <f>D44+D54+D49+D50+D43</f>
        <v>12</v>
      </c>
      <c r="E30" s="228">
        <f>D44+D54+D49+D50+D43</f>
        <v>12</v>
      </c>
      <c r="F30" s="228">
        <f>D45+D49+D50</f>
        <v>9</v>
      </c>
      <c r="G30" s="228">
        <f>D45+D46+D49+D50</f>
        <v>10</v>
      </c>
      <c r="H30" s="228">
        <f>D47+D50+D51</f>
        <v>12</v>
      </c>
      <c r="I30" s="228">
        <f>D45+D46+D48+D49+D50+D55</f>
        <v>15</v>
      </c>
      <c r="J30" s="228">
        <f>D50+D49</f>
        <v>8</v>
      </c>
      <c r="K30" s="17">
        <f>D50</f>
        <v>7</v>
      </c>
      <c r="L30" s="228">
        <v>12</v>
      </c>
      <c r="M30" s="228">
        <v>17</v>
      </c>
      <c r="N30" s="228">
        <v>18</v>
      </c>
      <c r="O30" s="228">
        <v>9</v>
      </c>
      <c r="P30" s="228">
        <v>12</v>
      </c>
      <c r="Q30" s="24">
        <v>15</v>
      </c>
      <c r="S30"/>
    </row>
    <row r="31" spans="1:29" s="228" customFormat="1">
      <c r="A31" s="23" t="s">
        <v>143</v>
      </c>
      <c r="B31" s="228">
        <f>D41+D51</f>
        <v>6</v>
      </c>
      <c r="C31" s="228">
        <f>D42+D41+E47+D51</f>
        <v>12</v>
      </c>
      <c r="D31" s="228">
        <f>D43+D44+D54+D49+D51+D47</f>
        <v>10</v>
      </c>
      <c r="E31" s="228">
        <f>D43+D44+D54+D49+D51+D47</f>
        <v>10</v>
      </c>
      <c r="F31" s="228">
        <f>D45+D49+D50+D47+D51</f>
        <v>14</v>
      </c>
      <c r="G31" s="228">
        <f>D46+D49+D47+D51</f>
        <v>7</v>
      </c>
      <c r="H31" s="228">
        <f>D47+D51</f>
        <v>5</v>
      </c>
      <c r="I31" s="228">
        <f>D55+D46+D48+D49+D47+D51</f>
        <v>12</v>
      </c>
      <c r="J31" s="228">
        <f>D49+D47+D51</f>
        <v>6</v>
      </c>
      <c r="K31" s="228">
        <f>D50+D51+D47</f>
        <v>12</v>
      </c>
      <c r="L31" s="17">
        <f>D51</f>
        <v>2</v>
      </c>
      <c r="M31" s="228">
        <v>7</v>
      </c>
      <c r="N31" s="228">
        <v>11</v>
      </c>
      <c r="O31" s="228">
        <v>9</v>
      </c>
      <c r="P31" s="228">
        <v>11</v>
      </c>
      <c r="Q31" s="24">
        <v>8</v>
      </c>
      <c r="S31"/>
    </row>
    <row r="32" spans="1:29" s="228" customFormat="1">
      <c r="A32" s="23" t="s">
        <v>144</v>
      </c>
      <c r="B32" s="228">
        <f>D41+E47+D51+D52</f>
        <v>8</v>
      </c>
      <c r="C32" s="228">
        <f>D41+D42+E47+D51+D52</f>
        <v>13</v>
      </c>
      <c r="D32" s="228">
        <f>D44+D43+D54+D49+D47+D51+D41+D52</f>
        <v>15</v>
      </c>
      <c r="E32" s="228">
        <f>D44+D43+D54+D49+D47+D51+D41+D52</f>
        <v>15</v>
      </c>
      <c r="F32" s="228">
        <f>D45+D47+D49+D51+D52+D41</f>
        <v>12</v>
      </c>
      <c r="G32" s="228">
        <f>D46+D47+D49+D51+D52+D41</f>
        <v>12</v>
      </c>
      <c r="H32" s="228">
        <f>D41+D47+D51+D52</f>
        <v>10</v>
      </c>
      <c r="I32" s="228">
        <f>D46+D47+D48+D49+D51+D52+D55+E56</f>
        <v>14</v>
      </c>
      <c r="J32" s="228">
        <f>D49+D41+E42+D47+D51+D52</f>
        <v>13</v>
      </c>
      <c r="K32" s="228">
        <f>D52+D51+D50+D47+D41</f>
        <v>17</v>
      </c>
      <c r="L32" s="228">
        <f>D41+D51+D52</f>
        <v>7</v>
      </c>
      <c r="M32" s="17">
        <f>D52</f>
        <v>1</v>
      </c>
      <c r="N32" s="228">
        <v>16</v>
      </c>
      <c r="O32" s="228">
        <v>14</v>
      </c>
      <c r="P32" s="228">
        <v>16</v>
      </c>
      <c r="Q32" s="232">
        <v>13</v>
      </c>
      <c r="S32"/>
    </row>
    <row r="33" spans="1:19" s="228" customFormat="1">
      <c r="A33" s="23" t="s">
        <v>145</v>
      </c>
      <c r="B33" s="228">
        <f>D41+D47+E51+D56+D54+D53</f>
        <v>12</v>
      </c>
      <c r="C33" s="228">
        <f>D42+D56+D54+D53</f>
        <v>9</v>
      </c>
      <c r="D33" s="230">
        <f>D43+D44+D53</f>
        <v>5</v>
      </c>
      <c r="E33" s="230">
        <f>D44+D43+D54+D53</f>
        <v>6</v>
      </c>
      <c r="F33" s="230">
        <f>D45+D49+D54+D53</f>
        <v>5</v>
      </c>
      <c r="G33" s="228">
        <f>D46+D48+D55+D43+D44+E49+E54</f>
        <v>11</v>
      </c>
      <c r="H33" s="228">
        <f>D47+D56+D54+D53+E44+E42</f>
        <v>10</v>
      </c>
      <c r="I33" s="228">
        <f>D43+D44+D53+D48+E54</f>
        <v>9</v>
      </c>
      <c r="J33" s="228">
        <f>D49+D54+D53</f>
        <v>4</v>
      </c>
      <c r="K33" s="228">
        <f>D50+D51+D47+E42+D56+D53+D54</f>
        <v>18</v>
      </c>
      <c r="L33" s="228">
        <f>D51+D53+D47+D56+D54+E42</f>
        <v>11</v>
      </c>
      <c r="M33" s="228">
        <f>D52+D53+D47+D56+D41+E42+D54+D51</f>
        <v>16</v>
      </c>
      <c r="N33" s="17">
        <f>D53</f>
        <v>2</v>
      </c>
      <c r="O33" s="228">
        <v>4</v>
      </c>
      <c r="P33" s="228">
        <v>13</v>
      </c>
      <c r="Q33" s="232">
        <v>4</v>
      </c>
      <c r="S33"/>
    </row>
    <row r="34" spans="1:19" s="228" customFormat="1">
      <c r="A34" s="23" t="s">
        <v>146</v>
      </c>
      <c r="B34" s="228">
        <f>D41+E42+E51+D47+D56+D54</f>
        <v>12</v>
      </c>
      <c r="C34" s="228">
        <f>D42+D56+D54</f>
        <v>7</v>
      </c>
      <c r="D34" s="228">
        <f>D43+D44+D54+D53</f>
        <v>6</v>
      </c>
      <c r="E34" s="228">
        <f>D54+D44</f>
        <v>2</v>
      </c>
      <c r="F34" s="228">
        <f>D45+D49+D54</f>
        <v>3</v>
      </c>
      <c r="G34" s="230">
        <f>D54+D46+D49</f>
        <v>3</v>
      </c>
      <c r="H34" s="228">
        <f>D47+D56+D54</f>
        <v>5</v>
      </c>
      <c r="I34" s="228">
        <f>D48+D54+D44</f>
        <v>5</v>
      </c>
      <c r="J34" s="230">
        <f>D49+D54</f>
        <v>2</v>
      </c>
      <c r="K34" s="230">
        <f>D50+D49+D54</f>
        <v>9</v>
      </c>
      <c r="L34" s="228">
        <f>D51+D47+E42+D56+D54</f>
        <v>9</v>
      </c>
      <c r="M34" s="228">
        <f>D52+D53+D56+D54+D47+D41+E42</f>
        <v>14</v>
      </c>
      <c r="N34" s="228">
        <f>D53+D54+E44</f>
        <v>4</v>
      </c>
      <c r="O34" s="17">
        <f>D54</f>
        <v>1</v>
      </c>
      <c r="P34" s="228">
        <v>5</v>
      </c>
      <c r="Q34" s="232">
        <v>2</v>
      </c>
      <c r="S34"/>
    </row>
    <row r="35" spans="1:19" s="228" customFormat="1">
      <c r="A35" s="23" t="s">
        <v>147</v>
      </c>
      <c r="B35" s="228">
        <f>D41+E42+D47+E51+D49+D46+D55</f>
        <v>14</v>
      </c>
      <c r="C35" s="228">
        <f>D42+D47+D49+D46+D55</f>
        <v>12</v>
      </c>
      <c r="D35" s="228">
        <f>D43+D44+D48+D46+D55+E49</f>
        <v>10</v>
      </c>
      <c r="E35" s="230">
        <f>D43+D44+D48+D46+D55+E49</f>
        <v>10</v>
      </c>
      <c r="F35" s="230">
        <f>D45+D46+D49+D55</f>
        <v>5</v>
      </c>
      <c r="G35" s="230">
        <f>D46+D55</f>
        <v>3</v>
      </c>
      <c r="H35" s="228">
        <f>D47+E42+D49+D46+D55</f>
        <v>9</v>
      </c>
      <c r="I35" s="228">
        <f>D48+D55+E49+D46</f>
        <v>7</v>
      </c>
      <c r="J35" s="230">
        <f>D46+D49+D55</f>
        <v>4</v>
      </c>
      <c r="K35" s="230">
        <f>D50+D45+D46+D49+D55</f>
        <v>12</v>
      </c>
      <c r="L35" s="228">
        <f>D51+D55+D49+D47+D46+E42</f>
        <v>11</v>
      </c>
      <c r="M35" s="230">
        <f>D52+D51+D47+D49+D46+D55+D41+E42</f>
        <v>16</v>
      </c>
      <c r="N35" s="228">
        <f>D53+D44+D43+D48+D46+D55+E54+E49</f>
        <v>13</v>
      </c>
      <c r="O35" s="228">
        <f>D54+D55+D49+D46</f>
        <v>5</v>
      </c>
      <c r="P35" s="17">
        <f>D55</f>
        <v>2</v>
      </c>
      <c r="Q35" s="232">
        <v>8</v>
      </c>
      <c r="S35"/>
    </row>
    <row r="36" spans="1:19" s="228" customFormat="1">
      <c r="A36" s="23" t="s">
        <v>148</v>
      </c>
      <c r="B36" s="24">
        <f>D41+E42+D47+E51+D56</f>
        <v>11</v>
      </c>
      <c r="C36" s="24">
        <f>D42+D56+D47</f>
        <v>9</v>
      </c>
      <c r="D36" s="24">
        <f>D56+D54+D53+D44+D43</f>
        <v>7</v>
      </c>
      <c r="E36" s="24">
        <f>D56+D54+D53+D44+D43</f>
        <v>7</v>
      </c>
      <c r="F36" s="24">
        <f>D45+D49+D56+D47</f>
        <v>6</v>
      </c>
      <c r="G36" s="24">
        <f>D46+D49+D56+D47</f>
        <v>6</v>
      </c>
      <c r="H36" s="24">
        <f>D47+E42+D56</f>
        <v>6</v>
      </c>
      <c r="I36" s="24">
        <f>D48+D55+D56+D49+E47</f>
        <v>8</v>
      </c>
      <c r="J36" s="24">
        <f>D49+D47+D56</f>
        <v>5</v>
      </c>
      <c r="K36" s="24">
        <f>D50+D47+D51+D56+E42</f>
        <v>15</v>
      </c>
      <c r="L36" s="24">
        <f>E42+D56+D51+D47</f>
        <v>8</v>
      </c>
      <c r="M36" s="24">
        <f>D41+E42+D52+D47+D56+D51</f>
        <v>13</v>
      </c>
      <c r="N36" s="24">
        <f>D53+D54+D56</f>
        <v>4</v>
      </c>
      <c r="O36" s="24">
        <f>D56+D54</f>
        <v>2</v>
      </c>
      <c r="P36" s="24">
        <f>D55+D46+D49+D47+D56</f>
        <v>8</v>
      </c>
      <c r="Q36" s="25">
        <f>D56</f>
        <v>1</v>
      </c>
      <c r="S36"/>
    </row>
    <row r="37" spans="1:19" s="228" customFormat="1">
      <c r="S37"/>
    </row>
    <row r="38" spans="1:19" ht="13.5" customHeight="1">
      <c r="A38" s="228"/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</row>
    <row r="39" spans="1:19" ht="22.5" customHeight="1">
      <c r="A39" s="228"/>
      <c r="B39" s="228"/>
      <c r="C39" s="228"/>
      <c r="D39" s="228"/>
      <c r="E39" s="228"/>
      <c r="F39" s="287" t="s">
        <v>338</v>
      </c>
      <c r="G39" s="287"/>
      <c r="H39" s="287"/>
      <c r="I39" s="287"/>
      <c r="J39" s="287"/>
      <c r="K39" s="287"/>
      <c r="L39" s="228"/>
      <c r="M39" s="228"/>
      <c r="N39" s="228"/>
      <c r="O39" s="228"/>
      <c r="P39" s="228"/>
      <c r="Q39" s="228"/>
    </row>
    <row r="40" spans="1:19" ht="78.75" customHeight="1" thickBot="1">
      <c r="A40" s="228"/>
      <c r="B40" s="229" t="s">
        <v>330</v>
      </c>
      <c r="C40" s="229" t="s">
        <v>331</v>
      </c>
      <c r="D40" s="229" t="s">
        <v>332</v>
      </c>
      <c r="E40" s="229" t="s">
        <v>333</v>
      </c>
      <c r="F40" s="227" t="s">
        <v>334</v>
      </c>
      <c r="G40" s="227" t="s">
        <v>335</v>
      </c>
      <c r="H40" s="227" t="s">
        <v>336</v>
      </c>
      <c r="I40" s="227" t="s">
        <v>337</v>
      </c>
      <c r="J40" s="227" t="s">
        <v>132</v>
      </c>
      <c r="K40" s="227" t="s">
        <v>133</v>
      </c>
      <c r="L40" s="228"/>
      <c r="M40" s="228"/>
      <c r="N40" s="228"/>
      <c r="O40" s="228"/>
      <c r="P40" s="228"/>
      <c r="Q40" s="228"/>
    </row>
    <row r="41" spans="1:19">
      <c r="A41" s="23" t="s">
        <v>136</v>
      </c>
      <c r="B41" s="174">
        <v>10.8</v>
      </c>
      <c r="C41" s="228">
        <v>2</v>
      </c>
      <c r="D41" s="243">
        <v>4</v>
      </c>
      <c r="E41" s="228">
        <v>2</v>
      </c>
      <c r="F41" s="228">
        <f>D41*$B$64</f>
        <v>20</v>
      </c>
      <c r="G41" s="228">
        <f>D41*$B$64</f>
        <v>20</v>
      </c>
      <c r="H41" s="228">
        <f>D41*$B$65</f>
        <v>20</v>
      </c>
      <c r="I41" s="228">
        <f>D41*$B$66</f>
        <v>12</v>
      </c>
      <c r="J41" s="228">
        <f>D41*$B$69</f>
        <v>20</v>
      </c>
      <c r="K41" s="228">
        <f>D41*$B$70</f>
        <v>12</v>
      </c>
      <c r="L41" s="228"/>
      <c r="M41" s="228"/>
      <c r="N41" s="228"/>
      <c r="O41" s="228"/>
      <c r="P41" s="228"/>
      <c r="Q41" s="228"/>
    </row>
    <row r="42" spans="1:19">
      <c r="A42" s="23" t="s">
        <v>137</v>
      </c>
      <c r="B42" s="24">
        <v>12.9</v>
      </c>
      <c r="C42" s="228">
        <v>2</v>
      </c>
      <c r="D42" s="243">
        <v>5</v>
      </c>
      <c r="E42" s="228">
        <v>2</v>
      </c>
      <c r="F42" s="228">
        <f t="shared" ref="F42:F56" si="0">D42*$B$63</f>
        <v>25</v>
      </c>
      <c r="G42" s="228">
        <f t="shared" ref="G42:G56" si="1">D42*$B$64</f>
        <v>25</v>
      </c>
      <c r="H42" s="228">
        <f t="shared" ref="H42:H56" si="2">D42*$B$65</f>
        <v>25</v>
      </c>
      <c r="I42" s="228">
        <f t="shared" ref="I42:I56" si="3">D42*$B$66</f>
        <v>15</v>
      </c>
      <c r="J42" s="228">
        <f t="shared" ref="J42:J56" si="4">D42*$B$69</f>
        <v>25</v>
      </c>
      <c r="K42" s="228">
        <f t="shared" ref="K42:K56" si="5">D42*$B$70</f>
        <v>15</v>
      </c>
      <c r="L42" s="228"/>
      <c r="M42" s="228"/>
      <c r="N42" s="228"/>
      <c r="O42" s="228"/>
      <c r="P42" s="228"/>
      <c r="Q42" s="228"/>
    </row>
    <row r="43" spans="1:19">
      <c r="A43" s="23" t="s">
        <v>88</v>
      </c>
      <c r="B43" s="24">
        <v>3.7</v>
      </c>
      <c r="C43" s="228">
        <v>3</v>
      </c>
      <c r="D43" s="243">
        <v>2</v>
      </c>
      <c r="E43" s="228">
        <v>1</v>
      </c>
      <c r="F43" s="228">
        <f t="shared" si="0"/>
        <v>10</v>
      </c>
      <c r="G43" s="228">
        <f t="shared" si="1"/>
        <v>10</v>
      </c>
      <c r="H43" s="228">
        <f t="shared" si="2"/>
        <v>10</v>
      </c>
      <c r="I43" s="228">
        <f t="shared" si="3"/>
        <v>6</v>
      </c>
      <c r="J43" s="228">
        <f t="shared" si="4"/>
        <v>10</v>
      </c>
      <c r="K43" s="228">
        <f t="shared" si="5"/>
        <v>6</v>
      </c>
      <c r="L43" s="228"/>
      <c r="M43" s="228"/>
      <c r="N43" s="228"/>
      <c r="O43" s="228"/>
      <c r="P43" s="228"/>
      <c r="Q43" s="228"/>
    </row>
    <row r="44" spans="1:19">
      <c r="A44" s="23" t="s">
        <v>138</v>
      </c>
      <c r="B44" s="24">
        <v>2.2999999999999998</v>
      </c>
      <c r="C44" s="228">
        <v>3</v>
      </c>
      <c r="D44" s="243">
        <v>1</v>
      </c>
      <c r="E44" s="228">
        <v>1</v>
      </c>
      <c r="F44" s="228">
        <f t="shared" si="0"/>
        <v>5</v>
      </c>
      <c r="G44" s="228">
        <f t="shared" si="1"/>
        <v>5</v>
      </c>
      <c r="H44" s="228">
        <f t="shared" si="2"/>
        <v>5</v>
      </c>
      <c r="I44" s="228">
        <f t="shared" si="3"/>
        <v>3</v>
      </c>
      <c r="J44" s="228">
        <f t="shared" si="4"/>
        <v>5</v>
      </c>
      <c r="K44" s="228">
        <f t="shared" si="5"/>
        <v>3</v>
      </c>
      <c r="L44" s="228"/>
      <c r="M44" s="228"/>
      <c r="N44" s="228"/>
      <c r="O44" s="228"/>
      <c r="P44" s="228"/>
      <c r="Q44" s="228"/>
    </row>
    <row r="45" spans="1:19">
      <c r="A45" s="23" t="s">
        <v>89</v>
      </c>
      <c r="B45" s="24">
        <v>0.6</v>
      </c>
      <c r="C45" s="228">
        <v>3</v>
      </c>
      <c r="D45" s="243">
        <v>1</v>
      </c>
      <c r="E45" s="228">
        <v>1</v>
      </c>
      <c r="F45" s="228">
        <f t="shared" si="0"/>
        <v>5</v>
      </c>
      <c r="G45" s="228">
        <f t="shared" si="1"/>
        <v>5</v>
      </c>
      <c r="H45" s="228">
        <f t="shared" si="2"/>
        <v>5</v>
      </c>
      <c r="I45" s="228">
        <f t="shared" si="3"/>
        <v>3</v>
      </c>
      <c r="J45" s="228">
        <f t="shared" si="4"/>
        <v>5</v>
      </c>
      <c r="K45" s="228">
        <f t="shared" si="5"/>
        <v>3</v>
      </c>
      <c r="L45" s="228"/>
      <c r="M45" s="228"/>
      <c r="N45" s="228"/>
      <c r="O45" s="228"/>
      <c r="P45" s="228"/>
      <c r="Q45" s="228"/>
    </row>
    <row r="46" spans="1:19">
      <c r="A46" s="23" t="s">
        <v>90</v>
      </c>
      <c r="B46" s="24">
        <v>1.8</v>
      </c>
      <c r="C46" s="228">
        <v>3</v>
      </c>
      <c r="D46" s="243">
        <v>1</v>
      </c>
      <c r="E46" s="228">
        <v>1</v>
      </c>
      <c r="F46" s="228">
        <f t="shared" si="0"/>
        <v>5</v>
      </c>
      <c r="G46" s="228">
        <f t="shared" si="1"/>
        <v>5</v>
      </c>
      <c r="H46" s="228">
        <f t="shared" si="2"/>
        <v>5</v>
      </c>
      <c r="I46" s="228">
        <f t="shared" si="3"/>
        <v>3</v>
      </c>
      <c r="J46" s="228">
        <f t="shared" si="4"/>
        <v>5</v>
      </c>
      <c r="K46" s="228">
        <f t="shared" si="5"/>
        <v>3</v>
      </c>
      <c r="L46" s="228"/>
      <c r="M46" s="228"/>
      <c r="N46" s="228"/>
      <c r="O46" s="228"/>
      <c r="P46" s="228"/>
      <c r="Q46" s="228"/>
    </row>
    <row r="47" spans="1:19">
      <c r="A47" s="23" t="s">
        <v>139</v>
      </c>
      <c r="B47" s="24">
        <v>6</v>
      </c>
      <c r="C47" s="228">
        <v>3</v>
      </c>
      <c r="D47" s="243">
        <v>3</v>
      </c>
      <c r="E47" s="228">
        <v>1</v>
      </c>
      <c r="F47" s="228">
        <f t="shared" si="0"/>
        <v>15</v>
      </c>
      <c r="G47" s="228">
        <f t="shared" si="1"/>
        <v>15</v>
      </c>
      <c r="H47" s="228">
        <f t="shared" si="2"/>
        <v>15</v>
      </c>
      <c r="I47" s="228">
        <f t="shared" si="3"/>
        <v>9</v>
      </c>
      <c r="J47" s="228">
        <f t="shared" si="4"/>
        <v>15</v>
      </c>
      <c r="K47" s="228">
        <f t="shared" si="5"/>
        <v>9</v>
      </c>
      <c r="L47" s="228"/>
      <c r="M47" s="228"/>
      <c r="N47" s="228"/>
      <c r="O47" s="228"/>
      <c r="P47" s="228"/>
      <c r="Q47" s="228"/>
    </row>
    <row r="48" spans="1:19">
      <c r="A48" s="23" t="s">
        <v>140</v>
      </c>
      <c r="B48" s="24">
        <v>1.4</v>
      </c>
      <c r="C48" s="228">
        <v>3</v>
      </c>
      <c r="D48" s="243">
        <v>3</v>
      </c>
      <c r="E48" s="228">
        <v>1</v>
      </c>
      <c r="F48" s="228">
        <f t="shared" si="0"/>
        <v>15</v>
      </c>
      <c r="G48" s="228">
        <f t="shared" si="1"/>
        <v>15</v>
      </c>
      <c r="H48" s="228">
        <f t="shared" si="2"/>
        <v>15</v>
      </c>
      <c r="I48" s="228">
        <f t="shared" si="3"/>
        <v>9</v>
      </c>
      <c r="J48" s="228">
        <f t="shared" si="4"/>
        <v>15</v>
      </c>
      <c r="K48" s="228">
        <f t="shared" si="5"/>
        <v>9</v>
      </c>
      <c r="L48" s="228"/>
      <c r="M48" s="228"/>
      <c r="N48" s="228"/>
      <c r="O48" s="228"/>
      <c r="P48" s="228"/>
      <c r="Q48" s="228"/>
    </row>
    <row r="49" spans="1:39">
      <c r="A49" s="23" t="s">
        <v>141</v>
      </c>
      <c r="B49" s="24">
        <v>7.5</v>
      </c>
      <c r="C49" s="228">
        <v>3</v>
      </c>
      <c r="D49" s="243">
        <v>1</v>
      </c>
      <c r="E49" s="228">
        <v>1</v>
      </c>
      <c r="F49" s="228">
        <f t="shared" si="0"/>
        <v>5</v>
      </c>
      <c r="G49" s="228">
        <f t="shared" si="1"/>
        <v>5</v>
      </c>
      <c r="H49" s="228">
        <f t="shared" si="2"/>
        <v>5</v>
      </c>
      <c r="I49" s="228">
        <f t="shared" si="3"/>
        <v>3</v>
      </c>
      <c r="J49" s="228">
        <f t="shared" si="4"/>
        <v>5</v>
      </c>
      <c r="K49" s="228">
        <f t="shared" si="5"/>
        <v>3</v>
      </c>
      <c r="L49" s="228"/>
      <c r="M49" s="228"/>
      <c r="N49" s="228"/>
      <c r="O49" s="228"/>
      <c r="P49" s="228"/>
      <c r="Q49" s="228"/>
    </row>
    <row r="50" spans="1:39">
      <c r="A50" s="23" t="s">
        <v>142</v>
      </c>
      <c r="B50" s="24">
        <v>16.899999999999999</v>
      </c>
      <c r="C50" s="228">
        <v>1</v>
      </c>
      <c r="D50" s="243">
        <v>7</v>
      </c>
      <c r="E50" s="228">
        <v>3</v>
      </c>
      <c r="F50" s="228">
        <f t="shared" si="0"/>
        <v>35</v>
      </c>
      <c r="G50" s="228">
        <f t="shared" si="1"/>
        <v>35</v>
      </c>
      <c r="H50" s="228">
        <f t="shared" si="2"/>
        <v>35</v>
      </c>
      <c r="I50" s="228">
        <f t="shared" si="3"/>
        <v>21</v>
      </c>
      <c r="J50" s="228">
        <f t="shared" si="4"/>
        <v>35</v>
      </c>
      <c r="K50" s="228">
        <f t="shared" si="5"/>
        <v>21</v>
      </c>
      <c r="L50" s="228"/>
      <c r="M50" s="228"/>
      <c r="N50" s="228"/>
      <c r="O50" s="228"/>
      <c r="P50" s="228"/>
      <c r="Q50" s="228"/>
    </row>
    <row r="51" spans="1:39">
      <c r="A51" s="23" t="s">
        <v>143</v>
      </c>
      <c r="B51" s="24">
        <v>3.8</v>
      </c>
      <c r="C51" s="228">
        <v>3</v>
      </c>
      <c r="D51" s="243">
        <v>2</v>
      </c>
      <c r="E51" s="228">
        <v>1</v>
      </c>
      <c r="F51" s="228">
        <f t="shared" si="0"/>
        <v>10</v>
      </c>
      <c r="G51" s="228">
        <f t="shared" si="1"/>
        <v>10</v>
      </c>
      <c r="H51" s="228">
        <f t="shared" si="2"/>
        <v>10</v>
      </c>
      <c r="I51" s="228">
        <f t="shared" si="3"/>
        <v>6</v>
      </c>
      <c r="J51" s="228">
        <f t="shared" si="4"/>
        <v>10</v>
      </c>
      <c r="K51" s="228">
        <f t="shared" si="5"/>
        <v>6</v>
      </c>
      <c r="S51" s="228"/>
    </row>
    <row r="52" spans="1:39">
      <c r="A52" s="23" t="s">
        <v>144</v>
      </c>
      <c r="B52" s="24">
        <v>0.9</v>
      </c>
      <c r="C52" s="228">
        <v>3</v>
      </c>
      <c r="D52" s="243">
        <v>1</v>
      </c>
      <c r="E52" s="228">
        <v>1</v>
      </c>
      <c r="F52" s="228">
        <f t="shared" si="0"/>
        <v>5</v>
      </c>
      <c r="G52" s="228">
        <f t="shared" si="1"/>
        <v>5</v>
      </c>
      <c r="H52" s="228">
        <f t="shared" si="2"/>
        <v>5</v>
      </c>
      <c r="I52" s="228">
        <f t="shared" si="3"/>
        <v>3</v>
      </c>
      <c r="J52" s="228">
        <f t="shared" si="4"/>
        <v>5</v>
      </c>
      <c r="K52" s="228">
        <f t="shared" si="5"/>
        <v>3</v>
      </c>
    </row>
    <row r="53" spans="1:39">
      <c r="A53" s="23" t="s">
        <v>145</v>
      </c>
      <c r="B53" s="24">
        <v>3.8</v>
      </c>
      <c r="C53" s="228">
        <v>3</v>
      </c>
      <c r="D53" s="243">
        <v>2</v>
      </c>
      <c r="E53" s="228">
        <v>1</v>
      </c>
      <c r="F53" s="228">
        <f t="shared" si="0"/>
        <v>10</v>
      </c>
      <c r="G53" s="228">
        <f t="shared" si="1"/>
        <v>10</v>
      </c>
      <c r="H53" s="228">
        <f t="shared" si="2"/>
        <v>10</v>
      </c>
      <c r="I53" s="228">
        <f t="shared" si="3"/>
        <v>6</v>
      </c>
      <c r="J53" s="228">
        <f t="shared" si="4"/>
        <v>10</v>
      </c>
      <c r="K53" s="228">
        <f t="shared" si="5"/>
        <v>6</v>
      </c>
    </row>
    <row r="54" spans="1:39">
      <c r="A54" s="23" t="s">
        <v>146</v>
      </c>
      <c r="B54" s="24">
        <v>1.9</v>
      </c>
      <c r="C54">
        <v>3</v>
      </c>
      <c r="D54" s="243">
        <v>1</v>
      </c>
      <c r="E54">
        <v>1</v>
      </c>
      <c r="F54" s="228">
        <f t="shared" si="0"/>
        <v>5</v>
      </c>
      <c r="G54" s="228">
        <f t="shared" si="1"/>
        <v>5</v>
      </c>
      <c r="H54" s="228">
        <f t="shared" si="2"/>
        <v>5</v>
      </c>
      <c r="I54" s="228">
        <f t="shared" si="3"/>
        <v>3</v>
      </c>
      <c r="J54" s="228">
        <f t="shared" si="4"/>
        <v>5</v>
      </c>
      <c r="K54" s="228">
        <f t="shared" si="5"/>
        <v>3</v>
      </c>
    </row>
    <row r="55" spans="1:39">
      <c r="A55" s="23" t="s">
        <v>147</v>
      </c>
      <c r="B55" s="24">
        <v>2.8</v>
      </c>
      <c r="C55">
        <v>3</v>
      </c>
      <c r="D55" s="243">
        <v>2</v>
      </c>
      <c r="E55">
        <v>1</v>
      </c>
      <c r="F55" s="228">
        <f t="shared" si="0"/>
        <v>10</v>
      </c>
      <c r="G55" s="228">
        <f t="shared" si="1"/>
        <v>10</v>
      </c>
      <c r="H55" s="228">
        <f t="shared" si="2"/>
        <v>10</v>
      </c>
      <c r="I55" s="228">
        <f t="shared" si="3"/>
        <v>6</v>
      </c>
      <c r="J55" s="228">
        <f t="shared" si="4"/>
        <v>10</v>
      </c>
      <c r="K55" s="228">
        <f t="shared" si="5"/>
        <v>6</v>
      </c>
    </row>
    <row r="56" spans="1:39" ht="16" thickBot="1">
      <c r="A56" s="23" t="s">
        <v>148</v>
      </c>
      <c r="B56" s="175">
        <v>1.9</v>
      </c>
      <c r="C56">
        <v>3</v>
      </c>
      <c r="D56" s="243">
        <v>1</v>
      </c>
      <c r="E56">
        <v>1</v>
      </c>
      <c r="F56" s="228">
        <f t="shared" si="0"/>
        <v>5</v>
      </c>
      <c r="G56" s="228">
        <f t="shared" si="1"/>
        <v>5</v>
      </c>
      <c r="H56" s="228">
        <f t="shared" si="2"/>
        <v>5</v>
      </c>
      <c r="I56" s="228">
        <f t="shared" si="3"/>
        <v>3</v>
      </c>
      <c r="J56" s="228">
        <f t="shared" si="4"/>
        <v>5</v>
      </c>
      <c r="K56" s="228">
        <f t="shared" si="5"/>
        <v>3</v>
      </c>
    </row>
    <row r="57" spans="1:39">
      <c r="B57">
        <f>INT((MAX(B41:B56)-MIN(B41:B56))/2)</f>
        <v>8</v>
      </c>
    </row>
    <row r="59" spans="1:39">
      <c r="V59" t="s">
        <v>353</v>
      </c>
      <c r="W59" t="s">
        <v>329</v>
      </c>
    </row>
    <row r="60" spans="1:39">
      <c r="V60" s="246" t="s">
        <v>353</v>
      </c>
      <c r="W60" s="246" t="s">
        <v>86</v>
      </c>
      <c r="X60" s="246" t="s">
        <v>87</v>
      </c>
      <c r="Y60" s="246" t="s">
        <v>88</v>
      </c>
      <c r="Z60" s="246" t="s">
        <v>178</v>
      </c>
      <c r="AA60" s="246" t="s">
        <v>89</v>
      </c>
      <c r="AB60" s="246" t="s">
        <v>90</v>
      </c>
      <c r="AC60" s="246" t="s">
        <v>91</v>
      </c>
      <c r="AD60" s="246" t="s">
        <v>92</v>
      </c>
      <c r="AE60" s="246" t="s">
        <v>93</v>
      </c>
      <c r="AF60" s="246" t="s">
        <v>94</v>
      </c>
      <c r="AG60" s="246" t="s">
        <v>95</v>
      </c>
      <c r="AH60" s="246" t="s">
        <v>96</v>
      </c>
      <c r="AI60" s="246" t="s">
        <v>97</v>
      </c>
      <c r="AJ60" s="246" t="s">
        <v>98</v>
      </c>
      <c r="AK60" s="246" t="s">
        <v>99</v>
      </c>
      <c r="AL60" s="246" t="s">
        <v>100</v>
      </c>
      <c r="AM60" s="251"/>
    </row>
    <row r="61" spans="1:39" ht="13.5" customHeight="1">
      <c r="B61" s="287" t="s">
        <v>338</v>
      </c>
      <c r="C61" s="287"/>
      <c r="V61" s="246" t="s">
        <v>86</v>
      </c>
      <c r="W61" s="248">
        <v>4</v>
      </c>
      <c r="X61" s="249">
        <v>9</v>
      </c>
      <c r="Y61" s="249">
        <v>13</v>
      </c>
      <c r="Z61" s="249">
        <v>13</v>
      </c>
      <c r="AA61" s="249">
        <v>13</v>
      </c>
      <c r="AB61" s="249">
        <v>10</v>
      </c>
      <c r="AC61" s="249">
        <v>8</v>
      </c>
      <c r="AD61" s="249">
        <v>16</v>
      </c>
      <c r="AE61" s="249">
        <v>11</v>
      </c>
      <c r="AF61" s="249">
        <v>16</v>
      </c>
      <c r="AG61" s="249">
        <v>6</v>
      </c>
      <c r="AH61" s="249">
        <v>8</v>
      </c>
      <c r="AI61" s="249">
        <v>12</v>
      </c>
      <c r="AJ61" s="249">
        <v>12</v>
      </c>
      <c r="AK61" s="249">
        <v>14</v>
      </c>
      <c r="AL61" s="249">
        <v>11</v>
      </c>
      <c r="AM61" s="299" t="s">
        <v>352</v>
      </c>
    </row>
    <row r="62" spans="1:39" s="228" customFormat="1" ht="13.5" customHeight="1">
      <c r="A62" s="302" t="s">
        <v>339</v>
      </c>
      <c r="B62" s="302"/>
      <c r="C62" s="302"/>
      <c r="S62"/>
      <c r="V62" s="246" t="s">
        <v>87</v>
      </c>
      <c r="W62" s="250">
        <v>9</v>
      </c>
      <c r="X62" s="248">
        <v>5</v>
      </c>
      <c r="Y62" s="249">
        <v>12</v>
      </c>
      <c r="Z62" s="249">
        <v>12</v>
      </c>
      <c r="AA62" s="249">
        <v>10</v>
      </c>
      <c r="AB62" s="249">
        <v>10</v>
      </c>
      <c r="AC62" s="249">
        <v>8</v>
      </c>
      <c r="AD62" s="249">
        <v>14</v>
      </c>
      <c r="AE62" s="249">
        <v>9</v>
      </c>
      <c r="AF62" s="249">
        <v>21</v>
      </c>
      <c r="AG62" s="249">
        <v>12</v>
      </c>
      <c r="AH62" s="249">
        <v>13</v>
      </c>
      <c r="AI62" s="249">
        <v>9</v>
      </c>
      <c r="AJ62" s="249">
        <v>7</v>
      </c>
      <c r="AK62" s="249">
        <v>12</v>
      </c>
      <c r="AL62" s="249">
        <v>9</v>
      </c>
      <c r="AM62" s="300"/>
    </row>
    <row r="63" spans="1:39">
      <c r="A63" t="s">
        <v>334</v>
      </c>
      <c r="B63" s="285">
        <v>5</v>
      </c>
      <c r="C63" s="285"/>
      <c r="V63" s="246" t="s">
        <v>88</v>
      </c>
      <c r="W63" s="250">
        <v>13</v>
      </c>
      <c r="X63" s="250">
        <v>12</v>
      </c>
      <c r="Y63" s="248">
        <v>2</v>
      </c>
      <c r="Z63" s="249">
        <v>3</v>
      </c>
      <c r="AA63" s="249">
        <v>12</v>
      </c>
      <c r="AB63" s="249">
        <v>10</v>
      </c>
      <c r="AC63" s="249">
        <v>10</v>
      </c>
      <c r="AD63" s="249">
        <v>6</v>
      </c>
      <c r="AE63" s="249">
        <v>5</v>
      </c>
      <c r="AF63" s="249">
        <v>12</v>
      </c>
      <c r="AG63" s="249">
        <v>10</v>
      </c>
      <c r="AH63" s="249">
        <v>15</v>
      </c>
      <c r="AI63" s="249">
        <v>5</v>
      </c>
      <c r="AJ63" s="249">
        <v>6</v>
      </c>
      <c r="AK63" s="249">
        <v>10</v>
      </c>
      <c r="AL63" s="249">
        <v>7</v>
      </c>
      <c r="AM63" s="300"/>
    </row>
    <row r="64" spans="1:39" ht="14.25" customHeight="1">
      <c r="A64" s="21" t="s">
        <v>335</v>
      </c>
      <c r="B64" s="285">
        <v>5</v>
      </c>
      <c r="C64" s="285"/>
      <c r="V64" s="246" t="s">
        <v>178</v>
      </c>
      <c r="W64" s="250">
        <v>13</v>
      </c>
      <c r="X64" s="250">
        <v>12</v>
      </c>
      <c r="Y64" s="250">
        <v>3</v>
      </c>
      <c r="Z64" s="248">
        <v>1</v>
      </c>
      <c r="AA64" s="249">
        <v>12</v>
      </c>
      <c r="AB64" s="249">
        <v>10</v>
      </c>
      <c r="AC64" s="249">
        <v>10</v>
      </c>
      <c r="AD64" s="249">
        <v>6</v>
      </c>
      <c r="AE64" s="249">
        <v>5</v>
      </c>
      <c r="AF64" s="249">
        <v>12</v>
      </c>
      <c r="AG64" s="249">
        <v>10</v>
      </c>
      <c r="AH64" s="249">
        <v>15</v>
      </c>
      <c r="AI64" s="249">
        <v>6</v>
      </c>
      <c r="AJ64" s="249">
        <v>2</v>
      </c>
      <c r="AK64" s="249">
        <v>10</v>
      </c>
      <c r="AL64" s="249">
        <v>7</v>
      </c>
      <c r="AM64" s="300"/>
    </row>
    <row r="65" spans="1:39">
      <c r="A65" t="s">
        <v>336</v>
      </c>
      <c r="B65" s="285">
        <v>5</v>
      </c>
      <c r="C65" s="285"/>
      <c r="V65" s="246" t="s">
        <v>89</v>
      </c>
      <c r="W65" s="250">
        <v>15</v>
      </c>
      <c r="X65" s="250">
        <v>11</v>
      </c>
      <c r="Y65" s="250">
        <v>11</v>
      </c>
      <c r="Z65" s="250">
        <v>11</v>
      </c>
      <c r="AA65" s="248">
        <v>1</v>
      </c>
      <c r="AB65" s="249">
        <v>3</v>
      </c>
      <c r="AC65" s="249">
        <v>16</v>
      </c>
      <c r="AD65" s="249">
        <v>8</v>
      </c>
      <c r="AE65" s="249">
        <v>2</v>
      </c>
      <c r="AF65" s="249">
        <v>9</v>
      </c>
      <c r="AG65" s="249">
        <v>14</v>
      </c>
      <c r="AH65" s="249">
        <v>12</v>
      </c>
      <c r="AI65" s="249">
        <v>5</v>
      </c>
      <c r="AJ65" s="249">
        <v>3</v>
      </c>
      <c r="AK65" s="249">
        <v>5</v>
      </c>
      <c r="AL65" s="249">
        <v>6</v>
      </c>
      <c r="AM65" s="300"/>
    </row>
    <row r="66" spans="1:39">
      <c r="A66" t="s">
        <v>337</v>
      </c>
      <c r="B66" s="285">
        <v>3</v>
      </c>
      <c r="C66" s="285"/>
      <c r="V66" s="246" t="s">
        <v>90</v>
      </c>
      <c r="W66" s="250">
        <v>15</v>
      </c>
      <c r="X66" s="250">
        <v>11</v>
      </c>
      <c r="Y66" s="250">
        <v>9</v>
      </c>
      <c r="Z66" s="250">
        <v>9</v>
      </c>
      <c r="AA66" s="250">
        <v>3</v>
      </c>
      <c r="AB66" s="248">
        <v>1</v>
      </c>
      <c r="AC66" s="249">
        <v>8</v>
      </c>
      <c r="AD66" s="249">
        <v>7</v>
      </c>
      <c r="AE66" s="249">
        <v>2</v>
      </c>
      <c r="AF66" s="249">
        <v>10</v>
      </c>
      <c r="AG66" s="249">
        <v>7</v>
      </c>
      <c r="AH66" s="249">
        <v>12</v>
      </c>
      <c r="AI66" s="249">
        <v>11</v>
      </c>
      <c r="AJ66" s="249">
        <v>3</v>
      </c>
      <c r="AK66" s="249">
        <v>3</v>
      </c>
      <c r="AL66" s="249">
        <v>6</v>
      </c>
      <c r="AM66" s="300"/>
    </row>
    <row r="67" spans="1:39">
      <c r="A67" s="285"/>
      <c r="B67" s="285"/>
      <c r="C67" s="285"/>
      <c r="V67" s="246" t="s">
        <v>91</v>
      </c>
      <c r="W67" s="250">
        <v>8</v>
      </c>
      <c r="X67" s="250">
        <v>12</v>
      </c>
      <c r="Y67" s="250">
        <v>10</v>
      </c>
      <c r="Z67" s="250">
        <v>8</v>
      </c>
      <c r="AA67" s="250">
        <v>13</v>
      </c>
      <c r="AB67" s="250">
        <v>6</v>
      </c>
      <c r="AC67" s="248">
        <v>3</v>
      </c>
      <c r="AD67" s="249">
        <v>11</v>
      </c>
      <c r="AE67" s="249">
        <v>6</v>
      </c>
      <c r="AF67" s="249">
        <v>12</v>
      </c>
      <c r="AG67" s="249">
        <v>5</v>
      </c>
      <c r="AH67" s="249">
        <v>10</v>
      </c>
      <c r="AI67" s="249">
        <v>10</v>
      </c>
      <c r="AJ67" s="249">
        <v>5</v>
      </c>
      <c r="AK67" s="249">
        <v>9</v>
      </c>
      <c r="AL67" s="249">
        <v>6</v>
      </c>
      <c r="AM67" s="300"/>
    </row>
    <row r="68" spans="1:39">
      <c r="A68" s="302" t="s">
        <v>129</v>
      </c>
      <c r="B68" s="302"/>
      <c r="C68" s="302"/>
      <c r="V68" s="246" t="s">
        <v>92</v>
      </c>
      <c r="W68" s="250">
        <v>18</v>
      </c>
      <c r="X68" s="250">
        <v>14</v>
      </c>
      <c r="Y68" s="250">
        <v>6</v>
      </c>
      <c r="Z68" s="250">
        <v>4</v>
      </c>
      <c r="AA68" s="250">
        <v>8</v>
      </c>
      <c r="AB68" s="250">
        <v>6</v>
      </c>
      <c r="AC68" s="250">
        <v>11</v>
      </c>
      <c r="AD68" s="248">
        <v>3</v>
      </c>
      <c r="AE68" s="249">
        <v>7</v>
      </c>
      <c r="AF68" s="249">
        <v>15</v>
      </c>
      <c r="AG68" s="249">
        <v>12</v>
      </c>
      <c r="AH68" s="249">
        <v>14</v>
      </c>
      <c r="AI68" s="249">
        <v>9</v>
      </c>
      <c r="AJ68" s="249">
        <v>5</v>
      </c>
      <c r="AK68" s="249">
        <v>7</v>
      </c>
      <c r="AL68" s="249">
        <v>8</v>
      </c>
      <c r="AM68" s="300"/>
    </row>
    <row r="69" spans="1:39" ht="16">
      <c r="A69" s="20" t="s">
        <v>132</v>
      </c>
      <c r="B69" s="285">
        <v>5</v>
      </c>
      <c r="C69" s="285"/>
      <c r="V69" s="246" t="s">
        <v>93</v>
      </c>
      <c r="W69" s="250">
        <v>14</v>
      </c>
      <c r="X69" s="250">
        <v>10</v>
      </c>
      <c r="Y69" s="250">
        <v>5</v>
      </c>
      <c r="Z69" s="250">
        <v>3</v>
      </c>
      <c r="AA69" s="250">
        <v>2</v>
      </c>
      <c r="AB69" s="250">
        <v>2</v>
      </c>
      <c r="AC69" s="250">
        <v>4</v>
      </c>
      <c r="AD69" s="250">
        <v>7</v>
      </c>
      <c r="AE69" s="248">
        <v>1</v>
      </c>
      <c r="AF69" s="249">
        <v>8</v>
      </c>
      <c r="AG69" s="249">
        <v>6</v>
      </c>
      <c r="AH69" s="249">
        <v>13</v>
      </c>
      <c r="AI69" s="249">
        <v>4</v>
      </c>
      <c r="AJ69" s="249">
        <v>2</v>
      </c>
      <c r="AK69" s="249">
        <v>4</v>
      </c>
      <c r="AL69" s="249">
        <v>5</v>
      </c>
      <c r="AM69" s="300"/>
    </row>
    <row r="70" spans="1:39" ht="32">
      <c r="A70" s="21" t="s">
        <v>133</v>
      </c>
      <c r="B70" s="285">
        <v>3</v>
      </c>
      <c r="C70" s="285"/>
      <c r="V70" s="246" t="s">
        <v>94</v>
      </c>
      <c r="W70" s="250">
        <v>16</v>
      </c>
      <c r="X70" s="250">
        <v>21</v>
      </c>
      <c r="Y70" s="250">
        <v>12</v>
      </c>
      <c r="Z70" s="250">
        <v>10</v>
      </c>
      <c r="AA70" s="250">
        <v>9</v>
      </c>
      <c r="AB70" s="250">
        <v>9</v>
      </c>
      <c r="AC70" s="250">
        <v>12</v>
      </c>
      <c r="AD70" s="250">
        <v>14</v>
      </c>
      <c r="AE70" s="250">
        <v>8</v>
      </c>
      <c r="AF70" s="248">
        <v>7</v>
      </c>
      <c r="AG70" s="249">
        <v>12</v>
      </c>
      <c r="AH70" s="249">
        <v>17</v>
      </c>
      <c r="AI70" s="249">
        <v>18</v>
      </c>
      <c r="AJ70" s="249">
        <v>9</v>
      </c>
      <c r="AK70" s="249">
        <v>12</v>
      </c>
      <c r="AL70" s="249">
        <v>15</v>
      </c>
      <c r="AM70" s="300"/>
    </row>
    <row r="71" spans="1:39">
      <c r="V71" s="246" t="s">
        <v>95</v>
      </c>
      <c r="W71" s="250">
        <v>6</v>
      </c>
      <c r="X71" s="250">
        <v>10</v>
      </c>
      <c r="Y71" s="250">
        <v>12</v>
      </c>
      <c r="Z71" s="250">
        <v>10</v>
      </c>
      <c r="AA71" s="250">
        <v>14</v>
      </c>
      <c r="AB71" s="250">
        <v>7</v>
      </c>
      <c r="AC71" s="250">
        <v>5</v>
      </c>
      <c r="AD71" s="250">
        <v>13</v>
      </c>
      <c r="AE71" s="250">
        <v>7</v>
      </c>
      <c r="AF71" s="250">
        <v>12</v>
      </c>
      <c r="AG71" s="248">
        <v>2</v>
      </c>
      <c r="AH71" s="249">
        <v>7</v>
      </c>
      <c r="AI71" s="249">
        <v>11</v>
      </c>
      <c r="AJ71" s="249">
        <v>9</v>
      </c>
      <c r="AK71" s="249">
        <v>11</v>
      </c>
      <c r="AL71" s="249">
        <v>8</v>
      </c>
      <c r="AM71" s="300"/>
    </row>
    <row r="72" spans="1:39">
      <c r="A72" s="180" t="s">
        <v>340</v>
      </c>
      <c r="V72" s="246" t="s">
        <v>96</v>
      </c>
      <c r="W72" s="250">
        <v>7</v>
      </c>
      <c r="X72" s="250">
        <v>12</v>
      </c>
      <c r="Y72" s="250">
        <v>11</v>
      </c>
      <c r="Z72" s="250">
        <v>11</v>
      </c>
      <c r="AA72" s="250">
        <v>12</v>
      </c>
      <c r="AB72" s="250">
        <v>9</v>
      </c>
      <c r="AC72" s="250">
        <v>6</v>
      </c>
      <c r="AD72" s="250">
        <v>17</v>
      </c>
      <c r="AE72" s="250">
        <v>7</v>
      </c>
      <c r="AF72" s="250">
        <v>10</v>
      </c>
      <c r="AG72" s="250">
        <v>3</v>
      </c>
      <c r="AH72" s="248">
        <v>1</v>
      </c>
      <c r="AI72" s="249">
        <v>16</v>
      </c>
      <c r="AJ72" s="249">
        <v>14</v>
      </c>
      <c r="AK72" s="249">
        <v>16</v>
      </c>
      <c r="AL72" s="249">
        <v>13</v>
      </c>
      <c r="AM72" s="300"/>
    </row>
    <row r="73" spans="1:39">
      <c r="A73" s="231" t="s">
        <v>111</v>
      </c>
      <c r="B73">
        <v>5</v>
      </c>
      <c r="V73" s="246" t="s">
        <v>97</v>
      </c>
      <c r="W73" s="250">
        <v>12</v>
      </c>
      <c r="X73" s="250">
        <v>8</v>
      </c>
      <c r="Y73" s="250">
        <v>5</v>
      </c>
      <c r="Z73" s="250">
        <v>3</v>
      </c>
      <c r="AA73" s="250">
        <v>5</v>
      </c>
      <c r="AB73" s="250">
        <v>11</v>
      </c>
      <c r="AC73" s="250">
        <v>7</v>
      </c>
      <c r="AD73" s="250">
        <v>8</v>
      </c>
      <c r="AE73" s="250">
        <v>4</v>
      </c>
      <c r="AF73" s="250">
        <v>15</v>
      </c>
      <c r="AG73" s="250">
        <v>9</v>
      </c>
      <c r="AH73" s="250">
        <v>10</v>
      </c>
      <c r="AI73" s="248">
        <v>2</v>
      </c>
      <c r="AJ73" s="249">
        <v>4</v>
      </c>
      <c r="AK73" s="249">
        <v>13</v>
      </c>
      <c r="AL73" s="249">
        <v>4</v>
      </c>
      <c r="AM73" s="300"/>
    </row>
    <row r="74" spans="1:39">
      <c r="A74" s="231" t="s">
        <v>112</v>
      </c>
      <c r="B74">
        <v>3</v>
      </c>
      <c r="V74" s="246" t="s">
        <v>98</v>
      </c>
      <c r="W74" s="250">
        <v>11</v>
      </c>
      <c r="X74" s="250">
        <v>9</v>
      </c>
      <c r="Y74" s="250">
        <v>5</v>
      </c>
      <c r="Z74" s="250">
        <v>3</v>
      </c>
      <c r="AA74" s="250">
        <v>3</v>
      </c>
      <c r="AB74" s="250">
        <v>3</v>
      </c>
      <c r="AC74" s="250">
        <v>5</v>
      </c>
      <c r="AD74" s="250">
        <v>6</v>
      </c>
      <c r="AE74" s="250">
        <v>2</v>
      </c>
      <c r="AF74" s="250">
        <v>13</v>
      </c>
      <c r="AG74" s="250">
        <v>7</v>
      </c>
      <c r="AH74" s="250">
        <v>8</v>
      </c>
      <c r="AI74" s="250">
        <v>3</v>
      </c>
      <c r="AJ74" s="248">
        <v>1</v>
      </c>
      <c r="AK74" s="249">
        <v>5</v>
      </c>
      <c r="AL74" s="249">
        <v>2</v>
      </c>
      <c r="AM74" s="300"/>
    </row>
    <row r="75" spans="1:39">
      <c r="A75" s="231" t="s">
        <v>113</v>
      </c>
      <c r="B75">
        <v>5</v>
      </c>
      <c r="V75" s="246" t="s">
        <v>99</v>
      </c>
      <c r="W75" s="250">
        <v>16</v>
      </c>
      <c r="X75" s="250">
        <v>13</v>
      </c>
      <c r="Y75" s="250">
        <v>8</v>
      </c>
      <c r="Z75" s="250">
        <v>6</v>
      </c>
      <c r="AA75" s="250">
        <v>5</v>
      </c>
      <c r="AB75" s="250">
        <v>3</v>
      </c>
      <c r="AC75" s="250">
        <v>7</v>
      </c>
      <c r="AD75" s="250">
        <v>5</v>
      </c>
      <c r="AE75" s="250">
        <v>4</v>
      </c>
      <c r="AF75" s="250">
        <v>12</v>
      </c>
      <c r="AG75" s="250">
        <v>9</v>
      </c>
      <c r="AH75" s="250">
        <v>10</v>
      </c>
      <c r="AI75" s="250">
        <v>10</v>
      </c>
      <c r="AJ75" s="250">
        <v>5</v>
      </c>
      <c r="AK75" s="248">
        <v>2</v>
      </c>
      <c r="AL75" s="249">
        <v>8</v>
      </c>
      <c r="AM75" s="300"/>
    </row>
    <row r="76" spans="1:39">
      <c r="A76" s="231" t="s">
        <v>114</v>
      </c>
      <c r="B76">
        <v>3</v>
      </c>
      <c r="V76" s="246" t="s">
        <v>100</v>
      </c>
      <c r="W76" s="250">
        <v>10</v>
      </c>
      <c r="X76" s="250">
        <v>6</v>
      </c>
      <c r="Y76" s="250">
        <v>7</v>
      </c>
      <c r="Z76" s="250">
        <v>5</v>
      </c>
      <c r="AA76" s="250">
        <v>4</v>
      </c>
      <c r="AB76" s="250">
        <v>4</v>
      </c>
      <c r="AC76" s="250">
        <v>4</v>
      </c>
      <c r="AD76" s="250">
        <v>7</v>
      </c>
      <c r="AE76" s="250">
        <v>3</v>
      </c>
      <c r="AF76" s="250">
        <v>12</v>
      </c>
      <c r="AG76" s="250">
        <v>6</v>
      </c>
      <c r="AH76" s="250">
        <v>7</v>
      </c>
      <c r="AI76" s="250">
        <v>4</v>
      </c>
      <c r="AJ76" s="250">
        <v>2</v>
      </c>
      <c r="AK76" s="250">
        <v>6</v>
      </c>
      <c r="AL76" s="248">
        <v>1</v>
      </c>
      <c r="AM76" s="300"/>
    </row>
    <row r="77" spans="1:39">
      <c r="V77" s="247"/>
      <c r="W77" s="298" t="s">
        <v>351</v>
      </c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50"/>
    </row>
    <row r="78" spans="1:39">
      <c r="V78" s="228"/>
      <c r="W78" s="228"/>
      <c r="X78" s="228"/>
      <c r="Y78" s="228"/>
      <c r="Z78" s="228"/>
      <c r="AA78" s="228"/>
      <c r="AB78" s="228"/>
      <c r="AC78" s="228"/>
      <c r="AD78" s="228"/>
      <c r="AE78" s="228"/>
      <c r="AF78" s="228"/>
      <c r="AG78" s="228"/>
      <c r="AH78" s="228"/>
      <c r="AI78" s="228"/>
      <c r="AJ78" s="228"/>
      <c r="AK78" s="228"/>
      <c r="AL78" s="228"/>
      <c r="AM78" s="228"/>
    </row>
    <row r="79" spans="1:39">
      <c r="V79" s="263" t="s">
        <v>353</v>
      </c>
      <c r="W79" s="261" t="s">
        <v>86</v>
      </c>
      <c r="X79" s="261" t="s">
        <v>87</v>
      </c>
      <c r="Y79" s="261" t="s">
        <v>88</v>
      </c>
      <c r="Z79" s="261" t="s">
        <v>178</v>
      </c>
      <c r="AA79" s="261" t="s">
        <v>89</v>
      </c>
      <c r="AB79" s="261" t="s">
        <v>90</v>
      </c>
      <c r="AC79" s="261" t="s">
        <v>91</v>
      </c>
      <c r="AD79" s="261" t="s">
        <v>92</v>
      </c>
      <c r="AE79" s="261" t="s">
        <v>93</v>
      </c>
      <c r="AF79" s="261" t="s">
        <v>94</v>
      </c>
      <c r="AG79" s="261" t="s">
        <v>95</v>
      </c>
      <c r="AH79" s="261" t="s">
        <v>96</v>
      </c>
      <c r="AI79" s="261" t="s">
        <v>97</v>
      </c>
      <c r="AJ79" s="261" t="s">
        <v>98</v>
      </c>
      <c r="AK79" s="261" t="s">
        <v>99</v>
      </c>
      <c r="AL79" s="262" t="s">
        <v>100</v>
      </c>
      <c r="AM79" s="252"/>
    </row>
    <row r="80" spans="1:39">
      <c r="V80" s="259" t="s">
        <v>86</v>
      </c>
      <c r="W80" s="253">
        <v>4</v>
      </c>
      <c r="X80" s="254">
        <v>9</v>
      </c>
      <c r="Y80" s="254">
        <v>13</v>
      </c>
      <c r="Z80" s="254">
        <v>13</v>
      </c>
      <c r="AA80" s="254">
        <v>13</v>
      </c>
      <c r="AB80" s="254">
        <v>10</v>
      </c>
      <c r="AC80" s="254">
        <v>8</v>
      </c>
      <c r="AD80" s="254">
        <v>16</v>
      </c>
      <c r="AE80" s="254">
        <v>11</v>
      </c>
      <c r="AF80" s="254">
        <v>16</v>
      </c>
      <c r="AG80" s="254">
        <v>6</v>
      </c>
      <c r="AH80" s="254">
        <v>8</v>
      </c>
      <c r="AI80" s="254">
        <v>12</v>
      </c>
      <c r="AJ80" s="254">
        <v>12</v>
      </c>
      <c r="AK80" s="254">
        <v>14</v>
      </c>
      <c r="AL80" s="255">
        <v>11</v>
      </c>
      <c r="AM80" s="301" t="s">
        <v>352</v>
      </c>
    </row>
    <row r="81" spans="22:39">
      <c r="V81" s="259" t="s">
        <v>87</v>
      </c>
      <c r="W81" s="256">
        <v>9</v>
      </c>
      <c r="X81" s="253">
        <v>5</v>
      </c>
      <c r="Y81" s="254">
        <v>12</v>
      </c>
      <c r="Z81" s="254">
        <v>12</v>
      </c>
      <c r="AA81" s="254">
        <v>10</v>
      </c>
      <c r="AB81" s="254">
        <v>10</v>
      </c>
      <c r="AC81" s="254">
        <v>8</v>
      </c>
      <c r="AD81" s="254">
        <v>14</v>
      </c>
      <c r="AE81" s="254">
        <v>9</v>
      </c>
      <c r="AF81" s="254">
        <v>21</v>
      </c>
      <c r="AG81" s="254">
        <v>12</v>
      </c>
      <c r="AH81" s="254">
        <v>13</v>
      </c>
      <c r="AI81" s="254">
        <v>9</v>
      </c>
      <c r="AJ81" s="254">
        <v>7</v>
      </c>
      <c r="AK81" s="254">
        <v>12</v>
      </c>
      <c r="AL81" s="255">
        <v>9</v>
      </c>
      <c r="AM81" s="301"/>
    </row>
    <row r="82" spans="22:39">
      <c r="V82" s="259" t="s">
        <v>88</v>
      </c>
      <c r="W82" s="256">
        <v>13</v>
      </c>
      <c r="X82" s="256">
        <v>12</v>
      </c>
      <c r="Y82" s="253">
        <v>2</v>
      </c>
      <c r="Z82" s="254">
        <v>3</v>
      </c>
      <c r="AA82" s="254">
        <v>12</v>
      </c>
      <c r="AB82" s="254">
        <v>10</v>
      </c>
      <c r="AC82" s="254">
        <v>10</v>
      </c>
      <c r="AD82" s="254">
        <v>6</v>
      </c>
      <c r="AE82" s="254">
        <v>5</v>
      </c>
      <c r="AF82" s="254">
        <v>12</v>
      </c>
      <c r="AG82" s="254">
        <v>10</v>
      </c>
      <c r="AH82" s="254">
        <v>15</v>
      </c>
      <c r="AI82" s="254">
        <v>5</v>
      </c>
      <c r="AJ82" s="254">
        <v>6</v>
      </c>
      <c r="AK82" s="254">
        <v>10</v>
      </c>
      <c r="AL82" s="255">
        <v>7</v>
      </c>
      <c r="AM82" s="301"/>
    </row>
    <row r="83" spans="22:39">
      <c r="V83" s="259" t="s">
        <v>178</v>
      </c>
      <c r="W83" s="256">
        <v>13</v>
      </c>
      <c r="X83" s="256">
        <v>12</v>
      </c>
      <c r="Y83" s="256">
        <v>3</v>
      </c>
      <c r="Z83" s="253">
        <v>1</v>
      </c>
      <c r="AA83" s="254">
        <v>12</v>
      </c>
      <c r="AB83" s="254">
        <v>10</v>
      </c>
      <c r="AC83" s="254">
        <v>10</v>
      </c>
      <c r="AD83" s="254">
        <v>6</v>
      </c>
      <c r="AE83" s="254">
        <v>5</v>
      </c>
      <c r="AF83" s="254">
        <v>12</v>
      </c>
      <c r="AG83" s="254">
        <v>10</v>
      </c>
      <c r="AH83" s="254">
        <v>15</v>
      </c>
      <c r="AI83" s="254">
        <v>6</v>
      </c>
      <c r="AJ83" s="254">
        <v>2</v>
      </c>
      <c r="AK83" s="254">
        <v>10</v>
      </c>
      <c r="AL83" s="255">
        <v>7</v>
      </c>
      <c r="AM83" s="301"/>
    </row>
    <row r="84" spans="22:39">
      <c r="V84" s="259" t="s">
        <v>89</v>
      </c>
      <c r="W84" s="256">
        <v>15</v>
      </c>
      <c r="X84" s="256">
        <v>11</v>
      </c>
      <c r="Y84" s="256">
        <v>11</v>
      </c>
      <c r="Z84" s="256">
        <v>11</v>
      </c>
      <c r="AA84" s="253">
        <v>1</v>
      </c>
      <c r="AB84" s="254">
        <v>3</v>
      </c>
      <c r="AC84" s="254">
        <v>16</v>
      </c>
      <c r="AD84" s="254">
        <v>8</v>
      </c>
      <c r="AE84" s="254">
        <v>2</v>
      </c>
      <c r="AF84" s="254">
        <v>9</v>
      </c>
      <c r="AG84" s="254">
        <v>14</v>
      </c>
      <c r="AH84" s="254">
        <v>12</v>
      </c>
      <c r="AI84" s="254">
        <v>5</v>
      </c>
      <c r="AJ84" s="254">
        <v>3</v>
      </c>
      <c r="AK84" s="254">
        <v>5</v>
      </c>
      <c r="AL84" s="255">
        <v>6</v>
      </c>
      <c r="AM84" s="301"/>
    </row>
    <row r="85" spans="22:39">
      <c r="V85" s="259" t="s">
        <v>90</v>
      </c>
      <c r="W85" s="256">
        <v>15</v>
      </c>
      <c r="X85" s="256">
        <v>11</v>
      </c>
      <c r="Y85" s="256">
        <v>9</v>
      </c>
      <c r="Z85" s="256">
        <v>9</v>
      </c>
      <c r="AA85" s="256">
        <v>3</v>
      </c>
      <c r="AB85" s="253">
        <v>1</v>
      </c>
      <c r="AC85" s="254">
        <v>8</v>
      </c>
      <c r="AD85" s="254">
        <v>7</v>
      </c>
      <c r="AE85" s="254">
        <v>2</v>
      </c>
      <c r="AF85" s="254">
        <v>10</v>
      </c>
      <c r="AG85" s="254">
        <v>7</v>
      </c>
      <c r="AH85" s="254">
        <v>12</v>
      </c>
      <c r="AI85" s="254">
        <v>11</v>
      </c>
      <c r="AJ85" s="254">
        <v>3</v>
      </c>
      <c r="AK85" s="254">
        <v>3</v>
      </c>
      <c r="AL85" s="255">
        <v>6</v>
      </c>
      <c r="AM85" s="301"/>
    </row>
    <row r="86" spans="22:39">
      <c r="V86" s="259" t="s">
        <v>91</v>
      </c>
      <c r="W86" s="256">
        <v>8</v>
      </c>
      <c r="X86" s="256">
        <v>12</v>
      </c>
      <c r="Y86" s="256">
        <v>10</v>
      </c>
      <c r="Z86" s="256">
        <v>8</v>
      </c>
      <c r="AA86" s="256">
        <v>13</v>
      </c>
      <c r="AB86" s="256">
        <v>6</v>
      </c>
      <c r="AC86" s="253">
        <v>3</v>
      </c>
      <c r="AD86" s="254">
        <v>11</v>
      </c>
      <c r="AE86" s="254">
        <v>6</v>
      </c>
      <c r="AF86" s="254">
        <v>12</v>
      </c>
      <c r="AG86" s="254">
        <v>5</v>
      </c>
      <c r="AH86" s="254">
        <v>10</v>
      </c>
      <c r="AI86" s="254">
        <v>10</v>
      </c>
      <c r="AJ86" s="254">
        <v>5</v>
      </c>
      <c r="AK86" s="254">
        <v>9</v>
      </c>
      <c r="AL86" s="255">
        <v>6</v>
      </c>
      <c r="AM86" s="301"/>
    </row>
    <row r="87" spans="22:39">
      <c r="V87" s="259" t="s">
        <v>92</v>
      </c>
      <c r="W87" s="256">
        <v>18</v>
      </c>
      <c r="X87" s="256">
        <v>14</v>
      </c>
      <c r="Y87" s="256">
        <v>6</v>
      </c>
      <c r="Z87" s="256">
        <v>4</v>
      </c>
      <c r="AA87" s="256">
        <v>8</v>
      </c>
      <c r="AB87" s="256">
        <v>6</v>
      </c>
      <c r="AC87" s="256">
        <v>11</v>
      </c>
      <c r="AD87" s="253">
        <v>3</v>
      </c>
      <c r="AE87" s="254">
        <v>7</v>
      </c>
      <c r="AF87" s="254">
        <v>15</v>
      </c>
      <c r="AG87" s="254">
        <v>12</v>
      </c>
      <c r="AH87" s="254">
        <v>14</v>
      </c>
      <c r="AI87" s="254">
        <v>9</v>
      </c>
      <c r="AJ87" s="254">
        <v>5</v>
      </c>
      <c r="AK87" s="254">
        <v>7</v>
      </c>
      <c r="AL87" s="255">
        <v>8</v>
      </c>
      <c r="AM87" s="301"/>
    </row>
    <row r="88" spans="22:39">
      <c r="V88" s="259" t="s">
        <v>93</v>
      </c>
      <c r="W88" s="256">
        <v>14</v>
      </c>
      <c r="X88" s="256">
        <v>10</v>
      </c>
      <c r="Y88" s="256">
        <v>5</v>
      </c>
      <c r="Z88" s="256">
        <v>3</v>
      </c>
      <c r="AA88" s="256">
        <v>2</v>
      </c>
      <c r="AB88" s="256">
        <v>2</v>
      </c>
      <c r="AC88" s="256">
        <v>4</v>
      </c>
      <c r="AD88" s="256">
        <v>7</v>
      </c>
      <c r="AE88" s="253">
        <v>1</v>
      </c>
      <c r="AF88" s="254">
        <v>8</v>
      </c>
      <c r="AG88" s="254">
        <v>6</v>
      </c>
      <c r="AH88" s="254">
        <v>13</v>
      </c>
      <c r="AI88" s="254">
        <v>4</v>
      </c>
      <c r="AJ88" s="254">
        <v>2</v>
      </c>
      <c r="AK88" s="254">
        <v>4</v>
      </c>
      <c r="AL88" s="255">
        <v>5</v>
      </c>
      <c r="AM88" s="301"/>
    </row>
    <row r="89" spans="22:39">
      <c r="V89" s="259" t="s">
        <v>94</v>
      </c>
      <c r="W89" s="256">
        <v>16</v>
      </c>
      <c r="X89" s="256">
        <v>21</v>
      </c>
      <c r="Y89" s="256">
        <v>12</v>
      </c>
      <c r="Z89" s="256">
        <v>10</v>
      </c>
      <c r="AA89" s="256">
        <v>9</v>
      </c>
      <c r="AB89" s="256">
        <v>9</v>
      </c>
      <c r="AC89" s="256">
        <v>12</v>
      </c>
      <c r="AD89" s="256">
        <v>14</v>
      </c>
      <c r="AE89" s="256">
        <v>8</v>
      </c>
      <c r="AF89" s="253">
        <v>7</v>
      </c>
      <c r="AG89" s="254">
        <v>12</v>
      </c>
      <c r="AH89" s="254">
        <v>17</v>
      </c>
      <c r="AI89" s="254">
        <v>18</v>
      </c>
      <c r="AJ89" s="254">
        <v>9</v>
      </c>
      <c r="AK89" s="254">
        <v>12</v>
      </c>
      <c r="AL89" s="255">
        <v>15</v>
      </c>
      <c r="AM89" s="301"/>
    </row>
    <row r="90" spans="22:39">
      <c r="V90" s="259" t="s">
        <v>95</v>
      </c>
      <c r="W90" s="256">
        <v>6</v>
      </c>
      <c r="X90" s="256">
        <v>10</v>
      </c>
      <c r="Y90" s="256">
        <v>12</v>
      </c>
      <c r="Z90" s="256">
        <v>10</v>
      </c>
      <c r="AA90" s="256">
        <v>14</v>
      </c>
      <c r="AB90" s="256">
        <v>7</v>
      </c>
      <c r="AC90" s="256">
        <v>5</v>
      </c>
      <c r="AD90" s="256">
        <v>13</v>
      </c>
      <c r="AE90" s="256">
        <v>7</v>
      </c>
      <c r="AF90" s="256">
        <v>12</v>
      </c>
      <c r="AG90" s="253">
        <v>2</v>
      </c>
      <c r="AH90" s="254">
        <v>7</v>
      </c>
      <c r="AI90" s="254">
        <v>11</v>
      </c>
      <c r="AJ90" s="254">
        <v>9</v>
      </c>
      <c r="AK90" s="254">
        <v>11</v>
      </c>
      <c r="AL90" s="255">
        <v>8</v>
      </c>
      <c r="AM90" s="301"/>
    </row>
    <row r="91" spans="22:39">
      <c r="V91" s="259" t="s">
        <v>96</v>
      </c>
      <c r="W91" s="256">
        <v>7</v>
      </c>
      <c r="X91" s="256">
        <v>12</v>
      </c>
      <c r="Y91" s="256">
        <v>11</v>
      </c>
      <c r="Z91" s="256">
        <v>11</v>
      </c>
      <c r="AA91" s="256">
        <v>12</v>
      </c>
      <c r="AB91" s="256">
        <v>9</v>
      </c>
      <c r="AC91" s="256">
        <v>6</v>
      </c>
      <c r="AD91" s="256">
        <v>17</v>
      </c>
      <c r="AE91" s="256">
        <v>7</v>
      </c>
      <c r="AF91" s="256">
        <v>10</v>
      </c>
      <c r="AG91" s="256">
        <v>3</v>
      </c>
      <c r="AH91" s="253">
        <v>1</v>
      </c>
      <c r="AI91" s="254">
        <v>16</v>
      </c>
      <c r="AJ91" s="254">
        <v>14</v>
      </c>
      <c r="AK91" s="254">
        <v>16</v>
      </c>
      <c r="AL91" s="255">
        <v>13</v>
      </c>
      <c r="AM91" s="301"/>
    </row>
    <row r="92" spans="22:39">
      <c r="V92" s="259" t="s">
        <v>97</v>
      </c>
      <c r="W92" s="256">
        <v>12</v>
      </c>
      <c r="X92" s="256">
        <v>8</v>
      </c>
      <c r="Y92" s="256">
        <v>5</v>
      </c>
      <c r="Z92" s="256">
        <v>3</v>
      </c>
      <c r="AA92" s="256">
        <v>5</v>
      </c>
      <c r="AB92" s="256">
        <v>11</v>
      </c>
      <c r="AC92" s="256">
        <v>7</v>
      </c>
      <c r="AD92" s="256">
        <v>8</v>
      </c>
      <c r="AE92" s="256">
        <v>4</v>
      </c>
      <c r="AF92" s="256">
        <v>15</v>
      </c>
      <c r="AG92" s="256">
        <v>9</v>
      </c>
      <c r="AH92" s="256">
        <v>10</v>
      </c>
      <c r="AI92" s="253">
        <v>2</v>
      </c>
      <c r="AJ92" s="254">
        <v>4</v>
      </c>
      <c r="AK92" s="254">
        <v>13</v>
      </c>
      <c r="AL92" s="255">
        <v>4</v>
      </c>
      <c r="AM92" s="301"/>
    </row>
    <row r="93" spans="22:39">
      <c r="V93" s="259" t="s">
        <v>98</v>
      </c>
      <c r="W93" s="256">
        <v>11</v>
      </c>
      <c r="X93" s="256">
        <v>9</v>
      </c>
      <c r="Y93" s="256">
        <v>5</v>
      </c>
      <c r="Z93" s="256">
        <v>3</v>
      </c>
      <c r="AA93" s="256">
        <v>3</v>
      </c>
      <c r="AB93" s="256">
        <v>3</v>
      </c>
      <c r="AC93" s="256">
        <v>5</v>
      </c>
      <c r="AD93" s="256">
        <v>6</v>
      </c>
      <c r="AE93" s="256">
        <v>2</v>
      </c>
      <c r="AF93" s="256">
        <v>13</v>
      </c>
      <c r="AG93" s="256">
        <v>7</v>
      </c>
      <c r="AH93" s="256">
        <v>8</v>
      </c>
      <c r="AI93" s="256">
        <v>3</v>
      </c>
      <c r="AJ93" s="253">
        <v>1</v>
      </c>
      <c r="AK93" s="254">
        <v>5</v>
      </c>
      <c r="AL93" s="255">
        <v>2</v>
      </c>
      <c r="AM93" s="301"/>
    </row>
    <row r="94" spans="22:39">
      <c r="V94" s="259" t="s">
        <v>99</v>
      </c>
      <c r="W94" s="256">
        <v>16</v>
      </c>
      <c r="X94" s="256">
        <v>13</v>
      </c>
      <c r="Y94" s="256">
        <v>8</v>
      </c>
      <c r="Z94" s="256">
        <v>6</v>
      </c>
      <c r="AA94" s="256">
        <v>5</v>
      </c>
      <c r="AB94" s="256">
        <v>3</v>
      </c>
      <c r="AC94" s="256">
        <v>7</v>
      </c>
      <c r="AD94" s="256">
        <v>5</v>
      </c>
      <c r="AE94" s="256">
        <v>4</v>
      </c>
      <c r="AF94" s="256">
        <v>12</v>
      </c>
      <c r="AG94" s="256">
        <v>9</v>
      </c>
      <c r="AH94" s="256">
        <v>10</v>
      </c>
      <c r="AI94" s="256">
        <v>10</v>
      </c>
      <c r="AJ94" s="256">
        <v>5</v>
      </c>
      <c r="AK94" s="253">
        <v>2</v>
      </c>
      <c r="AL94" s="255">
        <v>8</v>
      </c>
      <c r="AM94" s="301"/>
    </row>
    <row r="95" spans="22:39">
      <c r="V95" s="260" t="s">
        <v>100</v>
      </c>
      <c r="W95" s="257">
        <v>10</v>
      </c>
      <c r="X95" s="257">
        <v>6</v>
      </c>
      <c r="Y95" s="257">
        <v>7</v>
      </c>
      <c r="Z95" s="257">
        <v>5</v>
      </c>
      <c r="AA95" s="257">
        <v>4</v>
      </c>
      <c r="AB95" s="257">
        <v>4</v>
      </c>
      <c r="AC95" s="257">
        <v>4</v>
      </c>
      <c r="AD95" s="257">
        <v>7</v>
      </c>
      <c r="AE95" s="257">
        <v>3</v>
      </c>
      <c r="AF95" s="257">
        <v>12</v>
      </c>
      <c r="AG95" s="257">
        <v>6</v>
      </c>
      <c r="AH95" s="257">
        <v>7</v>
      </c>
      <c r="AI95" s="257">
        <v>4</v>
      </c>
      <c r="AJ95" s="257">
        <v>2</v>
      </c>
      <c r="AK95" s="257">
        <v>6</v>
      </c>
      <c r="AL95" s="258">
        <v>1</v>
      </c>
      <c r="AM95" s="301"/>
    </row>
    <row r="96" spans="22:39">
      <c r="V96" s="252"/>
      <c r="W96" s="297" t="s">
        <v>351</v>
      </c>
      <c r="X96" s="297"/>
      <c r="Y96" s="297"/>
      <c r="Z96" s="297"/>
      <c r="AA96" s="297"/>
      <c r="AB96" s="297"/>
      <c r="AC96" s="297"/>
      <c r="AD96" s="297"/>
      <c r="AE96" s="297"/>
      <c r="AF96" s="297"/>
      <c r="AG96" s="297"/>
      <c r="AH96" s="297"/>
      <c r="AI96" s="297"/>
      <c r="AJ96" s="297"/>
      <c r="AK96" s="297"/>
      <c r="AL96" s="297"/>
      <c r="AM96" s="252"/>
    </row>
  </sheetData>
  <mergeCells count="16">
    <mergeCell ref="W96:AL96"/>
    <mergeCell ref="W77:AL77"/>
    <mergeCell ref="AM61:AM76"/>
    <mergeCell ref="AM80:AM95"/>
    <mergeCell ref="B1:Q1"/>
    <mergeCell ref="B61:C61"/>
    <mergeCell ref="B63:C63"/>
    <mergeCell ref="B64:C64"/>
    <mergeCell ref="B65:C65"/>
    <mergeCell ref="F39:K39"/>
    <mergeCell ref="B66:C66"/>
    <mergeCell ref="A62:C62"/>
    <mergeCell ref="B69:C69"/>
    <mergeCell ref="A68:C68"/>
    <mergeCell ref="B70:C70"/>
    <mergeCell ref="A67:C67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4101" r:id="rId4">
          <objectPr defaultSize="0" autoPict="0" r:id="rId5">
            <anchor moveWithCells="1">
              <from>
                <xdr:col>11</xdr:col>
                <xdr:colOff>533400</xdr:colOff>
                <xdr:row>39</xdr:row>
                <xdr:rowOff>139700</xdr:rowOff>
              </from>
              <to>
                <xdr:col>18</xdr:col>
                <xdr:colOff>698500</xdr:colOff>
                <xdr:row>67</xdr:row>
                <xdr:rowOff>76200</xdr:rowOff>
              </to>
            </anchor>
          </objectPr>
        </oleObject>
      </mc:Choice>
      <mc:Fallback>
        <oleObject progId="Visio.Drawing.15" shapeId="410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98"/>
  <sheetViews>
    <sheetView topLeftCell="A12" workbookViewId="0">
      <pane xSplit="1" topLeftCell="B1" activePane="topRight" state="frozen"/>
      <selection pane="topRight" activeCell="D62" sqref="D62"/>
    </sheetView>
  </sheetViews>
  <sheetFormatPr baseColWidth="10" defaultColWidth="8.83203125" defaultRowHeight="15"/>
  <cols>
    <col min="1" max="1" width="25.33203125" customWidth="1"/>
    <col min="2" max="2" width="10.1640625" bestFit="1" customWidth="1"/>
    <col min="3" max="3" width="13.33203125" customWidth="1"/>
    <col min="4" max="4" width="17" customWidth="1"/>
    <col min="5" max="5" width="14" customWidth="1"/>
    <col min="6" max="6" width="14.1640625" customWidth="1"/>
    <col min="7" max="7" width="12.6640625" customWidth="1"/>
    <col min="8" max="8" width="17" customWidth="1"/>
    <col min="9" max="9" width="16.83203125" customWidth="1"/>
    <col min="10" max="10" width="17" customWidth="1"/>
    <col min="11" max="11" width="14" customWidth="1"/>
    <col min="12" max="12" width="15.1640625" customWidth="1"/>
    <col min="13" max="13" width="15.5" customWidth="1"/>
    <col min="14" max="14" width="18.33203125" customWidth="1"/>
    <col min="15" max="15" width="16.1640625" customWidth="1"/>
    <col min="16" max="16" width="18.6640625" customWidth="1"/>
  </cols>
  <sheetData>
    <row r="1" spans="1:16">
      <c r="A1" s="303" t="s">
        <v>151</v>
      </c>
      <c r="B1" s="285" t="s">
        <v>242</v>
      </c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</row>
    <row r="2" spans="1:16">
      <c r="A2" s="303"/>
      <c r="B2" s="285">
        <v>2015</v>
      </c>
      <c r="C2" s="285"/>
      <c r="D2" s="285"/>
      <c r="E2" s="285"/>
      <c r="F2" s="285"/>
      <c r="G2" s="285">
        <v>2030</v>
      </c>
      <c r="H2" s="285"/>
      <c r="I2" s="285"/>
      <c r="J2" s="285"/>
      <c r="K2" s="285"/>
      <c r="L2" s="285">
        <v>2050</v>
      </c>
      <c r="M2" s="285"/>
      <c r="N2" s="285"/>
      <c r="O2" s="285"/>
      <c r="P2" s="285"/>
    </row>
    <row r="3" spans="1:16" ht="16" thickBot="1">
      <c r="A3" s="303"/>
      <c r="B3" t="s">
        <v>247</v>
      </c>
      <c r="C3" t="s">
        <v>250</v>
      </c>
      <c r="D3" t="s">
        <v>244</v>
      </c>
      <c r="E3" t="s">
        <v>245</v>
      </c>
      <c r="F3" t="s">
        <v>246</v>
      </c>
      <c r="G3" s="138" t="s">
        <v>247</v>
      </c>
      <c r="H3" s="138" t="s">
        <v>243</v>
      </c>
      <c r="I3" s="138" t="s">
        <v>244</v>
      </c>
      <c r="J3" s="138" t="s">
        <v>245</v>
      </c>
      <c r="K3" s="138" t="s">
        <v>246</v>
      </c>
      <c r="L3" s="138" t="s">
        <v>247</v>
      </c>
      <c r="M3" s="138" t="s">
        <v>243</v>
      </c>
      <c r="N3" s="138" t="s">
        <v>244</v>
      </c>
      <c r="O3" s="138" t="s">
        <v>245</v>
      </c>
      <c r="P3" s="138" t="s">
        <v>246</v>
      </c>
    </row>
    <row r="4" spans="1:16">
      <c r="A4" s="174" t="s">
        <v>136</v>
      </c>
      <c r="B4" s="174">
        <v>10.8</v>
      </c>
      <c r="C4" s="176">
        <v>0.19</v>
      </c>
      <c r="D4" s="176">
        <v>0.61</v>
      </c>
      <c r="E4" s="176">
        <v>0.14499999999999999</v>
      </c>
      <c r="F4" s="176">
        <v>5.6000000000000001E-2</v>
      </c>
      <c r="G4" s="174">
        <v>10.8</v>
      </c>
      <c r="H4" s="176">
        <v>0.18</v>
      </c>
      <c r="I4" s="176">
        <v>0.55700000000000005</v>
      </c>
      <c r="J4" s="176">
        <v>0.188</v>
      </c>
      <c r="K4" s="176">
        <v>7.4999999999999997E-2</v>
      </c>
      <c r="L4" s="174">
        <v>10.1</v>
      </c>
      <c r="M4" s="176">
        <v>0.161</v>
      </c>
      <c r="N4" s="176">
        <v>0.52900000000000003</v>
      </c>
      <c r="O4" s="176">
        <v>0.17599999999999999</v>
      </c>
      <c r="P4" s="176">
        <v>0.13400000000000001</v>
      </c>
    </row>
    <row r="5" spans="1:16">
      <c r="A5" s="24" t="s">
        <v>137</v>
      </c>
      <c r="B5" s="24">
        <v>12.8</v>
      </c>
      <c r="C5" s="177">
        <v>0.184</v>
      </c>
      <c r="D5" s="177">
        <v>0.61499999999999999</v>
      </c>
      <c r="E5" s="177">
        <v>0.14699999999999999</v>
      </c>
      <c r="F5" s="177">
        <v>5.3999999999999999E-2</v>
      </c>
      <c r="G5" s="24">
        <v>12.9</v>
      </c>
      <c r="H5" s="177">
        <v>0.17799999999999999</v>
      </c>
      <c r="I5" s="177">
        <v>0.56200000000000006</v>
      </c>
      <c r="J5" s="177">
        <v>0.187</v>
      </c>
      <c r="K5" s="177">
        <v>7.2999999999999995E-2</v>
      </c>
      <c r="L5" s="24">
        <v>12.1</v>
      </c>
      <c r="M5" s="177">
        <v>0.159</v>
      </c>
      <c r="N5" s="177">
        <v>0.53100000000000003</v>
      </c>
      <c r="O5" s="177">
        <v>0.18</v>
      </c>
      <c r="P5" s="177">
        <v>0.13</v>
      </c>
    </row>
    <row r="6" spans="1:16">
      <c r="A6" s="24" t="s">
        <v>88</v>
      </c>
      <c r="B6" s="24">
        <v>3.5</v>
      </c>
      <c r="C6" s="177">
        <v>0.17299999999999999</v>
      </c>
      <c r="D6" s="177">
        <v>0.63500000000000001</v>
      </c>
      <c r="E6" s="177">
        <v>0.14499999999999999</v>
      </c>
      <c r="F6" s="177">
        <v>4.8000000000000001E-2</v>
      </c>
      <c r="G6" s="24">
        <v>3.7</v>
      </c>
      <c r="H6" s="177">
        <v>0.187</v>
      </c>
      <c r="I6" s="177">
        <v>0.58699999999999997</v>
      </c>
      <c r="J6" s="177">
        <v>0.157</v>
      </c>
      <c r="K6" s="177">
        <v>6.9000000000000006E-2</v>
      </c>
      <c r="L6" s="24">
        <v>3.6</v>
      </c>
      <c r="M6" s="177">
        <v>0.16900000000000001</v>
      </c>
      <c r="N6" s="177">
        <v>0.55700000000000005</v>
      </c>
      <c r="O6" s="177">
        <v>0.17</v>
      </c>
      <c r="P6" s="177">
        <v>0.105</v>
      </c>
    </row>
    <row r="7" spans="1:16">
      <c r="A7" s="24" t="s">
        <v>138</v>
      </c>
      <c r="B7" s="24">
        <v>2.4</v>
      </c>
      <c r="C7" s="177">
        <v>0.16300000000000001</v>
      </c>
      <c r="D7" s="177">
        <v>0.60199999999999998</v>
      </c>
      <c r="E7" s="177">
        <v>0.17299999999999999</v>
      </c>
      <c r="F7" s="177">
        <v>6.2E-2</v>
      </c>
      <c r="G7" s="24">
        <v>2.2999999999999998</v>
      </c>
      <c r="H7" s="177">
        <v>0.16</v>
      </c>
      <c r="I7" s="177">
        <v>0.50700000000000001</v>
      </c>
      <c r="J7" s="177">
        <v>0.245</v>
      </c>
      <c r="K7" s="177">
        <v>8.7999999999999995E-2</v>
      </c>
      <c r="L7" s="24">
        <v>1.9</v>
      </c>
      <c r="M7" s="177">
        <v>0.14599999999999999</v>
      </c>
      <c r="N7" s="177">
        <v>0.47399999999999998</v>
      </c>
      <c r="O7" s="177">
        <v>0.21199999999999999</v>
      </c>
      <c r="P7" s="177">
        <v>0.16800000000000001</v>
      </c>
    </row>
    <row r="8" spans="1:16">
      <c r="A8" s="24" t="s">
        <v>89</v>
      </c>
      <c r="B8" s="24">
        <v>0.7</v>
      </c>
      <c r="C8" s="177">
        <v>0.17199999999999999</v>
      </c>
      <c r="D8" s="177">
        <v>0.61499999999999999</v>
      </c>
      <c r="E8" s="177">
        <v>0.156</v>
      </c>
      <c r="F8" s="177">
        <v>5.8000000000000003E-2</v>
      </c>
      <c r="G8" s="24">
        <v>0.6</v>
      </c>
      <c r="H8" s="177">
        <v>0.17100000000000001</v>
      </c>
      <c r="I8" s="177">
        <v>0.57099999999999995</v>
      </c>
      <c r="J8" s="177">
        <v>0.17899999999999999</v>
      </c>
      <c r="K8" s="177">
        <v>7.9000000000000001E-2</v>
      </c>
      <c r="L8" s="24">
        <v>0.6</v>
      </c>
      <c r="M8" s="177">
        <v>0.16300000000000001</v>
      </c>
      <c r="N8" s="177">
        <v>0.54400000000000004</v>
      </c>
      <c r="O8" s="177">
        <v>0.16800000000000001</v>
      </c>
      <c r="P8" s="177">
        <v>0.125</v>
      </c>
    </row>
    <row r="9" spans="1:16">
      <c r="A9" s="24" t="s">
        <v>90</v>
      </c>
      <c r="B9" s="24">
        <v>1.8</v>
      </c>
      <c r="C9" s="177">
        <v>0.17799999999999999</v>
      </c>
      <c r="D9" s="177">
        <v>0.63400000000000001</v>
      </c>
      <c r="E9" s="177">
        <v>0.13700000000000001</v>
      </c>
      <c r="F9" s="177">
        <v>5.0999999999999997E-2</v>
      </c>
      <c r="G9" s="24">
        <v>1.8</v>
      </c>
      <c r="H9" s="177">
        <v>0.188</v>
      </c>
      <c r="I9" s="177">
        <v>0.60199999999999998</v>
      </c>
      <c r="J9" s="177">
        <v>0.14599999999999999</v>
      </c>
      <c r="K9" s="177">
        <v>6.5000000000000002E-2</v>
      </c>
      <c r="L9" s="24">
        <v>1.8</v>
      </c>
      <c r="M9" s="177">
        <v>0.17</v>
      </c>
      <c r="N9" s="177">
        <v>0.55900000000000005</v>
      </c>
      <c r="O9" s="177">
        <v>0.16700000000000001</v>
      </c>
      <c r="P9" s="177">
        <v>0.104</v>
      </c>
    </row>
    <row r="10" spans="1:16">
      <c r="A10" s="24" t="s">
        <v>139</v>
      </c>
      <c r="B10" s="24">
        <v>6.1</v>
      </c>
      <c r="C10" s="177">
        <v>0.184</v>
      </c>
      <c r="D10" s="177">
        <v>0.61099999999999999</v>
      </c>
      <c r="E10" s="177">
        <v>0.15</v>
      </c>
      <c r="F10" s="177">
        <v>5.6000000000000001E-2</v>
      </c>
      <c r="G10" s="24">
        <v>6</v>
      </c>
      <c r="H10" s="177">
        <v>0.17599999999999999</v>
      </c>
      <c r="I10" s="177">
        <v>0.55900000000000005</v>
      </c>
      <c r="J10" s="177">
        <v>0.188</v>
      </c>
      <c r="K10" s="177">
        <v>7.5999999999999998E-2</v>
      </c>
      <c r="L10" s="24">
        <v>5.6</v>
      </c>
      <c r="M10" s="177">
        <v>0.16</v>
      </c>
      <c r="N10" s="177">
        <v>0.52900000000000003</v>
      </c>
      <c r="O10" s="177">
        <v>0.17799999999999999</v>
      </c>
      <c r="P10" s="177">
        <v>0.13300000000000001</v>
      </c>
    </row>
    <row r="11" spans="1:16">
      <c r="A11" s="24" t="s">
        <v>140</v>
      </c>
      <c r="B11" s="24">
        <v>1.6</v>
      </c>
      <c r="C11" s="177">
        <v>0.159</v>
      </c>
      <c r="D11" s="177">
        <v>0.60899999999999999</v>
      </c>
      <c r="E11" s="177">
        <v>0.16900000000000001</v>
      </c>
      <c r="F11" s="177">
        <v>6.3E-2</v>
      </c>
      <c r="G11" s="24">
        <v>1.4</v>
      </c>
      <c r="H11" s="177">
        <v>0.157</v>
      </c>
      <c r="I11" s="177">
        <v>0.50600000000000001</v>
      </c>
      <c r="J11" s="177">
        <v>0.249</v>
      </c>
      <c r="K11" s="177">
        <v>8.7999999999999995E-2</v>
      </c>
      <c r="L11" s="24">
        <v>1.2</v>
      </c>
      <c r="M11" s="177">
        <v>0.153</v>
      </c>
      <c r="N11" s="177">
        <v>0.48899999999999999</v>
      </c>
      <c r="O11" s="177">
        <v>0.19600000000000001</v>
      </c>
      <c r="P11" s="177">
        <v>0.16200000000000001</v>
      </c>
    </row>
    <row r="12" spans="1:16">
      <c r="A12" s="24" t="s">
        <v>141</v>
      </c>
      <c r="B12" s="24">
        <v>7.8</v>
      </c>
      <c r="C12" s="177">
        <v>0.187</v>
      </c>
      <c r="D12" s="177">
        <v>0.59599999999999997</v>
      </c>
      <c r="E12" s="177">
        <v>0.158</v>
      </c>
      <c r="F12" s="177">
        <v>5.8999999999999997E-2</v>
      </c>
      <c r="G12" s="24">
        <v>7.5</v>
      </c>
      <c r="H12" s="177">
        <v>0.17299999999999999</v>
      </c>
      <c r="I12" s="177">
        <v>0.54300000000000004</v>
      </c>
      <c r="J12" s="177">
        <v>0.20200000000000001</v>
      </c>
      <c r="K12" s="177">
        <v>8.2000000000000003E-2</v>
      </c>
      <c r="L12" s="24">
        <v>6.7</v>
      </c>
      <c r="M12" s="177">
        <v>0.157</v>
      </c>
      <c r="N12" s="177">
        <v>0.51700000000000002</v>
      </c>
      <c r="O12" s="177">
        <v>0.18099999999999999</v>
      </c>
      <c r="P12" s="177">
        <v>0.14499999999999999</v>
      </c>
    </row>
    <row r="13" spans="1:16">
      <c r="A13" s="24" t="s">
        <v>142</v>
      </c>
      <c r="B13" s="24">
        <v>17.600000000000001</v>
      </c>
      <c r="C13" s="177">
        <v>0.185</v>
      </c>
      <c r="D13" s="177">
        <v>0.60699999999999998</v>
      </c>
      <c r="E13" s="177">
        <v>0.15</v>
      </c>
      <c r="F13" s="177">
        <v>5.8999999999999997E-2</v>
      </c>
      <c r="G13" s="24">
        <v>16.899999999999999</v>
      </c>
      <c r="H13" s="177">
        <v>0.17599999999999999</v>
      </c>
      <c r="I13" s="177">
        <v>0.55300000000000005</v>
      </c>
      <c r="J13" s="177">
        <v>0.19500000000000001</v>
      </c>
      <c r="K13" s="177">
        <v>7.5999999999999998E-2</v>
      </c>
      <c r="L13" s="24">
        <v>15.3</v>
      </c>
      <c r="M13" s="177">
        <v>0.159</v>
      </c>
      <c r="N13" s="177">
        <v>0.52900000000000003</v>
      </c>
      <c r="O13" s="177">
        <v>0.17599999999999999</v>
      </c>
      <c r="P13" s="177">
        <v>0.13600000000000001</v>
      </c>
    </row>
    <row r="14" spans="1:16">
      <c r="A14" s="24" t="s">
        <v>143</v>
      </c>
      <c r="B14" s="24">
        <v>4</v>
      </c>
      <c r="C14" s="177">
        <v>0.18</v>
      </c>
      <c r="D14" s="177">
        <v>0.60799999999999998</v>
      </c>
      <c r="E14" s="177">
        <v>0.152</v>
      </c>
      <c r="F14" s="177">
        <v>0.06</v>
      </c>
      <c r="G14" s="24">
        <v>3.8</v>
      </c>
      <c r="H14" s="177">
        <v>0.17100000000000001</v>
      </c>
      <c r="I14" s="177">
        <v>0.53900000000000003</v>
      </c>
      <c r="J14" s="177">
        <v>0.21099999999999999</v>
      </c>
      <c r="K14" s="177">
        <v>7.9000000000000001E-2</v>
      </c>
      <c r="L14" s="24">
        <v>3.4</v>
      </c>
      <c r="M14" s="177">
        <v>0.155</v>
      </c>
      <c r="N14" s="177">
        <v>0.51900000000000002</v>
      </c>
      <c r="O14" s="177">
        <v>0.18</v>
      </c>
      <c r="P14" s="177">
        <v>0.14599999999999999</v>
      </c>
    </row>
    <row r="15" spans="1:16">
      <c r="A15" s="24" t="s">
        <v>144</v>
      </c>
      <c r="B15" s="24">
        <v>1</v>
      </c>
      <c r="C15" s="177">
        <v>0.161</v>
      </c>
      <c r="D15" s="177">
        <v>0.60799999999999998</v>
      </c>
      <c r="E15" s="177">
        <v>0.16500000000000001</v>
      </c>
      <c r="F15" s="177">
        <v>6.6000000000000003E-2</v>
      </c>
      <c r="G15" s="24">
        <v>0.9</v>
      </c>
      <c r="H15" s="177">
        <v>0.154</v>
      </c>
      <c r="I15" s="177">
        <v>0.53</v>
      </c>
      <c r="J15" s="177">
        <v>0.22900000000000001</v>
      </c>
      <c r="K15" s="177">
        <v>8.6999999999999994E-2</v>
      </c>
      <c r="L15" s="24">
        <v>0.8</v>
      </c>
      <c r="M15" s="177">
        <v>0.14299999999999999</v>
      </c>
      <c r="N15" s="177">
        <v>0.51900000000000002</v>
      </c>
      <c r="O15" s="177">
        <v>0.183</v>
      </c>
      <c r="P15" s="177">
        <v>0.155</v>
      </c>
    </row>
    <row r="16" spans="1:16">
      <c r="A16" s="24" t="s">
        <v>145</v>
      </c>
      <c r="B16" s="24">
        <v>4</v>
      </c>
      <c r="C16" s="177">
        <v>0.16200000000000001</v>
      </c>
      <c r="D16" s="177">
        <v>0.58499999999999996</v>
      </c>
      <c r="E16" s="177">
        <v>0.18099999999999999</v>
      </c>
      <c r="F16" s="177">
        <v>7.1999999999999995E-2</v>
      </c>
      <c r="G16" s="24">
        <v>3.8</v>
      </c>
      <c r="H16" s="177">
        <v>0.17199999999999999</v>
      </c>
      <c r="I16" s="177">
        <v>0.51900000000000002</v>
      </c>
      <c r="J16" s="177">
        <v>0.21299999999999999</v>
      </c>
      <c r="K16" s="177">
        <v>9.6000000000000002E-2</v>
      </c>
      <c r="L16" s="24">
        <v>3.3</v>
      </c>
      <c r="M16" s="177">
        <v>0.16900000000000001</v>
      </c>
      <c r="N16" s="177">
        <v>0.502</v>
      </c>
      <c r="O16" s="177">
        <v>0.189</v>
      </c>
      <c r="P16" s="177">
        <v>0.14099999999999999</v>
      </c>
    </row>
    <row r="17" spans="1:16">
      <c r="A17" s="24" t="s">
        <v>146</v>
      </c>
      <c r="B17" s="24">
        <v>2.2000000000000002</v>
      </c>
      <c r="C17" s="177">
        <v>0.151</v>
      </c>
      <c r="D17" s="177">
        <v>0.59399999999999997</v>
      </c>
      <c r="E17" s="177">
        <v>0.186</v>
      </c>
      <c r="F17" s="177">
        <v>6.9000000000000006E-2</v>
      </c>
      <c r="G17" s="24">
        <v>1.9</v>
      </c>
      <c r="H17" s="177">
        <v>0.154</v>
      </c>
      <c r="I17" s="177">
        <v>0.50600000000000001</v>
      </c>
      <c r="J17" s="177">
        <v>0.24299999999999999</v>
      </c>
      <c r="K17" s="177">
        <v>9.7000000000000003E-2</v>
      </c>
      <c r="L17" s="24">
        <v>1.6</v>
      </c>
      <c r="M17" s="177">
        <v>0.153</v>
      </c>
      <c r="N17" s="177">
        <v>0.48899999999999999</v>
      </c>
      <c r="O17" s="177">
        <v>0.19700000000000001</v>
      </c>
      <c r="P17" s="177">
        <v>0.161</v>
      </c>
    </row>
    <row r="18" spans="1:16">
      <c r="A18" s="24" t="s">
        <v>147</v>
      </c>
      <c r="B18" s="24">
        <v>2.8</v>
      </c>
      <c r="C18" s="177">
        <v>0.183</v>
      </c>
      <c r="D18" s="177">
        <v>0.58899999999999997</v>
      </c>
      <c r="E18" s="177">
        <v>0.17</v>
      </c>
      <c r="F18" s="177">
        <v>5.8000000000000003E-2</v>
      </c>
      <c r="G18" s="24">
        <v>2.8</v>
      </c>
      <c r="H18" s="177">
        <v>0.16900000000000001</v>
      </c>
      <c r="I18" s="177">
        <v>0.54</v>
      </c>
      <c r="J18" s="177">
        <v>0.20300000000000001</v>
      </c>
      <c r="K18" s="177">
        <v>8.7999999999999995E-2</v>
      </c>
      <c r="L18" s="24">
        <v>2.4</v>
      </c>
      <c r="M18" s="177">
        <v>0.153</v>
      </c>
      <c r="N18" s="177">
        <v>0.50700000000000001</v>
      </c>
      <c r="O18" s="177">
        <v>0.188</v>
      </c>
      <c r="P18" s="177">
        <v>0.152</v>
      </c>
    </row>
    <row r="19" spans="1:16" ht="16" thickBot="1">
      <c r="A19" s="175" t="s">
        <v>148</v>
      </c>
      <c r="B19" s="175">
        <v>2.1</v>
      </c>
      <c r="C19" s="178">
        <v>0.158</v>
      </c>
      <c r="D19" s="178">
        <v>0.59799999999999998</v>
      </c>
      <c r="E19" s="178">
        <v>0.18</v>
      </c>
      <c r="F19" s="178">
        <v>6.5000000000000002E-2</v>
      </c>
      <c r="G19" s="175">
        <v>1.9</v>
      </c>
      <c r="H19" s="178">
        <v>0.161</v>
      </c>
      <c r="I19" s="178">
        <v>0.50800000000000001</v>
      </c>
      <c r="J19" s="178">
        <v>0.23799999999999999</v>
      </c>
      <c r="K19" s="178">
        <v>9.2999999999999999E-2</v>
      </c>
      <c r="L19" s="175">
        <v>1.6</v>
      </c>
      <c r="M19" s="178">
        <v>0.16</v>
      </c>
      <c r="N19" s="178">
        <v>0.49</v>
      </c>
      <c r="O19" s="178">
        <v>0.19700000000000001</v>
      </c>
      <c r="P19" s="178">
        <v>0.154</v>
      </c>
    </row>
    <row r="20" spans="1:16" ht="16">
      <c r="A20" s="172" t="s">
        <v>134</v>
      </c>
      <c r="B20" s="170">
        <f>SUM(B4:B19)</f>
        <v>81.199999999999989</v>
      </c>
      <c r="G20" s="170">
        <f>SUM(G4:G19)</f>
        <v>79.000000000000014</v>
      </c>
      <c r="H20" s="138"/>
      <c r="L20" s="170">
        <f>SUM(L4:L19)</f>
        <v>72</v>
      </c>
    </row>
    <row r="21" spans="1:16" ht="16">
      <c r="A21" s="171" t="s">
        <v>249</v>
      </c>
      <c r="B21" s="138">
        <v>63.6</v>
      </c>
      <c r="C21" s="179">
        <v>0.78</v>
      </c>
      <c r="D21" s="138"/>
      <c r="E21" s="138"/>
      <c r="F21" s="138"/>
      <c r="G21" s="138">
        <v>60.6</v>
      </c>
      <c r="H21" s="179">
        <v>0.76</v>
      </c>
      <c r="I21" s="138"/>
      <c r="L21">
        <v>51.9</v>
      </c>
      <c r="M21" s="179">
        <v>0.72</v>
      </c>
    </row>
    <row r="22" spans="1:16">
      <c r="A22" s="173" t="s">
        <v>248</v>
      </c>
      <c r="B22" s="138">
        <v>13</v>
      </c>
      <c r="C22" s="179">
        <v>0.16</v>
      </c>
      <c r="D22" s="138"/>
      <c r="E22" s="138"/>
      <c r="F22" s="138"/>
      <c r="G22" s="138">
        <v>12.4</v>
      </c>
      <c r="H22" s="179">
        <v>0.16</v>
      </c>
      <c r="I22" s="138"/>
      <c r="L22" s="138">
        <v>10.199999999999999</v>
      </c>
      <c r="M22" s="179">
        <v>0.14000000000000001</v>
      </c>
    </row>
    <row r="23" spans="1:16" s="138" customFormat="1">
      <c r="A23" s="173"/>
      <c r="M23" s="169"/>
    </row>
    <row r="24" spans="1:16" s="138" customFormat="1">
      <c r="A24" s="173"/>
      <c r="M24" s="169"/>
    </row>
    <row r="25" spans="1:16" ht="15" customHeight="1">
      <c r="A25" s="303" t="s">
        <v>151</v>
      </c>
      <c r="B25" s="285" t="s">
        <v>251</v>
      </c>
      <c r="C25" s="285"/>
      <c r="D25" s="285"/>
      <c r="E25" s="285"/>
      <c r="F25" s="285"/>
      <c r="G25" s="285"/>
      <c r="H25" s="305" t="s">
        <v>262</v>
      </c>
      <c r="I25" s="308" t="s">
        <v>261</v>
      </c>
      <c r="J25" s="309" t="s">
        <v>260</v>
      </c>
      <c r="K25" s="304" t="s">
        <v>263</v>
      </c>
      <c r="L25" s="306" t="s">
        <v>171</v>
      </c>
      <c r="M25" s="307" t="s">
        <v>264</v>
      </c>
      <c r="N25" s="304" t="s">
        <v>274</v>
      </c>
      <c r="O25" s="306" t="s">
        <v>273</v>
      </c>
      <c r="P25" s="307" t="s">
        <v>275</v>
      </c>
    </row>
    <row r="26" spans="1:16" ht="15" customHeight="1">
      <c r="A26" s="303"/>
      <c r="B26" s="285">
        <v>2015</v>
      </c>
      <c r="C26" s="285"/>
      <c r="D26" s="285">
        <v>2030</v>
      </c>
      <c r="E26" s="285"/>
      <c r="F26" s="285">
        <v>2050</v>
      </c>
      <c r="G26" s="285"/>
      <c r="H26" s="305"/>
      <c r="I26" s="308"/>
      <c r="J26" s="309"/>
      <c r="K26" s="304"/>
      <c r="L26" s="306"/>
      <c r="M26" s="307"/>
      <c r="N26" s="304"/>
      <c r="O26" s="306"/>
      <c r="P26" s="307"/>
    </row>
    <row r="27" spans="1:16" ht="15" customHeight="1" thickBot="1">
      <c r="A27" s="303"/>
      <c r="B27" s="138" t="s">
        <v>247</v>
      </c>
      <c r="C27" s="138" t="s">
        <v>250</v>
      </c>
      <c r="D27" s="138" t="s">
        <v>247</v>
      </c>
      <c r="E27" s="138" t="s">
        <v>250</v>
      </c>
      <c r="F27" s="138" t="s">
        <v>247</v>
      </c>
      <c r="G27" s="138" t="s">
        <v>250</v>
      </c>
      <c r="H27" s="191" t="s">
        <v>265</v>
      </c>
      <c r="I27" s="192" t="s">
        <v>265</v>
      </c>
      <c r="J27" s="193" t="s">
        <v>265</v>
      </c>
      <c r="K27" s="304"/>
      <c r="L27" s="306"/>
      <c r="M27" s="307"/>
      <c r="N27" s="191" t="s">
        <v>272</v>
      </c>
      <c r="O27" s="192" t="s">
        <v>272</v>
      </c>
      <c r="P27" s="193" t="s">
        <v>272</v>
      </c>
    </row>
    <row r="28" spans="1:16" ht="15" customHeight="1">
      <c r="A28" s="174" t="s">
        <v>136</v>
      </c>
      <c r="B28" s="174">
        <v>10.8</v>
      </c>
      <c r="C28" s="174">
        <v>8.3840555270976331</v>
      </c>
      <c r="D28" s="174">
        <v>10.8</v>
      </c>
      <c r="E28" s="174">
        <v>8.2435337801122994</v>
      </c>
      <c r="F28" s="174">
        <v>10.1</v>
      </c>
      <c r="G28" s="174">
        <v>7.3006611460303912</v>
      </c>
      <c r="H28" s="194">
        <f>B28*1000000/3*$C$48/365</f>
        <v>33445966.44889418</v>
      </c>
      <c r="I28" s="182">
        <f>D28*1000000/3*$E$48/365</f>
        <v>34201700.283921808</v>
      </c>
      <c r="J28" s="195">
        <f>F28*1000000/3*$G$48/365</f>
        <v>32744292.237442922</v>
      </c>
      <c r="K28" s="202">
        <v>0</v>
      </c>
      <c r="L28" s="174">
        <v>380810.95890410949</v>
      </c>
      <c r="M28" s="203">
        <v>1068386.3013698629</v>
      </c>
      <c r="N28" s="202">
        <v>15339058.035616439</v>
      </c>
      <c r="O28" s="174">
        <v>25852308.262265548</v>
      </c>
      <c r="P28" s="203">
        <v>43574195.018562481</v>
      </c>
    </row>
    <row r="29" spans="1:16" ht="15" customHeight="1">
      <c r="A29" s="24" t="s">
        <v>137</v>
      </c>
      <c r="B29" s="24">
        <v>12.8</v>
      </c>
      <c r="C29" s="24">
        <v>10.01764813714442</v>
      </c>
      <c r="D29" s="24">
        <v>12.9</v>
      </c>
      <c r="E29" s="24">
        <v>9.8954215359536342</v>
      </c>
      <c r="F29" s="24">
        <v>12.1</v>
      </c>
      <c r="G29" s="24">
        <v>8.8162554202372974</v>
      </c>
      <c r="H29" s="196">
        <f t="shared" ref="H29:H43" si="0">B29*1000000/3*$C$48/365</f>
        <v>39639663.939430147</v>
      </c>
      <c r="I29" s="131">
        <f t="shared" ref="I29:I43" si="1">D29*1000000/3*$E$48/365</f>
        <v>40852030.894684382</v>
      </c>
      <c r="J29" s="197">
        <f t="shared" ref="J29:J43" si="2">F29*1000000/3*$G$48/365</f>
        <v>39228310.502283104</v>
      </c>
      <c r="K29" s="204">
        <v>0</v>
      </c>
      <c r="L29" s="24">
        <v>454857.53424657526</v>
      </c>
      <c r="M29" s="205">
        <v>1279947.9452054794</v>
      </c>
      <c r="N29" s="204">
        <v>2.259950646499768E+16</v>
      </c>
      <c r="O29" s="24">
        <v>61495943.799984008</v>
      </c>
      <c r="P29" s="205">
        <v>104093642.95440933</v>
      </c>
    </row>
    <row r="30" spans="1:16">
      <c r="A30" s="24" t="s">
        <v>88</v>
      </c>
      <c r="B30" s="24">
        <v>3.5</v>
      </c>
      <c r="C30" s="24">
        <v>2.7978843185465969</v>
      </c>
      <c r="D30" s="24">
        <v>3.7</v>
      </c>
      <c r="E30" s="24">
        <v>2.8231053613475821</v>
      </c>
      <c r="F30" s="24">
        <v>3.6</v>
      </c>
      <c r="G30" s="24">
        <v>2.6846067039203554</v>
      </c>
      <c r="H30" s="196">
        <f t="shared" si="0"/>
        <v>10838970.608437929</v>
      </c>
      <c r="I30" s="131">
        <f t="shared" si="1"/>
        <v>11717249.171343582</v>
      </c>
      <c r="J30" s="197">
        <f t="shared" si="2"/>
        <v>11671232.87671233</v>
      </c>
      <c r="K30" s="204">
        <v>0</v>
      </c>
      <c r="L30" s="24">
        <v>130463.01369863012</v>
      </c>
      <c r="M30" s="205">
        <v>380810.95890410949</v>
      </c>
      <c r="N30" s="204">
        <v>131370499182782.45</v>
      </c>
      <c r="O30" s="24">
        <v>339730.5474550997</v>
      </c>
      <c r="P30" s="205">
        <v>573154.79966741893</v>
      </c>
    </row>
    <row r="31" spans="1:16">
      <c r="A31" s="24" t="s">
        <v>138</v>
      </c>
      <c r="B31" s="24">
        <v>2.4</v>
      </c>
      <c r="C31" s="24">
        <v>1.9038585390841098</v>
      </c>
      <c r="D31" s="24">
        <v>2.2999999999999998</v>
      </c>
      <c r="E31" s="24">
        <v>1.7669932258648795</v>
      </c>
      <c r="F31" s="24">
        <v>1.9</v>
      </c>
      <c r="G31" s="24">
        <v>1.3341340888683537</v>
      </c>
      <c r="H31" s="196">
        <f t="shared" si="0"/>
        <v>7432436.9886431526</v>
      </c>
      <c r="I31" s="131">
        <f t="shared" si="1"/>
        <v>7283695.4308352005</v>
      </c>
      <c r="J31" s="197">
        <f t="shared" si="2"/>
        <v>6159817.3515981743</v>
      </c>
      <c r="K31" s="204">
        <v>0</v>
      </c>
      <c r="L31" s="24">
        <v>81098.630136986292</v>
      </c>
      <c r="M31" s="205">
        <v>200983.56164383556</v>
      </c>
      <c r="N31" s="204">
        <v>6137684686720331</v>
      </c>
      <c r="O31" s="24">
        <v>55727726.167662576</v>
      </c>
      <c r="P31" s="205">
        <v>98517703.181082278</v>
      </c>
    </row>
    <row r="32" spans="1:16">
      <c r="A32" s="24" t="s">
        <v>89</v>
      </c>
      <c r="B32" s="24">
        <v>0.7</v>
      </c>
      <c r="C32" s="24">
        <v>0.5531983847283406</v>
      </c>
      <c r="D32" s="24">
        <v>0.6</v>
      </c>
      <c r="E32" s="24">
        <v>0.4604253939503713</v>
      </c>
      <c r="F32" s="24">
        <v>0.6</v>
      </c>
      <c r="G32" s="24">
        <v>0.43803559441717743</v>
      </c>
      <c r="H32" s="196">
        <f t="shared" si="0"/>
        <v>2167794.121687586</v>
      </c>
      <c r="I32" s="131">
        <f t="shared" si="1"/>
        <v>1900094.4602178782</v>
      </c>
      <c r="J32" s="197">
        <f t="shared" si="2"/>
        <v>1945205.4794520547</v>
      </c>
      <c r="K32" s="204">
        <v>0</v>
      </c>
      <c r="L32" s="24">
        <v>21156.164383561641</v>
      </c>
      <c r="M32" s="205">
        <v>63468.493150684924</v>
      </c>
      <c r="N32" s="204">
        <v>59436766908458.242</v>
      </c>
      <c r="O32" s="24">
        <v>1695804.2081926921</v>
      </c>
      <c r="P32" s="205">
        <v>3035092.0390988123</v>
      </c>
    </row>
    <row r="33" spans="1:16">
      <c r="A33" s="24" t="s">
        <v>90</v>
      </c>
      <c r="B33" s="24">
        <v>1.8</v>
      </c>
      <c r="C33" s="24">
        <v>1.4237209507222621</v>
      </c>
      <c r="D33" s="24">
        <v>1.8</v>
      </c>
      <c r="E33" s="24">
        <v>1.3807855098714001</v>
      </c>
      <c r="F33" s="24">
        <v>1.8</v>
      </c>
      <c r="G33" s="24">
        <v>1.3407027800782854</v>
      </c>
      <c r="H33" s="196">
        <f t="shared" si="0"/>
        <v>5574327.741482364</v>
      </c>
      <c r="I33" s="131">
        <f t="shared" si="1"/>
        <v>5700283.3806536347</v>
      </c>
      <c r="J33" s="197">
        <f t="shared" si="2"/>
        <v>5835616.4383561648</v>
      </c>
      <c r="K33" s="204">
        <v>0</v>
      </c>
      <c r="L33" s="24">
        <v>63468.493150684924</v>
      </c>
      <c r="M33" s="205">
        <v>190405.47945205474</v>
      </c>
      <c r="N33" s="204">
        <v>55134342330313.477</v>
      </c>
      <c r="O33" s="24">
        <v>585517.53657764138</v>
      </c>
      <c r="P33" s="205">
        <v>1037832.3379651653</v>
      </c>
    </row>
    <row r="34" spans="1:16">
      <c r="A34" s="24" t="s">
        <v>139</v>
      </c>
      <c r="B34" s="24">
        <v>6.1</v>
      </c>
      <c r="C34" s="24">
        <v>4.7679354403578866</v>
      </c>
      <c r="D34" s="24">
        <v>6</v>
      </c>
      <c r="E34" s="24">
        <v>4.5893023003079163</v>
      </c>
      <c r="F34" s="24">
        <v>5.6</v>
      </c>
      <c r="G34" s="24">
        <v>4.058470885457985</v>
      </c>
      <c r="H34" s="196">
        <f t="shared" si="0"/>
        <v>18890777.346134678</v>
      </c>
      <c r="I34" s="131">
        <f t="shared" si="1"/>
        <v>19000944.602178782</v>
      </c>
      <c r="J34" s="197">
        <f t="shared" si="2"/>
        <v>18155251.141552512</v>
      </c>
      <c r="K34" s="204">
        <v>0</v>
      </c>
      <c r="L34" s="24">
        <v>211561.64383561639</v>
      </c>
      <c r="M34" s="205">
        <v>592372.60273972596</v>
      </c>
      <c r="N34" s="204">
        <v>3339405048541873.5</v>
      </c>
      <c r="O34" s="24">
        <v>16433085.266028304</v>
      </c>
      <c r="P34" s="205">
        <v>28604447.20636151</v>
      </c>
    </row>
    <row r="35" spans="1:16">
      <c r="A35" s="24" t="s">
        <v>140</v>
      </c>
      <c r="B35" s="24">
        <v>1.6</v>
      </c>
      <c r="C35" s="24">
        <v>1.2733215039442682</v>
      </c>
      <c r="D35" s="24">
        <v>1.4</v>
      </c>
      <c r="E35" s="24">
        <v>1.0793343234921209</v>
      </c>
      <c r="F35" s="24">
        <v>1.2</v>
      </c>
      <c r="G35" s="24">
        <v>0.84234166804697108</v>
      </c>
      <c r="H35" s="196">
        <f t="shared" si="0"/>
        <v>4954957.9924287684</v>
      </c>
      <c r="I35" s="131">
        <f t="shared" si="1"/>
        <v>4433553.7405083822</v>
      </c>
      <c r="J35" s="197">
        <f t="shared" si="2"/>
        <v>3890410.9589041094</v>
      </c>
      <c r="K35" s="204">
        <v>0</v>
      </c>
      <c r="L35" s="24">
        <v>49364.383561643823</v>
      </c>
      <c r="M35" s="205">
        <v>126936.98630136985</v>
      </c>
      <c r="N35" s="204">
        <v>2558008204579968</v>
      </c>
      <c r="O35" s="24">
        <v>32513591.962303881</v>
      </c>
      <c r="P35" s="205">
        <v>57777527.141381286</v>
      </c>
    </row>
    <row r="36" spans="1:16">
      <c r="A36" s="24" t="s">
        <v>141</v>
      </c>
      <c r="B36" s="24">
        <v>7.8</v>
      </c>
      <c r="C36" s="24">
        <v>6.0447277737936682</v>
      </c>
      <c r="D36" s="24">
        <v>7.5</v>
      </c>
      <c r="E36" s="24">
        <v>5.7193416047817429</v>
      </c>
      <c r="F36" s="24">
        <v>6.7</v>
      </c>
      <c r="G36" s="24">
        <v>4.793143576354078</v>
      </c>
      <c r="H36" s="196">
        <f t="shared" si="0"/>
        <v>24155420.213090245</v>
      </c>
      <c r="I36" s="131">
        <f t="shared" si="1"/>
        <v>23751180.752723478</v>
      </c>
      <c r="J36" s="197">
        <f t="shared" si="2"/>
        <v>21721461.187214613</v>
      </c>
      <c r="K36" s="204">
        <v>0</v>
      </c>
      <c r="L36" s="24">
        <v>264452.05479452049</v>
      </c>
      <c r="M36" s="205">
        <v>708731.50684931502</v>
      </c>
      <c r="N36" s="204">
        <v>6143323355088633</v>
      </c>
      <c r="O36" s="24">
        <v>112463598.29340848</v>
      </c>
      <c r="P36" s="205">
        <v>200640626.52674049</v>
      </c>
    </row>
    <row r="37" spans="1:16">
      <c r="A37" s="24" t="s">
        <v>142</v>
      </c>
      <c r="B37" s="24">
        <v>17.600000000000001</v>
      </c>
      <c r="C37" s="24">
        <v>13.688239374381043</v>
      </c>
      <c r="D37" s="24">
        <v>16.899999999999999</v>
      </c>
      <c r="E37" s="24">
        <v>12.943434812533962</v>
      </c>
      <c r="F37" s="24">
        <v>15.3</v>
      </c>
      <c r="G37" s="24">
        <v>11.056027101622368</v>
      </c>
      <c r="H37" s="196">
        <f t="shared" si="0"/>
        <v>54504537.916716456</v>
      </c>
      <c r="I37" s="131">
        <f t="shared" si="1"/>
        <v>53519327.296136901</v>
      </c>
      <c r="J37" s="197">
        <f t="shared" si="2"/>
        <v>49602739.726027399</v>
      </c>
      <c r="K37" s="204">
        <v>0</v>
      </c>
      <c r="L37" s="24">
        <v>595898.63013698626</v>
      </c>
      <c r="M37" s="205">
        <v>1618446.5753424654</v>
      </c>
      <c r="N37" s="204">
        <v>7558116770478830</v>
      </c>
      <c r="O37" s="24">
        <v>46467727.193662167</v>
      </c>
      <c r="P37" s="205">
        <v>81434938.857138664</v>
      </c>
    </row>
    <row r="38" spans="1:16">
      <c r="A38" s="24" t="s">
        <v>143</v>
      </c>
      <c r="B38" s="24">
        <v>4</v>
      </c>
      <c r="C38" s="24">
        <v>3.1207212375781173</v>
      </c>
      <c r="D38" s="24">
        <v>3.8</v>
      </c>
      <c r="E38" s="24">
        <v>2.9160274950190179</v>
      </c>
      <c r="F38" s="24">
        <v>3.4</v>
      </c>
      <c r="G38" s="24">
        <v>2.4349881212459357</v>
      </c>
      <c r="H38" s="196">
        <f t="shared" si="0"/>
        <v>12387394.981071919</v>
      </c>
      <c r="I38" s="131">
        <f t="shared" si="1"/>
        <v>12033931.581379896</v>
      </c>
      <c r="J38" s="197">
        <f t="shared" si="2"/>
        <v>11022831.050228309</v>
      </c>
      <c r="K38" s="204">
        <v>0</v>
      </c>
      <c r="L38" s="24">
        <v>133989.0410958904</v>
      </c>
      <c r="M38" s="205">
        <v>359654.7945205479</v>
      </c>
      <c r="N38" s="204">
        <v>3580061244195631</v>
      </c>
      <c r="O38" s="24">
        <v>29673654.023789484</v>
      </c>
      <c r="P38" s="205">
        <v>52367199.363549441</v>
      </c>
    </row>
    <row r="39" spans="1:16">
      <c r="A39" s="24" t="s">
        <v>144</v>
      </c>
      <c r="B39" s="24">
        <v>1</v>
      </c>
      <c r="C39" s="24">
        <v>0.79105016562510677</v>
      </c>
      <c r="D39" s="24">
        <v>0.9</v>
      </c>
      <c r="E39" s="24">
        <v>0.69718342691541391</v>
      </c>
      <c r="F39" s="24">
        <v>0.8</v>
      </c>
      <c r="G39" s="24">
        <v>0.57427476483972484</v>
      </c>
      <c r="H39" s="196">
        <f t="shared" si="0"/>
        <v>3096848.7452679798</v>
      </c>
      <c r="I39" s="131">
        <f t="shared" si="1"/>
        <v>2850141.6903268173</v>
      </c>
      <c r="J39" s="197">
        <f t="shared" si="2"/>
        <v>2593607.3059360734</v>
      </c>
      <c r="K39" s="204">
        <v>0</v>
      </c>
      <c r="L39" s="24">
        <v>31734.246575342462</v>
      </c>
      <c r="M39" s="205">
        <v>84624.657534246566</v>
      </c>
      <c r="N39" s="204">
        <v>777570645080792.88</v>
      </c>
      <c r="O39" s="24">
        <v>3811902.5326151149</v>
      </c>
      <c r="P39" s="205">
        <v>6634373.9307332374</v>
      </c>
    </row>
    <row r="40" spans="1:16">
      <c r="A40" s="24" t="s">
        <v>145</v>
      </c>
      <c r="B40" s="24">
        <v>4</v>
      </c>
      <c r="C40" s="24">
        <v>3.1366491138203054</v>
      </c>
      <c r="D40" s="24">
        <v>3.8</v>
      </c>
      <c r="E40" s="24">
        <v>2.8480136207208835</v>
      </c>
      <c r="F40" s="24">
        <v>3.3</v>
      </c>
      <c r="G40" s="24">
        <v>2.3420894785936586</v>
      </c>
      <c r="H40" s="196">
        <f t="shared" si="0"/>
        <v>12387394.981071919</v>
      </c>
      <c r="I40" s="131">
        <f t="shared" si="1"/>
        <v>12033931.581379896</v>
      </c>
      <c r="J40" s="197">
        <f t="shared" si="2"/>
        <v>10698630.136986302</v>
      </c>
      <c r="K40" s="204">
        <v>0</v>
      </c>
      <c r="L40" s="24">
        <v>133989.0410958904</v>
      </c>
      <c r="M40" s="205">
        <v>349076.71232876705</v>
      </c>
      <c r="N40" s="204">
        <v>3281005727939647</v>
      </c>
      <c r="O40" s="24">
        <v>15583088.720999956</v>
      </c>
      <c r="P40" s="205">
        <v>27091506.026792936</v>
      </c>
    </row>
    <row r="41" spans="1:16">
      <c r="A41" s="24" t="s">
        <v>146</v>
      </c>
      <c r="B41" s="24">
        <v>2.2000000000000002</v>
      </c>
      <c r="C41" s="24">
        <v>1.7532438821159035</v>
      </c>
      <c r="D41" s="24">
        <v>1.9</v>
      </c>
      <c r="E41" s="24">
        <v>1.4528316790436515</v>
      </c>
      <c r="F41" s="24">
        <v>1.6</v>
      </c>
      <c r="G41" s="24">
        <v>1.124722224062628</v>
      </c>
      <c r="H41" s="196">
        <f t="shared" si="0"/>
        <v>6813067.2395895571</v>
      </c>
      <c r="I41" s="131">
        <f t="shared" si="1"/>
        <v>6016965.790689948</v>
      </c>
      <c r="J41" s="197">
        <f t="shared" si="2"/>
        <v>5187214.6118721468</v>
      </c>
      <c r="K41" s="204">
        <v>0</v>
      </c>
      <c r="L41" s="24">
        <v>66994.520547945198</v>
      </c>
      <c r="M41" s="205">
        <v>169249.31506849313</v>
      </c>
      <c r="N41" s="204">
        <v>3810635809921826.5</v>
      </c>
      <c r="O41" s="24">
        <v>42323292.456795424</v>
      </c>
      <c r="P41" s="205">
        <v>75069220.772011697</v>
      </c>
    </row>
    <row r="42" spans="1:16">
      <c r="A42" s="24" t="s">
        <v>147</v>
      </c>
      <c r="B42" s="24">
        <v>2.8</v>
      </c>
      <c r="C42" s="24">
        <v>2.1826466140764267</v>
      </c>
      <c r="D42" s="24">
        <v>2.8</v>
      </c>
      <c r="E42" s="24">
        <v>2.1284828110849485</v>
      </c>
      <c r="F42" s="24">
        <v>2.4</v>
      </c>
      <c r="G42" s="24">
        <v>1.7086833360939422</v>
      </c>
      <c r="H42" s="196">
        <f t="shared" si="0"/>
        <v>8671176.4867503438</v>
      </c>
      <c r="I42" s="131">
        <f t="shared" si="1"/>
        <v>8867107.4810167644</v>
      </c>
      <c r="J42" s="197">
        <f t="shared" si="2"/>
        <v>7780821.9178082189</v>
      </c>
      <c r="K42" s="204">
        <v>0</v>
      </c>
      <c r="L42" s="24">
        <v>98728.767123287646</v>
      </c>
      <c r="M42" s="205">
        <v>253873.9726027397</v>
      </c>
      <c r="N42" s="204">
        <v>2644600606962367</v>
      </c>
      <c r="O42" s="24">
        <v>47504258.823840477</v>
      </c>
      <c r="P42" s="205">
        <v>84735442.513385847</v>
      </c>
    </row>
    <row r="43" spans="1:16" ht="16" thickBot="1">
      <c r="A43" s="175" t="s">
        <v>148</v>
      </c>
      <c r="B43" s="175">
        <v>2.1</v>
      </c>
      <c r="C43" s="175">
        <v>1.6709990369839158</v>
      </c>
      <c r="D43" s="175">
        <v>1.9</v>
      </c>
      <c r="E43" s="175">
        <v>1.4484831190001812</v>
      </c>
      <c r="F43" s="175">
        <v>1.6</v>
      </c>
      <c r="G43" s="175">
        <v>1.127563110130853</v>
      </c>
      <c r="H43" s="198">
        <f t="shared" si="0"/>
        <v>6503382.3650627583</v>
      </c>
      <c r="I43" s="183">
        <f t="shared" si="1"/>
        <v>6016965.790689948</v>
      </c>
      <c r="J43" s="199">
        <f t="shared" si="2"/>
        <v>5187214.6118721468</v>
      </c>
      <c r="K43" s="206">
        <v>0</v>
      </c>
      <c r="L43" s="175">
        <v>66994.520547945198</v>
      </c>
      <c r="M43" s="207">
        <v>169249.31506849313</v>
      </c>
      <c r="N43" s="206">
        <v>2248278279999065.5</v>
      </c>
      <c r="O43" s="175">
        <v>14378085.272912232</v>
      </c>
      <c r="P43" s="207">
        <v>25224056.235228892</v>
      </c>
    </row>
    <row r="44" spans="1:16">
      <c r="A44" s="180" t="s">
        <v>134</v>
      </c>
      <c r="B44" s="170">
        <f t="shared" ref="B44:M44" si="3">SUM(B28:B43)</f>
        <v>81.199999999999989</v>
      </c>
      <c r="C44" s="170">
        <f t="shared" si="3"/>
        <v>63.509899999999995</v>
      </c>
      <c r="D44" s="170">
        <f t="shared" si="3"/>
        <v>79.000000000000014</v>
      </c>
      <c r="E44" s="170">
        <f t="shared" si="3"/>
        <v>60.392700000000012</v>
      </c>
      <c r="F44" s="170">
        <f t="shared" si="3"/>
        <v>72</v>
      </c>
      <c r="G44" s="170">
        <f t="shared" si="3"/>
        <v>51.976700000000008</v>
      </c>
      <c r="H44" s="200">
        <f t="shared" si="3"/>
        <v>251464118.11575997</v>
      </c>
      <c r="I44" s="115">
        <f t="shared" si="3"/>
        <v>250179103.92868727</v>
      </c>
      <c r="J44" s="201">
        <f t="shared" si="3"/>
        <v>233424657.53424653</v>
      </c>
      <c r="K44" s="204">
        <f t="shared" si="3"/>
        <v>0</v>
      </c>
      <c r="L44" s="24">
        <f t="shared" si="3"/>
        <v>2785561.6438356158</v>
      </c>
      <c r="M44" s="205">
        <f t="shared" si="3"/>
        <v>7616219.1780821905</v>
      </c>
      <c r="N44" s="204">
        <v>313139051.82739729</v>
      </c>
      <c r="O44" s="24">
        <v>506849315.06849313</v>
      </c>
      <c r="P44" s="205">
        <v>890410958.90410948</v>
      </c>
    </row>
    <row r="47" spans="1:16" ht="32">
      <c r="A47" s="21" t="s">
        <v>257</v>
      </c>
      <c r="B47" s="170">
        <f>575000000000/F44/1000000</f>
        <v>7986.1111111111104</v>
      </c>
      <c r="C47" t="s">
        <v>258</v>
      </c>
      <c r="I47" s="181"/>
    </row>
    <row r="48" spans="1:16" ht="34">
      <c r="A48" s="150" t="s">
        <v>259</v>
      </c>
      <c r="C48">
        <v>3391.0493760684381</v>
      </c>
      <c r="E48" s="138">
        <v>3467.6723898976279</v>
      </c>
      <c r="G48" s="138">
        <v>3550</v>
      </c>
    </row>
    <row r="49" spans="1:7">
      <c r="G49" s="138"/>
    </row>
    <row r="50" spans="1:7">
      <c r="D50">
        <f>D44*1000*560*0.1</f>
        <v>4424000.0000000009</v>
      </c>
    </row>
    <row r="52" spans="1:7">
      <c r="A52" s="303" t="s">
        <v>151</v>
      </c>
      <c r="B52" s="311" t="s">
        <v>280</v>
      </c>
      <c r="C52" s="312"/>
      <c r="D52" s="313"/>
      <c r="E52" s="311" t="s">
        <v>283</v>
      </c>
      <c r="F52" s="313"/>
    </row>
    <row r="53" spans="1:7">
      <c r="A53" s="303"/>
      <c r="B53" s="204">
        <v>2015</v>
      </c>
      <c r="C53" s="24">
        <v>2030</v>
      </c>
      <c r="D53" s="205">
        <v>2050</v>
      </c>
      <c r="E53" s="204">
        <v>2030</v>
      </c>
      <c r="F53" s="205">
        <v>2050</v>
      </c>
    </row>
    <row r="54" spans="1:7" ht="16" thickBot="1">
      <c r="A54" s="303"/>
      <c r="B54" s="204"/>
      <c r="C54" s="24"/>
      <c r="D54" s="205"/>
      <c r="E54" s="204"/>
      <c r="F54" s="205"/>
    </row>
    <row r="55" spans="1:7">
      <c r="A55" s="174" t="s">
        <v>136</v>
      </c>
      <c r="B55" s="209">
        <v>6282597</v>
      </c>
      <c r="C55" s="174">
        <f>D28*1000000/1000*550*0.1</f>
        <v>594000</v>
      </c>
      <c r="D55" s="203">
        <f>F28*1000000/1000*550*0.3</f>
        <v>1666500</v>
      </c>
      <c r="E55" s="202">
        <f>C55*$B$76/365</f>
        <v>380810.95890410949</v>
      </c>
      <c r="F55" s="203">
        <f>D55*$B$76/365</f>
        <v>1068386.3013698629</v>
      </c>
    </row>
    <row r="56" spans="1:7">
      <c r="A56" s="24" t="s">
        <v>137</v>
      </c>
      <c r="B56" s="210">
        <v>7550273</v>
      </c>
      <c r="C56" s="24">
        <f t="shared" ref="C56:C69" si="4">D29*1000000/1000*550*0.1</f>
        <v>709500</v>
      </c>
      <c r="D56" s="205">
        <f t="shared" ref="D56:D70" si="5">F29*1000000/1000*550*0.3</f>
        <v>1996500</v>
      </c>
      <c r="E56" s="204">
        <f t="shared" ref="E56:E70" si="6">C56*$B$76/365</f>
        <v>454857.53424657526</v>
      </c>
      <c r="F56" s="205">
        <f t="shared" ref="F56:F71" si="7">D56*$B$76/365</f>
        <v>1279947.9452054794</v>
      </c>
    </row>
    <row r="57" spans="1:7">
      <c r="A57" s="24" t="s">
        <v>88</v>
      </c>
      <c r="B57" s="210">
        <v>1178417</v>
      </c>
      <c r="C57" s="24">
        <f t="shared" si="4"/>
        <v>203500</v>
      </c>
      <c r="D57" s="205">
        <f t="shared" si="5"/>
        <v>594000</v>
      </c>
      <c r="E57" s="204">
        <f t="shared" si="6"/>
        <v>130463.01369863012</v>
      </c>
      <c r="F57" s="205">
        <f t="shared" si="7"/>
        <v>380810.95890410949</v>
      </c>
    </row>
    <row r="58" spans="1:7">
      <c r="A58" s="24" t="s">
        <v>138</v>
      </c>
      <c r="B58" s="210">
        <v>1369736</v>
      </c>
      <c r="C58" s="24">
        <f t="shared" si="4"/>
        <v>126500</v>
      </c>
      <c r="D58" s="205">
        <f t="shared" si="5"/>
        <v>313500</v>
      </c>
      <c r="E58" s="204">
        <f t="shared" si="6"/>
        <v>81098.630136986292</v>
      </c>
      <c r="F58" s="205">
        <f t="shared" si="7"/>
        <v>200983.56164383556</v>
      </c>
    </row>
    <row r="59" spans="1:7">
      <c r="A59" s="24" t="s">
        <v>89</v>
      </c>
      <c r="B59" s="210">
        <v>284484</v>
      </c>
      <c r="C59" s="24">
        <f t="shared" si="4"/>
        <v>33000</v>
      </c>
      <c r="D59" s="205">
        <f t="shared" si="5"/>
        <v>99000</v>
      </c>
      <c r="E59" s="204">
        <f t="shared" si="6"/>
        <v>21156.164383561641</v>
      </c>
      <c r="F59" s="205">
        <f t="shared" si="7"/>
        <v>63468.493150684924</v>
      </c>
    </row>
    <row r="60" spans="1:7">
      <c r="A60" s="24" t="s">
        <v>90</v>
      </c>
      <c r="B60" s="210">
        <v>761655</v>
      </c>
      <c r="C60" s="24">
        <f t="shared" si="4"/>
        <v>99000</v>
      </c>
      <c r="D60" s="205">
        <f t="shared" si="5"/>
        <v>297000</v>
      </c>
      <c r="E60" s="204">
        <f t="shared" si="6"/>
        <v>63468.493150684924</v>
      </c>
      <c r="F60" s="205">
        <f t="shared" si="7"/>
        <v>190405.47945205474</v>
      </c>
    </row>
    <row r="61" spans="1:7">
      <c r="A61" s="24" t="s">
        <v>139</v>
      </c>
      <c r="B61" s="210">
        <v>3539412</v>
      </c>
      <c r="C61" s="24">
        <f t="shared" si="4"/>
        <v>330000</v>
      </c>
      <c r="D61" s="205">
        <f t="shared" si="5"/>
        <v>924000</v>
      </c>
      <c r="E61" s="204">
        <f t="shared" si="6"/>
        <v>211561.64383561639</v>
      </c>
      <c r="F61" s="205">
        <f t="shared" si="7"/>
        <v>592372.60273972596</v>
      </c>
    </row>
    <row r="62" spans="1:7">
      <c r="A62" s="24" t="s">
        <v>140</v>
      </c>
      <c r="B62" s="210">
        <v>832708</v>
      </c>
      <c r="C62" s="24">
        <f t="shared" si="4"/>
        <v>77000</v>
      </c>
      <c r="D62" s="205">
        <f t="shared" si="5"/>
        <v>198000</v>
      </c>
      <c r="E62" s="204">
        <f t="shared" si="6"/>
        <v>49364.383561643823</v>
      </c>
      <c r="F62" s="205">
        <f t="shared" si="7"/>
        <v>126936.98630136985</v>
      </c>
    </row>
    <row r="63" spans="1:7">
      <c r="A63" s="24" t="s">
        <v>141</v>
      </c>
      <c r="B63" s="210">
        <v>4528650</v>
      </c>
      <c r="C63" s="24">
        <f t="shared" si="4"/>
        <v>412500</v>
      </c>
      <c r="D63" s="205">
        <f t="shared" si="5"/>
        <v>1105500</v>
      </c>
      <c r="E63" s="204">
        <f t="shared" si="6"/>
        <v>264452.05479452049</v>
      </c>
      <c r="F63" s="205">
        <f t="shared" si="7"/>
        <v>708731.50684931502</v>
      </c>
    </row>
    <row r="64" spans="1:7">
      <c r="A64" s="24" t="s">
        <v>142</v>
      </c>
      <c r="B64" s="210">
        <v>9639714</v>
      </c>
      <c r="C64" s="24">
        <f t="shared" si="4"/>
        <v>929500</v>
      </c>
      <c r="D64" s="205">
        <f t="shared" si="5"/>
        <v>2524500</v>
      </c>
      <c r="E64" s="204">
        <f t="shared" si="6"/>
        <v>595898.63013698626</v>
      </c>
      <c r="F64" s="205">
        <f t="shared" si="7"/>
        <v>1618446.5753424654</v>
      </c>
    </row>
    <row r="65" spans="1:16">
      <c r="A65" s="24" t="s">
        <v>143</v>
      </c>
      <c r="B65" s="210">
        <v>2410786</v>
      </c>
      <c r="C65" s="24">
        <f t="shared" si="4"/>
        <v>209000</v>
      </c>
      <c r="D65" s="205">
        <f t="shared" si="5"/>
        <v>561000</v>
      </c>
      <c r="E65" s="204">
        <f t="shared" si="6"/>
        <v>133989.0410958904</v>
      </c>
      <c r="F65" s="205">
        <f t="shared" si="7"/>
        <v>359654.7945205479</v>
      </c>
    </row>
    <row r="66" spans="1:16">
      <c r="A66" s="24" t="s">
        <v>144</v>
      </c>
      <c r="B66" s="210">
        <v>615611</v>
      </c>
      <c r="C66" s="24">
        <f t="shared" si="4"/>
        <v>49500</v>
      </c>
      <c r="D66" s="205">
        <f t="shared" si="5"/>
        <v>132000</v>
      </c>
      <c r="E66" s="204">
        <f t="shared" si="6"/>
        <v>31734.246575342462</v>
      </c>
      <c r="F66" s="205">
        <f t="shared" si="7"/>
        <v>84624.657534246566</v>
      </c>
    </row>
    <row r="67" spans="1:16">
      <c r="A67" s="24" t="s">
        <v>145</v>
      </c>
      <c r="B67" s="210">
        <v>2107126</v>
      </c>
      <c r="C67" s="24">
        <f t="shared" si="4"/>
        <v>209000</v>
      </c>
      <c r="D67" s="205">
        <f t="shared" si="5"/>
        <v>544500</v>
      </c>
      <c r="E67" s="204">
        <f t="shared" si="6"/>
        <v>133989.0410958904</v>
      </c>
      <c r="F67" s="205">
        <f t="shared" si="7"/>
        <v>349076.71232876705</v>
      </c>
    </row>
    <row r="68" spans="1:16">
      <c r="A68" s="24" t="s">
        <v>146</v>
      </c>
      <c r="B68" s="210">
        <v>1193889</v>
      </c>
      <c r="C68" s="24">
        <f t="shared" si="4"/>
        <v>104500</v>
      </c>
      <c r="D68" s="205">
        <f t="shared" si="5"/>
        <v>264000</v>
      </c>
      <c r="E68" s="204">
        <f t="shared" si="6"/>
        <v>66994.520547945198</v>
      </c>
      <c r="F68" s="205">
        <f t="shared" si="7"/>
        <v>169249.31506849313</v>
      </c>
    </row>
    <row r="69" spans="1:16">
      <c r="A69" s="24" t="s">
        <v>147</v>
      </c>
      <c r="B69" s="210">
        <v>1583822</v>
      </c>
      <c r="C69" s="24">
        <f t="shared" si="4"/>
        <v>154000</v>
      </c>
      <c r="D69" s="205">
        <f t="shared" si="5"/>
        <v>396000</v>
      </c>
      <c r="E69" s="204">
        <f t="shared" si="6"/>
        <v>98728.767123287646</v>
      </c>
      <c r="F69" s="205">
        <f t="shared" si="7"/>
        <v>253873.9726027397</v>
      </c>
    </row>
    <row r="70" spans="1:16" ht="16" thickBot="1">
      <c r="A70" s="175" t="s">
        <v>148</v>
      </c>
      <c r="B70" s="211">
        <v>1167684</v>
      </c>
      <c r="C70" s="175">
        <f>D43*1000000/1000*550*0.1</f>
        <v>104500</v>
      </c>
      <c r="D70" s="207">
        <f t="shared" si="5"/>
        <v>264000</v>
      </c>
      <c r="E70" s="206">
        <f t="shared" si="6"/>
        <v>66994.520547945198</v>
      </c>
      <c r="F70" s="207">
        <f t="shared" si="7"/>
        <v>169249.31506849313</v>
      </c>
    </row>
    <row r="71" spans="1:16">
      <c r="A71" s="180" t="s">
        <v>134</v>
      </c>
      <c r="B71" s="210">
        <f>SUM(B55:B70)</f>
        <v>45046564</v>
      </c>
      <c r="C71" s="208">
        <f t="shared" ref="C71:D71" si="8">SUM(C55:C70)</f>
        <v>4345000</v>
      </c>
      <c r="D71" s="212">
        <f t="shared" si="8"/>
        <v>11880000</v>
      </c>
      <c r="E71" s="204">
        <f>C71*$B$76/365</f>
        <v>2785561.6438356163</v>
      </c>
      <c r="F71" s="205">
        <f t="shared" si="7"/>
        <v>7616219.1780821905</v>
      </c>
    </row>
    <row r="73" spans="1:16">
      <c r="A73" s="40" t="s">
        <v>281</v>
      </c>
    </row>
    <row r="76" spans="1:16">
      <c r="B76">
        <v>233.99999999999997</v>
      </c>
      <c r="C76" s="40" t="s">
        <v>282</v>
      </c>
    </row>
    <row r="79" spans="1:16" ht="15" customHeight="1">
      <c r="A79" s="303" t="s">
        <v>151</v>
      </c>
      <c r="B79" s="285" t="s">
        <v>287</v>
      </c>
      <c r="C79" s="285"/>
      <c r="D79" s="285" t="s">
        <v>284</v>
      </c>
      <c r="E79" s="285"/>
      <c r="F79" s="285" t="s">
        <v>285</v>
      </c>
      <c r="G79" s="285"/>
      <c r="H79" s="310"/>
      <c r="I79" s="310"/>
      <c r="J79" s="310"/>
      <c r="K79" s="310"/>
      <c r="L79" s="310"/>
      <c r="M79" s="310"/>
      <c r="N79" s="310"/>
      <c r="O79" s="310"/>
      <c r="P79" s="310"/>
    </row>
    <row r="80" spans="1:16">
      <c r="A80" s="303"/>
      <c r="B80" s="213">
        <v>2030</v>
      </c>
      <c r="C80" s="213">
        <v>2050</v>
      </c>
      <c r="D80" s="213">
        <v>2030</v>
      </c>
      <c r="E80" s="213">
        <v>2050</v>
      </c>
      <c r="F80" s="213">
        <v>2030</v>
      </c>
      <c r="G80" s="213">
        <v>2050</v>
      </c>
      <c r="H80" s="310"/>
      <c r="I80" s="310"/>
      <c r="J80" s="310"/>
      <c r="K80" s="310"/>
      <c r="L80" s="310"/>
      <c r="M80" s="310"/>
      <c r="N80" s="310"/>
      <c r="O80" s="310"/>
      <c r="P80" s="310"/>
    </row>
    <row r="81" spans="1:16" ht="16" thickBot="1">
      <c r="A81" s="303"/>
      <c r="B81" s="214" t="s">
        <v>288</v>
      </c>
      <c r="C81" s="214" t="s">
        <v>288</v>
      </c>
      <c r="D81" s="214" t="s">
        <v>265</v>
      </c>
      <c r="E81" s="214" t="s">
        <v>265</v>
      </c>
      <c r="F81" s="213" t="s">
        <v>286</v>
      </c>
      <c r="G81" s="213" t="s">
        <v>286</v>
      </c>
      <c r="H81" s="138"/>
      <c r="I81" s="138"/>
      <c r="J81" s="138"/>
      <c r="K81" s="310"/>
      <c r="L81" s="310"/>
      <c r="M81" s="310"/>
      <c r="N81" s="138"/>
      <c r="O81" s="138"/>
      <c r="P81" s="138"/>
    </row>
    <row r="82" spans="1:16">
      <c r="A82" s="174" t="s">
        <v>136</v>
      </c>
      <c r="B82" s="174">
        <v>10.8</v>
      </c>
      <c r="C82" s="174">
        <v>10.1</v>
      </c>
      <c r="D82" s="24">
        <v>34201700.283921808</v>
      </c>
      <c r="E82" s="24">
        <v>32744292.237442922</v>
      </c>
      <c r="F82" s="174">
        <v>380810.95890410949</v>
      </c>
      <c r="G82" s="174">
        <v>1068386.3013698629</v>
      </c>
      <c r="H82" s="138"/>
      <c r="I82" s="138"/>
      <c r="J82" s="138"/>
      <c r="K82" s="138"/>
      <c r="L82" s="138"/>
      <c r="M82" s="138"/>
      <c r="N82" s="138"/>
      <c r="O82" s="138"/>
      <c r="P82" s="138"/>
    </row>
    <row r="83" spans="1:16">
      <c r="A83" s="24" t="s">
        <v>137</v>
      </c>
      <c r="B83" s="24">
        <v>12.9</v>
      </c>
      <c r="C83" s="24">
        <v>12.1</v>
      </c>
      <c r="D83" s="24">
        <v>40852030.894684382</v>
      </c>
      <c r="E83" s="24">
        <v>39228310.502283104</v>
      </c>
      <c r="F83" s="24">
        <v>454857.53424657526</v>
      </c>
      <c r="G83" s="24">
        <v>1279947.9452054794</v>
      </c>
      <c r="H83" s="138"/>
      <c r="I83" s="138"/>
      <c r="J83" s="138"/>
      <c r="K83" s="138"/>
      <c r="L83" s="138"/>
      <c r="M83" s="138"/>
      <c r="N83" s="138"/>
      <c r="O83" s="138"/>
      <c r="P83" s="138"/>
    </row>
    <row r="84" spans="1:16">
      <c r="A84" s="24" t="s">
        <v>88</v>
      </c>
      <c r="B84" s="24">
        <v>3.7</v>
      </c>
      <c r="C84" s="24">
        <v>3.6</v>
      </c>
      <c r="D84" s="24">
        <v>11717249.171343582</v>
      </c>
      <c r="E84" s="24">
        <v>11671232.87671233</v>
      </c>
      <c r="F84" s="24">
        <v>130463.01369863012</v>
      </c>
      <c r="G84" s="24">
        <v>380810.95890410949</v>
      </c>
      <c r="H84" s="138"/>
      <c r="I84" s="138"/>
      <c r="J84" s="138"/>
      <c r="K84" s="138"/>
      <c r="L84" s="138"/>
      <c r="M84" s="138"/>
      <c r="N84" s="138"/>
      <c r="O84" s="138"/>
      <c r="P84" s="138"/>
    </row>
    <row r="85" spans="1:16">
      <c r="A85" s="24" t="s">
        <v>138</v>
      </c>
      <c r="B85" s="24">
        <v>2.2999999999999998</v>
      </c>
      <c r="C85" s="24">
        <v>1.9</v>
      </c>
      <c r="D85" s="24">
        <v>7283695.4308352005</v>
      </c>
      <c r="E85" s="24">
        <v>6159817.3515981743</v>
      </c>
      <c r="F85" s="24">
        <v>81098.630136986292</v>
      </c>
      <c r="G85" s="24">
        <v>200983.56164383556</v>
      </c>
      <c r="H85" s="138"/>
      <c r="I85" s="138"/>
      <c r="J85" s="138"/>
      <c r="K85" s="138"/>
      <c r="L85" s="138"/>
      <c r="M85" s="138"/>
      <c r="N85" s="138"/>
      <c r="O85" s="138"/>
      <c r="P85" s="138"/>
    </row>
    <row r="86" spans="1:16">
      <c r="A86" s="24" t="s">
        <v>89</v>
      </c>
      <c r="B86" s="24">
        <v>0.6</v>
      </c>
      <c r="C86" s="24">
        <v>0.6</v>
      </c>
      <c r="D86" s="24">
        <v>1900094.4602178782</v>
      </c>
      <c r="E86" s="24">
        <v>1945205.4794520547</v>
      </c>
      <c r="F86" s="24">
        <v>21156.164383561641</v>
      </c>
      <c r="G86" s="24">
        <v>63468.493150684924</v>
      </c>
      <c r="H86" s="138"/>
      <c r="I86" s="138"/>
      <c r="J86" s="138"/>
      <c r="K86" s="138"/>
      <c r="L86" s="138"/>
      <c r="M86" s="138"/>
      <c r="N86" s="138"/>
      <c r="O86" s="138"/>
      <c r="P86" s="138"/>
    </row>
    <row r="87" spans="1:16">
      <c r="A87" s="24" t="s">
        <v>90</v>
      </c>
      <c r="B87" s="24">
        <v>1.8</v>
      </c>
      <c r="C87" s="24">
        <v>1.8</v>
      </c>
      <c r="D87" s="24">
        <v>5700283.3806536347</v>
      </c>
      <c r="E87" s="24">
        <v>5835616.4383561648</v>
      </c>
      <c r="F87" s="24">
        <v>63468.493150684924</v>
      </c>
      <c r="G87" s="24">
        <v>190405.47945205474</v>
      </c>
      <c r="H87" s="138"/>
      <c r="I87" s="138"/>
      <c r="J87" s="138"/>
      <c r="K87" s="138"/>
      <c r="L87" s="138"/>
      <c r="M87" s="138"/>
      <c r="N87" s="138"/>
      <c r="O87" s="138"/>
      <c r="P87" s="138"/>
    </row>
    <row r="88" spans="1:16">
      <c r="A88" s="24" t="s">
        <v>139</v>
      </c>
      <c r="B88" s="24">
        <v>6</v>
      </c>
      <c r="C88" s="24">
        <v>5.6</v>
      </c>
      <c r="D88" s="24">
        <v>19000944.602178782</v>
      </c>
      <c r="E88" s="24">
        <v>18155251.141552512</v>
      </c>
      <c r="F88" s="24">
        <v>211561.64383561639</v>
      </c>
      <c r="G88" s="24">
        <v>592372.60273972596</v>
      </c>
      <c r="H88" s="138"/>
      <c r="I88" s="138"/>
      <c r="J88" s="138"/>
      <c r="K88" s="138"/>
      <c r="L88" s="138"/>
      <c r="M88" s="138"/>
      <c r="N88" s="138"/>
      <c r="O88" s="138"/>
      <c r="P88" s="138"/>
    </row>
    <row r="89" spans="1:16">
      <c r="A89" s="24" t="s">
        <v>140</v>
      </c>
      <c r="B89" s="24">
        <v>1.4</v>
      </c>
      <c r="C89" s="24">
        <v>1.2</v>
      </c>
      <c r="D89" s="24">
        <v>4433553.7405083822</v>
      </c>
      <c r="E89" s="24">
        <v>3890410.9589041094</v>
      </c>
      <c r="F89" s="24">
        <v>49364.383561643823</v>
      </c>
      <c r="G89" s="24">
        <v>126936.98630136985</v>
      </c>
      <c r="H89" s="138"/>
      <c r="I89" s="138"/>
      <c r="J89" s="138"/>
      <c r="K89" s="138"/>
      <c r="L89" s="138"/>
      <c r="M89" s="138"/>
      <c r="N89" s="138"/>
      <c r="O89" s="138"/>
      <c r="P89" s="138"/>
    </row>
    <row r="90" spans="1:16">
      <c r="A90" s="24" t="s">
        <v>141</v>
      </c>
      <c r="B90" s="24">
        <v>7.5</v>
      </c>
      <c r="C90" s="24">
        <v>6.7</v>
      </c>
      <c r="D90" s="24">
        <v>23751180.752723478</v>
      </c>
      <c r="E90" s="24">
        <v>21721461.187214613</v>
      </c>
      <c r="F90" s="24">
        <v>264452.05479452049</v>
      </c>
      <c r="G90" s="24">
        <v>708731.50684931502</v>
      </c>
      <c r="H90" s="138"/>
      <c r="I90" s="138"/>
      <c r="J90" s="138"/>
      <c r="K90" s="138"/>
      <c r="L90" s="138"/>
      <c r="M90" s="138"/>
      <c r="N90" s="138"/>
      <c r="O90" s="138"/>
      <c r="P90" s="138"/>
    </row>
    <row r="91" spans="1:16">
      <c r="A91" s="24" t="s">
        <v>142</v>
      </c>
      <c r="B91" s="24">
        <v>16.899999999999999</v>
      </c>
      <c r="C91" s="24">
        <v>15.3</v>
      </c>
      <c r="D91" s="24">
        <v>53519327.296136901</v>
      </c>
      <c r="E91" s="24">
        <v>49602739.726027399</v>
      </c>
      <c r="F91" s="24">
        <v>595898.63013698626</v>
      </c>
      <c r="G91" s="24">
        <v>1618446.5753424654</v>
      </c>
      <c r="H91" s="138"/>
      <c r="I91" s="138"/>
      <c r="J91" s="138"/>
      <c r="K91" s="138"/>
      <c r="L91" s="138"/>
      <c r="M91" s="138"/>
      <c r="N91" s="138"/>
      <c r="O91" s="138"/>
      <c r="P91" s="138"/>
    </row>
    <row r="92" spans="1:16">
      <c r="A92" s="24" t="s">
        <v>143</v>
      </c>
      <c r="B92" s="24">
        <v>3.8</v>
      </c>
      <c r="C92" s="24">
        <v>3.4</v>
      </c>
      <c r="D92" s="24">
        <v>12033931.581379896</v>
      </c>
      <c r="E92" s="24">
        <v>11022831.050228309</v>
      </c>
      <c r="F92" s="24">
        <v>133989.0410958904</v>
      </c>
      <c r="G92" s="24">
        <v>359654.7945205479</v>
      </c>
      <c r="H92" s="138"/>
      <c r="I92" s="138"/>
      <c r="J92" s="138"/>
      <c r="K92" s="138"/>
      <c r="L92" s="138"/>
      <c r="M92" s="138"/>
      <c r="N92" s="138"/>
      <c r="O92" s="138"/>
      <c r="P92" s="138"/>
    </row>
    <row r="93" spans="1:16">
      <c r="A93" s="24" t="s">
        <v>144</v>
      </c>
      <c r="B93" s="24">
        <v>0.9</v>
      </c>
      <c r="C93" s="24">
        <v>0.8</v>
      </c>
      <c r="D93" s="24">
        <v>2850141.6903268173</v>
      </c>
      <c r="E93" s="24">
        <v>2593607.3059360734</v>
      </c>
      <c r="F93" s="24">
        <v>31734.246575342462</v>
      </c>
      <c r="G93" s="24">
        <v>84624.657534246566</v>
      </c>
      <c r="H93" s="138"/>
      <c r="I93" s="138"/>
      <c r="J93" s="138"/>
      <c r="K93" s="138"/>
      <c r="L93" s="138"/>
      <c r="M93" s="138"/>
      <c r="N93" s="138"/>
      <c r="O93" s="138"/>
      <c r="P93" s="138"/>
    </row>
    <row r="94" spans="1:16">
      <c r="A94" s="24" t="s">
        <v>145</v>
      </c>
      <c r="B94" s="24">
        <v>3.8</v>
      </c>
      <c r="C94" s="24">
        <v>3.3</v>
      </c>
      <c r="D94" s="24">
        <v>12033931.581379896</v>
      </c>
      <c r="E94" s="24">
        <v>10698630.136986302</v>
      </c>
      <c r="F94" s="24">
        <v>133989.0410958904</v>
      </c>
      <c r="G94" s="24">
        <v>349076.71232876705</v>
      </c>
      <c r="H94" s="138"/>
      <c r="I94" s="138"/>
      <c r="J94" s="138"/>
      <c r="K94" s="138"/>
      <c r="L94" s="138"/>
      <c r="M94" s="138"/>
      <c r="N94" s="138"/>
      <c r="O94" s="138"/>
      <c r="P94" s="138"/>
    </row>
    <row r="95" spans="1:16">
      <c r="A95" s="24" t="s">
        <v>146</v>
      </c>
      <c r="B95" s="24">
        <v>1.9</v>
      </c>
      <c r="C95" s="24">
        <v>1.6</v>
      </c>
      <c r="D95" s="24">
        <v>6016965.790689948</v>
      </c>
      <c r="E95" s="24">
        <v>5187214.6118721468</v>
      </c>
      <c r="F95" s="24">
        <v>66994.520547945198</v>
      </c>
      <c r="G95" s="24">
        <v>169249.31506849313</v>
      </c>
      <c r="H95" s="138"/>
      <c r="I95" s="138"/>
      <c r="J95" s="138"/>
      <c r="K95" s="138"/>
      <c r="L95" s="138"/>
      <c r="M95" s="138"/>
      <c r="N95" s="138"/>
      <c r="O95" s="138"/>
      <c r="P95" s="138"/>
    </row>
    <row r="96" spans="1:16">
      <c r="A96" s="24" t="s">
        <v>147</v>
      </c>
      <c r="B96" s="24">
        <v>2.8</v>
      </c>
      <c r="C96" s="24">
        <v>2.4</v>
      </c>
      <c r="D96" s="24">
        <v>8867107.4810167644</v>
      </c>
      <c r="E96" s="24">
        <v>7780821.9178082189</v>
      </c>
      <c r="F96" s="24">
        <v>98728.767123287646</v>
      </c>
      <c r="G96" s="24">
        <v>253873.9726027397</v>
      </c>
      <c r="H96" s="138"/>
      <c r="I96" s="138"/>
      <c r="J96" s="138"/>
      <c r="K96" s="138"/>
      <c r="L96" s="138"/>
      <c r="M96" s="138"/>
      <c r="N96" s="138"/>
      <c r="O96" s="138"/>
      <c r="P96" s="138"/>
    </row>
    <row r="97" spans="1:16" ht="16" thickBot="1">
      <c r="A97" s="175" t="s">
        <v>148</v>
      </c>
      <c r="B97" s="175">
        <v>1.9</v>
      </c>
      <c r="C97" s="175">
        <v>1.6</v>
      </c>
      <c r="D97" s="175">
        <v>6016965.790689948</v>
      </c>
      <c r="E97" s="175">
        <v>5187214.6118721468</v>
      </c>
      <c r="F97" s="175">
        <v>66994.520547945198</v>
      </c>
      <c r="G97" s="175">
        <v>169249.31506849313</v>
      </c>
      <c r="H97" s="138"/>
      <c r="I97" s="138"/>
      <c r="J97" s="138"/>
      <c r="K97" s="138"/>
      <c r="L97" s="138"/>
      <c r="M97" s="138"/>
      <c r="N97" s="138"/>
      <c r="O97" s="138"/>
      <c r="P97" s="138"/>
    </row>
    <row r="98" spans="1:16">
      <c r="A98" s="180" t="s">
        <v>134</v>
      </c>
      <c r="B98" s="170">
        <f t="shared" ref="B98:C98" si="9">SUM(B82:B97)</f>
        <v>79.000000000000014</v>
      </c>
      <c r="C98" s="170">
        <f t="shared" si="9"/>
        <v>72</v>
      </c>
      <c r="D98" s="170">
        <v>250179103.92868727</v>
      </c>
      <c r="E98" s="170">
        <v>233424657.53424653</v>
      </c>
      <c r="F98" s="170">
        <v>2785561.6438356158</v>
      </c>
      <c r="G98" s="170">
        <v>7616219.1780821905</v>
      </c>
      <c r="H98" s="138"/>
      <c r="I98" s="138"/>
      <c r="J98" s="138"/>
      <c r="K98" s="138"/>
      <c r="L98" s="138"/>
      <c r="M98" s="138"/>
      <c r="N98" s="138"/>
      <c r="O98" s="138"/>
      <c r="P98" s="138"/>
    </row>
  </sheetData>
  <mergeCells count="35">
    <mergeCell ref="P25:P26"/>
    <mergeCell ref="P79:P80"/>
    <mergeCell ref="B79:C79"/>
    <mergeCell ref="D79:E79"/>
    <mergeCell ref="F79:G79"/>
    <mergeCell ref="K79:K81"/>
    <mergeCell ref="L79:L81"/>
    <mergeCell ref="M79:M81"/>
    <mergeCell ref="N79:N80"/>
    <mergeCell ref="O79:O80"/>
    <mergeCell ref="O25:O26"/>
    <mergeCell ref="G2:K2"/>
    <mergeCell ref="A79:A81"/>
    <mergeCell ref="H79:H80"/>
    <mergeCell ref="I79:I80"/>
    <mergeCell ref="J79:J80"/>
    <mergeCell ref="A52:A54"/>
    <mergeCell ref="B52:D52"/>
    <mergeCell ref="E52:F52"/>
    <mergeCell ref="L2:P2"/>
    <mergeCell ref="B1:P1"/>
    <mergeCell ref="A25:A27"/>
    <mergeCell ref="B26:C26"/>
    <mergeCell ref="D26:E26"/>
    <mergeCell ref="F26:G26"/>
    <mergeCell ref="B25:G25"/>
    <mergeCell ref="K25:K27"/>
    <mergeCell ref="H25:H26"/>
    <mergeCell ref="L25:L27"/>
    <mergeCell ref="M25:M27"/>
    <mergeCell ref="N25:N26"/>
    <mergeCell ref="I25:I26"/>
    <mergeCell ref="J25:J26"/>
    <mergeCell ref="A1:A3"/>
    <mergeCell ref="B2:F2"/>
  </mergeCells>
  <hyperlinks>
    <hyperlink ref="A73" r:id="rId1" xr:uid="{00000000-0004-0000-0500-000000000000}"/>
    <hyperlink ref="C76" r:id="rId2" xr:uid="{00000000-0004-0000-0500-000001000000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2"/>
  <sheetViews>
    <sheetView zoomScale="85" zoomScaleNormal="85" zoomScalePageLayoutView="85" workbookViewId="0">
      <pane xSplit="2" topLeftCell="C1" activePane="topRight" state="frozen"/>
      <selection pane="topRight" activeCell="A4" sqref="A4:A19"/>
    </sheetView>
  </sheetViews>
  <sheetFormatPr baseColWidth="10" defaultColWidth="8.83203125" defaultRowHeight="15"/>
  <cols>
    <col min="2" max="2" width="37.1640625" customWidth="1"/>
    <col min="3" max="3" width="16" customWidth="1"/>
    <col min="4" max="4" width="14.1640625" customWidth="1"/>
    <col min="5" max="8" width="17.5" customWidth="1"/>
    <col min="9" max="9" width="21.33203125" customWidth="1"/>
    <col min="10" max="10" width="21.83203125" customWidth="1"/>
    <col min="11" max="11" width="25.33203125" customWidth="1"/>
    <col min="12" max="12" width="22.83203125" customWidth="1"/>
    <col min="13" max="13" width="25.5" customWidth="1"/>
    <col min="14" max="14" width="26.5" customWidth="1"/>
    <col min="15" max="15" width="24.33203125" customWidth="1"/>
    <col min="16" max="16" width="22.1640625" customWidth="1"/>
    <col min="17" max="17" width="27" customWidth="1"/>
  </cols>
  <sheetData>
    <row r="1" spans="1:17" ht="16">
      <c r="A1" s="318" t="s">
        <v>169</v>
      </c>
      <c r="B1" s="318"/>
      <c r="C1" s="131"/>
      <c r="D1" s="131"/>
      <c r="E1" s="131"/>
      <c r="F1" s="39"/>
      <c r="G1" s="39"/>
      <c r="H1" s="39"/>
    </row>
    <row r="2" spans="1:17">
      <c r="A2" s="319" t="s">
        <v>150</v>
      </c>
      <c r="B2" s="321" t="s">
        <v>151</v>
      </c>
      <c r="C2" s="323" t="s">
        <v>152</v>
      </c>
      <c r="D2" s="323"/>
      <c r="E2" s="323"/>
      <c r="F2" s="323"/>
      <c r="G2" s="323"/>
      <c r="H2" s="323"/>
      <c r="I2" s="324" t="s">
        <v>211</v>
      </c>
      <c r="J2" s="326" t="s">
        <v>214</v>
      </c>
      <c r="K2" s="314" t="s">
        <v>215</v>
      </c>
      <c r="L2" s="314" t="s">
        <v>217</v>
      </c>
      <c r="M2" s="314" t="s">
        <v>221</v>
      </c>
      <c r="N2" s="314" t="s">
        <v>220</v>
      </c>
      <c r="O2" s="324" t="s">
        <v>171</v>
      </c>
    </row>
    <row r="3" spans="1:17" ht="30" customHeight="1">
      <c r="A3" s="320"/>
      <c r="B3" s="322"/>
      <c r="C3" s="110" t="s">
        <v>172</v>
      </c>
      <c r="D3" s="110" t="s">
        <v>213</v>
      </c>
      <c r="E3" s="110" t="s">
        <v>212</v>
      </c>
      <c r="F3" s="137" t="s">
        <v>222</v>
      </c>
      <c r="G3" s="110" t="s">
        <v>170</v>
      </c>
      <c r="H3" s="110" t="s">
        <v>173</v>
      </c>
      <c r="I3" s="325"/>
      <c r="J3" s="327"/>
      <c r="K3" s="328"/>
      <c r="L3" s="315"/>
      <c r="M3" s="315"/>
      <c r="N3" s="329"/>
      <c r="O3" s="325"/>
    </row>
    <row r="4" spans="1:17" ht="16">
      <c r="A4" s="119" t="s">
        <v>153</v>
      </c>
      <c r="B4" s="120" t="s">
        <v>136</v>
      </c>
      <c r="C4" s="121">
        <v>13.041</v>
      </c>
      <c r="D4" s="122">
        <v>2.3109052000000001</v>
      </c>
      <c r="E4" s="123">
        <v>13.028152800000001</v>
      </c>
      <c r="F4" s="121">
        <f>H4*8.14</f>
        <v>0</v>
      </c>
      <c r="G4" s="124">
        <v>1994.85616</v>
      </c>
      <c r="H4" s="121">
        <v>0</v>
      </c>
      <c r="I4" s="122">
        <v>10879600</v>
      </c>
      <c r="J4" s="43">
        <f>I4/$I$20</f>
        <v>0.1323943696250838</v>
      </c>
      <c r="K4" s="125">
        <f>J4*$K$20</f>
        <v>9678028.4195936266</v>
      </c>
      <c r="L4" s="115">
        <f>J4*$L$20</f>
        <v>10710704.50266928</v>
      </c>
      <c r="M4" s="115">
        <f>J4*$M$20</f>
        <v>10765694.901276167</v>
      </c>
      <c r="N4" s="115">
        <f>K4/3*$C$25/365</f>
        <v>30934337.414226204</v>
      </c>
      <c r="O4" s="132">
        <v>366620</v>
      </c>
      <c r="P4">
        <f>(D4+E4)*1000000-N4</f>
        <v>-15595279.414226202</v>
      </c>
      <c r="Q4">
        <v>1.0665619333825866E-2</v>
      </c>
    </row>
    <row r="5" spans="1:17" ht="16">
      <c r="A5" s="126" t="s">
        <v>154</v>
      </c>
      <c r="B5" s="109" t="s">
        <v>137</v>
      </c>
      <c r="C5" s="111">
        <v>23.846</v>
      </c>
      <c r="D5" s="112">
        <v>7.5939826500000001</v>
      </c>
      <c r="E5" s="113">
        <v>29.045498200000001</v>
      </c>
      <c r="F5" s="111">
        <f t="shared" ref="F5:F20" si="0">H5*8.14</f>
        <v>0</v>
      </c>
      <c r="G5" s="114">
        <v>4621.4799999999996</v>
      </c>
      <c r="H5" s="111">
        <v>0</v>
      </c>
      <c r="I5" s="116">
        <v>12843500</v>
      </c>
      <c r="J5" s="24">
        <f t="shared" ref="J5:J19" si="1">I5/$I$20</f>
        <v>0.15629316209049635</v>
      </c>
      <c r="K5" s="115">
        <f t="shared" ref="K5:K19" si="2">J5*$K$20</f>
        <v>11425030.148815284</v>
      </c>
      <c r="L5" s="115">
        <f t="shared" ref="L5:L19" si="3">J5*$L$20</f>
        <v>12644116.813121155</v>
      </c>
      <c r="M5" s="115">
        <f t="shared" ref="M5:M19" si="4">J5*$M$20</f>
        <v>12709033.646874929</v>
      </c>
      <c r="N5" s="115">
        <f t="shared" ref="N5:N19" si="5">K5/3*$C$25/365</f>
        <v>36518361.2062589</v>
      </c>
      <c r="O5" s="133">
        <v>434660</v>
      </c>
      <c r="P5" s="138">
        <f t="shared" ref="P5:P19" si="6">(D5+E5)*1000000-N5</f>
        <v>121119.64374110103</v>
      </c>
      <c r="Q5">
        <v>3.5048832002148131E-2</v>
      </c>
    </row>
    <row r="6" spans="1:17" ht="16">
      <c r="A6" s="126" t="s">
        <v>155</v>
      </c>
      <c r="B6" s="109" t="s">
        <v>88</v>
      </c>
      <c r="C6" s="111">
        <v>0.624</v>
      </c>
      <c r="D6" s="112">
        <v>3.2917410000000001E-2</v>
      </c>
      <c r="E6" s="113">
        <v>0.16884093</v>
      </c>
      <c r="F6" s="111">
        <f t="shared" si="0"/>
        <v>0</v>
      </c>
      <c r="G6" s="114">
        <v>0</v>
      </c>
      <c r="H6" s="111">
        <v>0</v>
      </c>
      <c r="I6" s="112">
        <v>3520000</v>
      </c>
      <c r="J6" s="24">
        <f t="shared" si="1"/>
        <v>4.2835047343679461E-2</v>
      </c>
      <c r="K6" s="115">
        <f t="shared" si="2"/>
        <v>3131241.9608229687</v>
      </c>
      <c r="L6" s="115">
        <f t="shared" si="3"/>
        <v>3465355.3301036684</v>
      </c>
      <c r="M6" s="115">
        <f t="shared" si="4"/>
        <v>3483146.9955230076</v>
      </c>
      <c r="N6" s="115">
        <f t="shared" si="5"/>
        <v>10008535.947835973</v>
      </c>
      <c r="O6" s="133">
        <v>118000</v>
      </c>
      <c r="P6" s="138">
        <f t="shared" si="6"/>
        <v>-9806777.6078359727</v>
      </c>
      <c r="Q6">
        <v>1.5192513060533416E-4</v>
      </c>
    </row>
    <row r="7" spans="1:17" ht="16">
      <c r="A7" s="126" t="s">
        <v>156</v>
      </c>
      <c r="B7" s="109" t="s">
        <v>138</v>
      </c>
      <c r="C7" s="111">
        <v>7.0869999999999997</v>
      </c>
      <c r="D7" s="112">
        <v>26.7533104</v>
      </c>
      <c r="E7" s="113">
        <v>7.8883186700000003</v>
      </c>
      <c r="F7" s="111">
        <f>H7*8.14</f>
        <v>780547945.2054795</v>
      </c>
      <c r="G7" s="114">
        <v>1919.7479499999999</v>
      </c>
      <c r="H7" s="117">
        <f>(22000000+13000000)/365*1000</f>
        <v>95890410.958904102</v>
      </c>
      <c r="I7" s="112">
        <v>2484800</v>
      </c>
      <c r="J7" s="24">
        <f t="shared" si="1"/>
        <v>3.0237649329424635E-2</v>
      </c>
      <c r="K7" s="115">
        <f t="shared" si="2"/>
        <v>2210372.1659809407</v>
      </c>
      <c r="L7" s="115">
        <f t="shared" si="3"/>
        <v>2446225.8307504528</v>
      </c>
      <c r="M7" s="115">
        <f t="shared" si="4"/>
        <v>2458785.1291123773</v>
      </c>
      <c r="N7" s="115">
        <f t="shared" si="5"/>
        <v>7065116.5122678466</v>
      </c>
      <c r="O7" s="133">
        <v>84460</v>
      </c>
      <c r="P7" s="138">
        <f t="shared" si="6"/>
        <v>27576512.557732154</v>
      </c>
      <c r="Q7">
        <v>0.12347569454601763</v>
      </c>
    </row>
    <row r="8" spans="1:17" ht="16">
      <c r="A8" s="126" t="s">
        <v>157</v>
      </c>
      <c r="B8" s="109" t="s">
        <v>89</v>
      </c>
      <c r="C8" s="111">
        <v>1.024</v>
      </c>
      <c r="D8" s="112">
        <v>0.99053579000000003</v>
      </c>
      <c r="E8" s="113">
        <v>7.6389739999999998E-2</v>
      </c>
      <c r="F8" s="111">
        <f t="shared" si="0"/>
        <v>0</v>
      </c>
      <c r="G8" s="114">
        <v>0</v>
      </c>
      <c r="H8" s="111">
        <v>0</v>
      </c>
      <c r="I8" s="112">
        <v>671500</v>
      </c>
      <c r="J8" s="24">
        <f t="shared" si="1"/>
        <v>8.1715154236593063E-3</v>
      </c>
      <c r="K8" s="115">
        <f t="shared" si="2"/>
        <v>597337.77746949531</v>
      </c>
      <c r="L8" s="115">
        <f t="shared" si="3"/>
        <v>661075.59777403786</v>
      </c>
      <c r="M8" s="115">
        <f t="shared" si="4"/>
        <v>664469.66121980106</v>
      </c>
      <c r="N8" s="115">
        <f t="shared" si="5"/>
        <v>1909298.832094277</v>
      </c>
      <c r="O8" s="133">
        <v>22670</v>
      </c>
      <c r="P8" s="138">
        <f t="shared" si="6"/>
        <v>-842373.30209427699</v>
      </c>
      <c r="Q8">
        <v>4.5716620572307303E-3</v>
      </c>
    </row>
    <row r="9" spans="1:17" ht="16">
      <c r="A9" s="126" t="s">
        <v>158</v>
      </c>
      <c r="B9" s="109" t="s">
        <v>90</v>
      </c>
      <c r="C9" s="111">
        <v>1.095</v>
      </c>
      <c r="D9" s="112">
        <v>0.29404926999999997</v>
      </c>
      <c r="E9" s="113">
        <v>7.0860149999999997E-2</v>
      </c>
      <c r="F9" s="111">
        <f t="shared" si="0"/>
        <v>0</v>
      </c>
      <c r="G9" s="114">
        <v>0</v>
      </c>
      <c r="H9" s="111">
        <v>0</v>
      </c>
      <c r="I9" s="112">
        <v>1787400</v>
      </c>
      <c r="J9" s="24">
        <f t="shared" si="1"/>
        <v>2.1750955574458143E-2</v>
      </c>
      <c r="K9" s="115">
        <f t="shared" si="2"/>
        <v>1589994.8524928903</v>
      </c>
      <c r="L9" s="115">
        <f t="shared" si="3"/>
        <v>1759652.3059736637</v>
      </c>
      <c r="M9" s="115">
        <f t="shared" si="4"/>
        <v>1768686.6306243816</v>
      </c>
      <c r="N9" s="115">
        <f t="shared" si="5"/>
        <v>5082175.3276028465</v>
      </c>
      <c r="O9" s="133">
        <v>60220</v>
      </c>
      <c r="P9" s="138">
        <f t="shared" si="6"/>
        <v>-4717265.9076028466</v>
      </c>
      <c r="Q9">
        <v>1.3571381163532104E-3</v>
      </c>
    </row>
    <row r="10" spans="1:17" ht="16">
      <c r="A10" s="126" t="s">
        <v>159</v>
      </c>
      <c r="B10" s="109" t="s">
        <v>139</v>
      </c>
      <c r="C10" s="111">
        <v>5.2460000000000004</v>
      </c>
      <c r="D10" s="112">
        <v>5.7698384799999998</v>
      </c>
      <c r="E10" s="113">
        <v>4.29189387</v>
      </c>
      <c r="F10" s="111">
        <f t="shared" si="0"/>
        <v>0</v>
      </c>
      <c r="G10" s="114">
        <v>1129.0326</v>
      </c>
      <c r="H10" s="111">
        <v>0</v>
      </c>
      <c r="I10" s="112">
        <v>6176200</v>
      </c>
      <c r="J10" s="24">
        <f t="shared" si="1"/>
        <v>7.5158471421600301E-2</v>
      </c>
      <c r="K10" s="115">
        <f t="shared" si="2"/>
        <v>5494084.2609189823</v>
      </c>
      <c r="L10" s="115">
        <f t="shared" si="3"/>
        <v>6080320.3380074641</v>
      </c>
      <c r="M10" s="115">
        <f t="shared" si="4"/>
        <v>6111537.6345878402</v>
      </c>
      <c r="N10" s="115">
        <f t="shared" si="5"/>
        <v>17560999.920745607</v>
      </c>
      <c r="O10" s="133">
        <v>208475</v>
      </c>
      <c r="P10" s="138">
        <f t="shared" si="6"/>
        <v>-7499267.5707456078</v>
      </c>
      <c r="Q10">
        <v>2.6629781609284031E-2</v>
      </c>
    </row>
    <row r="11" spans="1:17" ht="16">
      <c r="A11" s="126" t="s">
        <v>160</v>
      </c>
      <c r="B11" s="109" t="s">
        <v>140</v>
      </c>
      <c r="C11" s="111">
        <v>6.69</v>
      </c>
      <c r="D11" s="112">
        <v>17.026198000000001</v>
      </c>
      <c r="E11" s="113">
        <v>3.2876214500000001</v>
      </c>
      <c r="F11" s="111">
        <f t="shared" si="0"/>
        <v>0</v>
      </c>
      <c r="G11" s="114">
        <v>4389.9778100000003</v>
      </c>
      <c r="H11" s="111">
        <v>0</v>
      </c>
      <c r="I11" s="112">
        <v>1612400</v>
      </c>
      <c r="J11" s="24">
        <f t="shared" si="1"/>
        <v>1.9621372254814987E-2</v>
      </c>
      <c r="K11" s="115">
        <f t="shared" si="2"/>
        <v>1434322.3118269756</v>
      </c>
      <c r="L11" s="115">
        <f t="shared" si="3"/>
        <v>1587369.0154145325</v>
      </c>
      <c r="M11" s="115">
        <f t="shared" si="4"/>
        <v>1595518.8112446866</v>
      </c>
      <c r="N11" s="115">
        <f t="shared" si="5"/>
        <v>4584591.8642871371</v>
      </c>
      <c r="O11" s="133">
        <v>55055</v>
      </c>
      <c r="P11" s="138">
        <f t="shared" si="6"/>
        <v>15729227.585712861</v>
      </c>
      <c r="Q11">
        <v>7.8581737772158489E-2</v>
      </c>
    </row>
    <row r="12" spans="1:17" ht="16">
      <c r="A12" s="126" t="s">
        <v>161</v>
      </c>
      <c r="B12" s="109" t="s">
        <v>141</v>
      </c>
      <c r="C12" s="111">
        <v>24.95</v>
      </c>
      <c r="D12" s="112">
        <v>62.640719300000001</v>
      </c>
      <c r="E12" s="113">
        <v>7.8955656000000003</v>
      </c>
      <c r="F12" s="111">
        <f t="shared" si="0"/>
        <v>0</v>
      </c>
      <c r="G12" s="114">
        <v>5344.13753</v>
      </c>
      <c r="H12" s="111">
        <v>0</v>
      </c>
      <c r="I12" s="112">
        <v>7926600</v>
      </c>
      <c r="J12" s="24">
        <f t="shared" si="1"/>
        <v>9.6459172237048182E-2</v>
      </c>
      <c r="K12" s="115">
        <f t="shared" si="2"/>
        <v>7051165.4905282222</v>
      </c>
      <c r="L12" s="115">
        <f t="shared" si="3"/>
        <v>7803547.0339771984</v>
      </c>
      <c r="M12" s="115">
        <f t="shared" si="4"/>
        <v>7843611.6405433724</v>
      </c>
      <c r="N12" s="115">
        <f t="shared" si="5"/>
        <v>22537971.887533128</v>
      </c>
      <c r="O12" s="133">
        <v>268660</v>
      </c>
      <c r="P12" s="138">
        <f t="shared" si="6"/>
        <v>47998313.012466863</v>
      </c>
      <c r="Q12">
        <v>0.28910838322620686</v>
      </c>
    </row>
    <row r="13" spans="1:17" ht="16">
      <c r="A13" s="126" t="s">
        <v>162</v>
      </c>
      <c r="B13" s="109" t="s">
        <v>142</v>
      </c>
      <c r="C13" s="111">
        <v>17.863</v>
      </c>
      <c r="D13" s="112">
        <v>18.9266811</v>
      </c>
      <c r="E13" s="113">
        <v>9.7138965000000006</v>
      </c>
      <c r="F13" s="111">
        <f t="shared" si="0"/>
        <v>2385354520.5479455</v>
      </c>
      <c r="G13" s="114">
        <v>2186.9457499999999</v>
      </c>
      <c r="H13" s="115">
        <f>(3000000+1960000+40000000+40000000+22000000)/365*1000</f>
        <v>293041095.89041096</v>
      </c>
      <c r="I13" s="112">
        <v>17865500</v>
      </c>
      <c r="J13" s="24">
        <f t="shared" si="1"/>
        <v>0.21740611884048447</v>
      </c>
      <c r="K13" s="115">
        <f t="shared" si="2"/>
        <v>15892387.287239416</v>
      </c>
      <c r="L13" s="115">
        <f t="shared" si="3"/>
        <v>17588155.014195193</v>
      </c>
      <c r="M13" s="115">
        <f t="shared" si="4"/>
        <v>17678455.297873944</v>
      </c>
      <c r="N13" s="115">
        <f t="shared" si="5"/>
        <v>50797584.936381698</v>
      </c>
      <c r="O13" s="133">
        <v>605960</v>
      </c>
      <c r="P13" s="138">
        <f t="shared" si="6"/>
        <v>-22157007.336381696</v>
      </c>
      <c r="Q13">
        <v>8.7353118402667837E-2</v>
      </c>
    </row>
    <row r="14" spans="1:17" ht="16">
      <c r="A14" s="126" t="s">
        <v>163</v>
      </c>
      <c r="B14" s="109" t="s">
        <v>143</v>
      </c>
      <c r="C14" s="111">
        <v>3.008</v>
      </c>
      <c r="D14" s="112">
        <v>13.8133394</v>
      </c>
      <c r="E14" s="113">
        <v>4.6011917200000001</v>
      </c>
      <c r="F14" s="111">
        <f t="shared" si="0"/>
        <v>0</v>
      </c>
      <c r="G14" s="114">
        <v>627.98301400000003</v>
      </c>
      <c r="H14" s="111">
        <v>0</v>
      </c>
      <c r="I14" s="112">
        <v>4052800</v>
      </c>
      <c r="J14" s="24">
        <f t="shared" si="1"/>
        <v>4.9318715873427302E-2</v>
      </c>
      <c r="K14" s="115">
        <f t="shared" si="2"/>
        <v>3605198.1303475359</v>
      </c>
      <c r="L14" s="115">
        <f t="shared" si="3"/>
        <v>3989884.1141602686</v>
      </c>
      <c r="M14" s="115">
        <f t="shared" si="4"/>
        <v>4010368.7907544444</v>
      </c>
      <c r="N14" s="115">
        <f t="shared" si="5"/>
        <v>11523464.343576599</v>
      </c>
      <c r="O14" s="133">
        <v>137750</v>
      </c>
      <c r="P14" s="138">
        <f t="shared" si="6"/>
        <v>6891066.7764234021</v>
      </c>
      <c r="Q14">
        <v>6.3753294193416618E-2</v>
      </c>
    </row>
    <row r="15" spans="1:17" ht="16">
      <c r="A15" s="126" t="s">
        <v>164</v>
      </c>
      <c r="B15" s="109" t="s">
        <v>144</v>
      </c>
      <c r="C15" s="111">
        <v>0.55000000000000004</v>
      </c>
      <c r="D15" s="112">
        <v>1.33432057</v>
      </c>
      <c r="E15" s="113">
        <v>0.99935487000000001</v>
      </c>
      <c r="F15" s="111">
        <f t="shared" si="0"/>
        <v>0</v>
      </c>
      <c r="G15" s="114">
        <v>62.013698599999998</v>
      </c>
      <c r="H15" s="111">
        <v>0</v>
      </c>
      <c r="I15" s="112">
        <v>995600</v>
      </c>
      <c r="J15" s="24">
        <f t="shared" si="1"/>
        <v>1.2115503731638428E-2</v>
      </c>
      <c r="K15" s="115">
        <f t="shared" si="2"/>
        <v>885643.3227827691</v>
      </c>
      <c r="L15" s="115">
        <f t="shared" si="3"/>
        <v>980144.25188954885</v>
      </c>
      <c r="M15" s="115">
        <f t="shared" si="4"/>
        <v>985176.46271099604</v>
      </c>
      <c r="N15" s="115">
        <f t="shared" si="5"/>
        <v>2830823.4061549702</v>
      </c>
      <c r="O15" s="133">
        <v>34160</v>
      </c>
      <c r="P15" s="138">
        <f t="shared" si="6"/>
        <v>-497147.96615497023</v>
      </c>
      <c r="Q15">
        <v>6.1583466426061951E-3</v>
      </c>
    </row>
    <row r="16" spans="1:17" ht="16">
      <c r="A16" s="126" t="s">
        <v>165</v>
      </c>
      <c r="B16" s="109" t="s">
        <v>145</v>
      </c>
      <c r="C16" s="111">
        <v>5.3719999999999999</v>
      </c>
      <c r="D16" s="112">
        <v>5.3129844400000001</v>
      </c>
      <c r="E16" s="113">
        <v>4.2168374799999997</v>
      </c>
      <c r="F16" s="111">
        <f t="shared" si="0"/>
        <v>780547945.2054795</v>
      </c>
      <c r="G16" s="114">
        <v>2455.6608200000001</v>
      </c>
      <c r="H16" s="118">
        <f>(16200000+9700000+9100000)/365*1000</f>
        <v>95890410.958904102</v>
      </c>
      <c r="I16" s="112">
        <v>4084900</v>
      </c>
      <c r="J16" s="24">
        <f t="shared" si="1"/>
        <v>4.9709342299487563E-2</v>
      </c>
      <c r="K16" s="115">
        <f t="shared" si="2"/>
        <v>3633752.9220925407</v>
      </c>
      <c r="L16" s="115">
        <f t="shared" si="3"/>
        <v>4021485.792028544</v>
      </c>
      <c r="M16" s="115">
        <f t="shared" si="4"/>
        <v>4042132.716480663</v>
      </c>
      <c r="N16" s="115">
        <f t="shared" si="5"/>
        <v>11614735.367419081</v>
      </c>
      <c r="O16" s="133">
        <v>139540</v>
      </c>
      <c r="P16" s="138">
        <f t="shared" si="6"/>
        <v>-2084913.4474190809</v>
      </c>
      <c r="Q16">
        <v>2.4521243670266889E-2</v>
      </c>
    </row>
    <row r="17" spans="1:17" ht="16">
      <c r="A17" s="126" t="s">
        <v>166</v>
      </c>
      <c r="B17" s="109" t="s">
        <v>146</v>
      </c>
      <c r="C17" s="111">
        <v>8.6980000000000004</v>
      </c>
      <c r="D17" s="112">
        <v>21.4969435</v>
      </c>
      <c r="E17" s="113">
        <v>4.8975323900000003</v>
      </c>
      <c r="F17" s="111">
        <f t="shared" si="0"/>
        <v>211863013.69863015</v>
      </c>
      <c r="G17" s="114">
        <v>3072.9035600000002</v>
      </c>
      <c r="H17" s="117">
        <f>(9000000+500000)/365*1000</f>
        <v>26027397.260273974</v>
      </c>
      <c r="I17" s="112">
        <v>2245500</v>
      </c>
      <c r="J17" s="24">
        <f t="shared" si="1"/>
        <v>2.732559625290688E-2</v>
      </c>
      <c r="K17" s="115">
        <f t="shared" si="2"/>
        <v>1997501.086087493</v>
      </c>
      <c r="L17" s="115">
        <f t="shared" si="3"/>
        <v>2210640.7368601668</v>
      </c>
      <c r="M17" s="115">
        <f t="shared" si="4"/>
        <v>2221990.5052406001</v>
      </c>
      <c r="N17" s="115">
        <f t="shared" si="5"/>
        <v>6384706.6678595673</v>
      </c>
      <c r="O17" s="133">
        <v>77400</v>
      </c>
      <c r="P17" s="138">
        <f t="shared" si="6"/>
        <v>20009769.222140439</v>
      </c>
      <c r="Q17">
        <v>9.9215760234023204E-2</v>
      </c>
    </row>
    <row r="18" spans="1:17" ht="16">
      <c r="A18" s="126" t="s">
        <v>167</v>
      </c>
      <c r="B18" s="109" t="s">
        <v>147</v>
      </c>
      <c r="C18" s="111">
        <v>8.1150000000000002</v>
      </c>
      <c r="D18" s="112">
        <v>26.390401199999999</v>
      </c>
      <c r="E18" s="113">
        <v>3.3989123399999999</v>
      </c>
      <c r="F18" s="111">
        <f t="shared" si="0"/>
        <v>0</v>
      </c>
      <c r="G18" s="114">
        <v>2911.4438399999999</v>
      </c>
      <c r="H18" s="111">
        <v>0</v>
      </c>
      <c r="I18" s="112">
        <v>2858700</v>
      </c>
      <c r="J18" s="24">
        <f t="shared" si="1"/>
        <v>3.4787656204936498E-2</v>
      </c>
      <c r="K18" s="115">
        <f t="shared" si="2"/>
        <v>2542977.668580858</v>
      </c>
      <c r="L18" s="115">
        <f t="shared" si="3"/>
        <v>2814321.3869793629</v>
      </c>
      <c r="M18" s="115">
        <f t="shared" si="4"/>
        <v>2828770.5443470515</v>
      </c>
      <c r="N18" s="115">
        <f t="shared" si="5"/>
        <v>8128239.1233178116</v>
      </c>
      <c r="O18" s="133">
        <v>97110</v>
      </c>
      <c r="P18" s="138">
        <f t="shared" si="6"/>
        <v>21661074.416682187</v>
      </c>
      <c r="Q18">
        <v>0.12180074397297259</v>
      </c>
    </row>
    <row r="19" spans="1:17" ht="16">
      <c r="A19" s="126" t="s">
        <v>168</v>
      </c>
      <c r="B19" s="109" t="s">
        <v>148</v>
      </c>
      <c r="C19" s="111">
        <v>5.2380000000000004</v>
      </c>
      <c r="D19" s="112">
        <v>5.9815101899999998</v>
      </c>
      <c r="E19" s="113">
        <v>2.8895481699999999</v>
      </c>
      <c r="F19" s="111">
        <f t="shared" si="0"/>
        <v>0</v>
      </c>
      <c r="G19" s="114">
        <v>2255.6128800000001</v>
      </c>
      <c r="H19" s="111">
        <v>0</v>
      </c>
      <c r="I19" s="112">
        <v>2170700</v>
      </c>
      <c r="J19" s="24">
        <f t="shared" si="1"/>
        <v>2.6415351496853694E-2</v>
      </c>
      <c r="K19" s="115">
        <f t="shared" si="2"/>
        <v>1930962.194420005</v>
      </c>
      <c r="L19" s="115">
        <f t="shared" si="3"/>
        <v>2137001.936095464</v>
      </c>
      <c r="M19" s="115">
        <f t="shared" si="4"/>
        <v>2147973.6315857363</v>
      </c>
      <c r="N19" s="115">
        <f t="shared" si="5"/>
        <v>6172025.278968052</v>
      </c>
      <c r="O19" s="133">
        <v>74520</v>
      </c>
      <c r="P19" s="138">
        <f t="shared" si="6"/>
        <v>2699033.0810319474</v>
      </c>
      <c r="Q19">
        <v>2.7606719090216256E-2</v>
      </c>
    </row>
    <row r="20" spans="1:17" ht="16">
      <c r="A20" s="127" t="s">
        <v>134</v>
      </c>
      <c r="B20" s="128"/>
      <c r="C20" s="129">
        <f>SUM(C4:C19)</f>
        <v>132.447</v>
      </c>
      <c r="D20" s="129">
        <f>SUM(D4:D19)</f>
        <v>216.66863689999997</v>
      </c>
      <c r="E20" s="129">
        <f>SUM(E4:E19)</f>
        <v>96.470414880000007</v>
      </c>
      <c r="F20" s="135">
        <f t="shared" si="0"/>
        <v>4158313424.6575341</v>
      </c>
      <c r="G20" s="129">
        <f>SUM(G4:G19)</f>
        <v>32971.795612599999</v>
      </c>
      <c r="H20" s="129">
        <f>SUM(H4:H19)</f>
        <v>510849315.06849313</v>
      </c>
      <c r="I20" s="129">
        <f>SUM(I4:I19)</f>
        <v>82175700</v>
      </c>
      <c r="J20" s="56"/>
      <c r="K20" s="130">
        <v>73100000</v>
      </c>
      <c r="L20" s="130">
        <v>80900000</v>
      </c>
      <c r="M20" s="129">
        <v>81315353</v>
      </c>
      <c r="N20" s="130">
        <f>SUM(N4:N19)</f>
        <v>233652968.03652972</v>
      </c>
      <c r="O20" s="134">
        <f>SUM(O4:O19)</f>
        <v>2785260</v>
      </c>
      <c r="P20" s="134">
        <f>SUM(P4:P19)</f>
        <v>79486083.743470311</v>
      </c>
    </row>
    <row r="21" spans="1:17">
      <c r="H21" s="40" t="s">
        <v>174</v>
      </c>
    </row>
    <row r="22" spans="1:17" ht="15" customHeight="1">
      <c r="B22" s="308" t="s">
        <v>219</v>
      </c>
      <c r="C22" s="140">
        <v>41640</v>
      </c>
      <c r="D22" s="149">
        <v>58441</v>
      </c>
      <c r="H22" t="s">
        <v>175</v>
      </c>
    </row>
    <row r="23" spans="1:17">
      <c r="B23" s="308"/>
      <c r="C23" s="138">
        <f>7035.483</f>
        <v>7035.4830000000002</v>
      </c>
      <c r="D23">
        <v>8700</v>
      </c>
      <c r="H23" s="40" t="s">
        <v>210</v>
      </c>
    </row>
    <row r="24" spans="1:17">
      <c r="H24" s="40" t="s">
        <v>216</v>
      </c>
    </row>
    <row r="25" spans="1:17" ht="34">
      <c r="B25" s="150" t="s">
        <v>228</v>
      </c>
      <c r="C25" s="21">
        <v>3500</v>
      </c>
      <c r="D25">
        <f>D23*C26</f>
        <v>4328.0610584944916</v>
      </c>
      <c r="H25" s="168" t="s">
        <v>218</v>
      </c>
    </row>
    <row r="26" spans="1:17">
      <c r="C26">
        <f>C25/C23</f>
        <v>0.49747828258557369</v>
      </c>
      <c r="H26" s="40" t="s">
        <v>241</v>
      </c>
    </row>
    <row r="29" spans="1:17" ht="15" customHeight="1">
      <c r="G29" s="109"/>
      <c r="I29" s="138"/>
    </row>
    <row r="30" spans="1:17" ht="15" customHeight="1">
      <c r="A30" s="316" t="s">
        <v>150</v>
      </c>
      <c r="B30" s="303" t="s">
        <v>151</v>
      </c>
      <c r="C30" s="312" t="s">
        <v>208</v>
      </c>
      <c r="D30" s="312"/>
      <c r="E30" s="312"/>
      <c r="F30" s="312"/>
      <c r="G30" s="39" t="s">
        <v>209</v>
      </c>
      <c r="H30" s="24"/>
      <c r="I30" s="317" t="s">
        <v>327</v>
      </c>
      <c r="J30" s="317" t="s">
        <v>328</v>
      </c>
      <c r="K30" s="330" t="s">
        <v>343</v>
      </c>
      <c r="L30" s="317" t="s">
        <v>266</v>
      </c>
      <c r="M30" s="317" t="s">
        <v>267</v>
      </c>
      <c r="N30" s="330" t="s">
        <v>270</v>
      </c>
      <c r="O30" s="317" t="s">
        <v>268</v>
      </c>
      <c r="P30" s="317" t="s">
        <v>269</v>
      </c>
      <c r="Q30" s="330" t="s">
        <v>271</v>
      </c>
    </row>
    <row r="31" spans="1:17" ht="15" customHeight="1">
      <c r="A31" s="316"/>
      <c r="B31" s="303"/>
      <c r="C31" s="39" t="s">
        <v>179</v>
      </c>
      <c r="D31" s="39" t="s">
        <v>180</v>
      </c>
      <c r="E31" s="39" t="s">
        <v>181</v>
      </c>
      <c r="F31" s="39" t="s">
        <v>182</v>
      </c>
      <c r="G31" s="39"/>
      <c r="H31" s="39" t="s">
        <v>182</v>
      </c>
      <c r="I31" s="317"/>
      <c r="J31" s="317"/>
      <c r="K31" s="330"/>
      <c r="L31" s="317"/>
      <c r="M31" s="317"/>
      <c r="N31" s="330"/>
      <c r="O31" s="317"/>
      <c r="P31" s="317"/>
      <c r="Q31" s="330"/>
    </row>
    <row r="32" spans="1:17" ht="15" customHeight="1" thickBot="1">
      <c r="A32" s="316"/>
      <c r="B32" s="303"/>
      <c r="C32" s="39" t="s">
        <v>204</v>
      </c>
      <c r="D32" s="39" t="s">
        <v>204</v>
      </c>
      <c r="E32" s="39" t="s">
        <v>204</v>
      </c>
      <c r="F32" s="39" t="s">
        <v>183</v>
      </c>
      <c r="G32" s="39" t="s">
        <v>204</v>
      </c>
      <c r="H32" s="39" t="s">
        <v>183</v>
      </c>
      <c r="I32" s="317"/>
      <c r="J32" s="317"/>
      <c r="K32" s="330"/>
      <c r="L32" s="317"/>
      <c r="M32" s="317"/>
      <c r="N32" s="330"/>
      <c r="O32" s="317"/>
      <c r="P32" s="317"/>
      <c r="Q32" s="330"/>
    </row>
    <row r="33" spans="1:17" ht="16">
      <c r="A33" s="187" t="s">
        <v>153</v>
      </c>
      <c r="B33" s="188" t="s">
        <v>136</v>
      </c>
      <c r="C33" s="184">
        <v>843.48039900000003</v>
      </c>
      <c r="D33" s="185">
        <v>0</v>
      </c>
      <c r="E33" s="174">
        <f>C33+D33</f>
        <v>843.48039900000003</v>
      </c>
      <c r="F33" s="174">
        <f>E33/$E$49</f>
        <v>1.0665619333825866E-2</v>
      </c>
      <c r="G33" s="184">
        <v>4755.2757840000004</v>
      </c>
      <c r="H33" s="174">
        <f>G33/$G$49</f>
        <v>0.13504816831664487</v>
      </c>
      <c r="I33" s="174">
        <f t="shared" ref="I33:I48" si="7">$I$49*F33</f>
        <v>6574696.8496186836</v>
      </c>
      <c r="J33" s="174">
        <f t="shared" ref="J33:J48" si="8">$J$49*H33</f>
        <v>36999498.1689438</v>
      </c>
      <c r="K33" s="174">
        <f>SUM(I33:J33)</f>
        <v>43574195.018562481</v>
      </c>
      <c r="L33" s="174">
        <f t="shared" ref="L33:L48" si="9">$L$49*F33</f>
        <v>3652609.3608992691</v>
      </c>
      <c r="M33" s="174">
        <f t="shared" ref="M33:M48" si="10">$M$49*H33</f>
        <v>22199698.901366279</v>
      </c>
      <c r="N33" s="174">
        <f>SUM(L33:M33)</f>
        <v>25852308.262265548</v>
      </c>
      <c r="O33" s="174">
        <f t="shared" ref="O33:O48" si="11">$O$49*F33</f>
        <v>2310905.2027397258</v>
      </c>
      <c r="P33" s="174">
        <f>$P$49*H33</f>
        <v>13028152.832876714</v>
      </c>
      <c r="Q33" s="174">
        <f>SUM(O33:P33)</f>
        <v>15339058.035616439</v>
      </c>
    </row>
    <row r="34" spans="1:17" ht="16">
      <c r="A34" s="145" t="s">
        <v>154</v>
      </c>
      <c r="B34" s="109" t="s">
        <v>137</v>
      </c>
      <c r="C34" s="146">
        <v>2771.8036690000004</v>
      </c>
      <c r="D34" s="51">
        <v>0</v>
      </c>
      <c r="E34" s="24">
        <f t="shared" ref="E34:E48" si="12">C34+D34</f>
        <v>2771.8036690000004</v>
      </c>
      <c r="F34" s="24">
        <f t="shared" ref="F34:F49" si="13">E34/$E$49</f>
        <v>3.5048832002148131E-2</v>
      </c>
      <c r="G34" s="146">
        <v>10601.606847000001</v>
      </c>
      <c r="H34" s="24">
        <f t="shared" ref="H34:H48" si="14">G34/$G$49</f>
        <v>0.30108192477876078</v>
      </c>
      <c r="I34" s="24">
        <f t="shared" si="7"/>
        <v>21605444.384885833</v>
      </c>
      <c r="J34" s="24">
        <f t="shared" si="8"/>
        <v>82488198.569523498</v>
      </c>
      <c r="K34" s="24">
        <f t="shared" ref="K34:K49" si="15">SUM(I34:J34)</f>
        <v>104093642.95440933</v>
      </c>
      <c r="L34" s="24">
        <f t="shared" si="9"/>
        <v>12003024.658269908</v>
      </c>
      <c r="M34" s="24">
        <f t="shared" si="10"/>
        <v>49492919.141714096</v>
      </c>
      <c r="N34" s="24">
        <f t="shared" ref="N34:N49" si="16">SUM(L34:M34)</f>
        <v>61495943.799984008</v>
      </c>
      <c r="O34" s="24">
        <f t="shared" si="11"/>
        <v>7593982.6547945216</v>
      </c>
      <c r="P34" s="24">
        <f t="shared" ref="P34:P48" si="17">$J$49*J34</f>
        <v>2.2599506457403696E+16</v>
      </c>
      <c r="Q34" s="24">
        <f t="shared" ref="Q34:Q49" si="18">SUM(O34:P34)</f>
        <v>2.259950646499768E+16</v>
      </c>
    </row>
    <row r="35" spans="1:17" ht="16">
      <c r="A35" s="145" t="s">
        <v>155</v>
      </c>
      <c r="B35" s="109" t="s">
        <v>88</v>
      </c>
      <c r="C35" s="146">
        <v>12.014855000000001</v>
      </c>
      <c r="D35" s="51">
        <v>0</v>
      </c>
      <c r="E35" s="24">
        <f t="shared" si="12"/>
        <v>12.014855000000001</v>
      </c>
      <c r="F35" s="24">
        <f t="shared" si="13"/>
        <v>1.5192513060533416E-4</v>
      </c>
      <c r="G35" s="146">
        <v>61.626937999999996</v>
      </c>
      <c r="H35" s="24">
        <f t="shared" si="14"/>
        <v>1.7501834749240775E-3</v>
      </c>
      <c r="I35" s="24">
        <f t="shared" si="7"/>
        <v>93652.477770411468</v>
      </c>
      <c r="J35" s="24">
        <f t="shared" si="8"/>
        <v>479502.32189700747</v>
      </c>
      <c r="K35" s="24">
        <f t="shared" si="15"/>
        <v>573154.79966741893</v>
      </c>
      <c r="L35" s="24">
        <f t="shared" si="9"/>
        <v>52029.154316895256</v>
      </c>
      <c r="M35" s="24">
        <f t="shared" si="10"/>
        <v>287701.39313820447</v>
      </c>
      <c r="N35" s="24">
        <f t="shared" si="16"/>
        <v>339730.5474550997</v>
      </c>
      <c r="O35" s="24">
        <f t="shared" si="11"/>
        <v>32917.410958904111</v>
      </c>
      <c r="P35" s="24">
        <f t="shared" si="17"/>
        <v>131370499149865.05</v>
      </c>
      <c r="Q35" s="24">
        <f t="shared" si="18"/>
        <v>131370499182782.45</v>
      </c>
    </row>
    <row r="36" spans="1:17" ht="16">
      <c r="A36" s="145" t="s">
        <v>156</v>
      </c>
      <c r="B36" s="109" t="s">
        <v>138</v>
      </c>
      <c r="C36" s="146">
        <v>9764.9583060000004</v>
      </c>
      <c r="D36" s="51">
        <v>0</v>
      </c>
      <c r="E36" s="24">
        <f t="shared" si="12"/>
        <v>9764.9583060000004</v>
      </c>
      <c r="F36" s="24">
        <f t="shared" si="13"/>
        <v>0.12347569454601763</v>
      </c>
      <c r="G36" s="146">
        <v>2879.2363160000004</v>
      </c>
      <c r="H36" s="24">
        <f t="shared" si="14"/>
        <v>8.1769303882410646E-2</v>
      </c>
      <c r="I36" s="24">
        <f t="shared" si="7"/>
        <v>76115154.172202647</v>
      </c>
      <c r="J36" s="24">
        <f t="shared" si="8"/>
        <v>22402549.008879628</v>
      </c>
      <c r="K36" s="24">
        <f t="shared" si="15"/>
        <v>98517703.181082278</v>
      </c>
      <c r="L36" s="24">
        <f t="shared" si="9"/>
        <v>42286196.762334801</v>
      </c>
      <c r="M36" s="24">
        <f t="shared" si="10"/>
        <v>13441529.405327776</v>
      </c>
      <c r="N36" s="24">
        <f t="shared" si="16"/>
        <v>55727726.167662576</v>
      </c>
      <c r="O36" s="24">
        <f t="shared" si="11"/>
        <v>26753310.427397259</v>
      </c>
      <c r="P36" s="24">
        <f t="shared" si="17"/>
        <v>6137684659967021</v>
      </c>
      <c r="Q36" s="24">
        <f t="shared" si="18"/>
        <v>6137684686720331</v>
      </c>
    </row>
    <row r="37" spans="1:17" ht="16">
      <c r="A37" s="145" t="s">
        <v>157</v>
      </c>
      <c r="B37" s="109" t="s">
        <v>89</v>
      </c>
      <c r="C37" s="146">
        <v>361.54556199999996</v>
      </c>
      <c r="D37" s="51">
        <v>0</v>
      </c>
      <c r="E37" s="24">
        <f t="shared" si="12"/>
        <v>361.54556199999996</v>
      </c>
      <c r="F37" s="24">
        <f t="shared" si="13"/>
        <v>4.5716620572307303E-3</v>
      </c>
      <c r="G37" s="146">
        <v>27.882255999999998</v>
      </c>
      <c r="H37" s="24">
        <f t="shared" si="14"/>
        <v>7.91846313941522E-4</v>
      </c>
      <c r="I37" s="24">
        <f t="shared" si="7"/>
        <v>2818147.8434983953</v>
      </c>
      <c r="J37" s="24">
        <f t="shared" si="8"/>
        <v>216944.19560041698</v>
      </c>
      <c r="K37" s="24">
        <f t="shared" si="15"/>
        <v>3035092.0390988123</v>
      </c>
      <c r="L37" s="24">
        <f t="shared" si="9"/>
        <v>1565637.6908324419</v>
      </c>
      <c r="M37" s="24">
        <f t="shared" si="10"/>
        <v>130166.51736025017</v>
      </c>
      <c r="N37" s="24">
        <f t="shared" si="16"/>
        <v>1695804.2081926921</v>
      </c>
      <c r="O37" s="24">
        <f t="shared" si="11"/>
        <v>990535.78630136966</v>
      </c>
      <c r="P37" s="24">
        <f t="shared" si="17"/>
        <v>59436765917922.453</v>
      </c>
      <c r="Q37" s="24">
        <f t="shared" si="18"/>
        <v>59436766908458.242</v>
      </c>
    </row>
    <row r="38" spans="1:17" ht="16">
      <c r="A38" s="145" t="s">
        <v>158</v>
      </c>
      <c r="B38" s="109" t="s">
        <v>90</v>
      </c>
      <c r="C38" s="146">
        <v>107.32798199999999</v>
      </c>
      <c r="D38" s="51">
        <v>0</v>
      </c>
      <c r="E38" s="24">
        <f t="shared" si="12"/>
        <v>107.32798199999999</v>
      </c>
      <c r="F38" s="24">
        <f t="shared" si="13"/>
        <v>1.3571381163532104E-3</v>
      </c>
      <c r="G38" s="146">
        <v>25.863955000000001</v>
      </c>
      <c r="H38" s="24">
        <f t="shared" si="14"/>
        <v>7.3452727177813007E-4</v>
      </c>
      <c r="I38" s="24">
        <f t="shared" si="7"/>
        <v>836591.98953280086</v>
      </c>
      <c r="J38" s="24">
        <f t="shared" si="8"/>
        <v>201240.34843236438</v>
      </c>
      <c r="K38" s="24">
        <f t="shared" si="15"/>
        <v>1037832.3379651653</v>
      </c>
      <c r="L38" s="24">
        <f t="shared" si="9"/>
        <v>464773.32751822274</v>
      </c>
      <c r="M38" s="24">
        <f t="shared" si="10"/>
        <v>120744.20905941863</v>
      </c>
      <c r="N38" s="24">
        <f t="shared" si="16"/>
        <v>585517.53657764138</v>
      </c>
      <c r="O38" s="24">
        <f t="shared" si="11"/>
        <v>294049.26575342461</v>
      </c>
      <c r="P38" s="24">
        <f t="shared" si="17"/>
        <v>55134342036264.211</v>
      </c>
      <c r="Q38" s="24">
        <f t="shared" si="18"/>
        <v>55134342330313.477</v>
      </c>
    </row>
    <row r="39" spans="1:17" ht="16">
      <c r="A39" s="145" t="s">
        <v>159</v>
      </c>
      <c r="B39" s="109" t="s">
        <v>139</v>
      </c>
      <c r="C39" s="146">
        <v>2105.9910460000001</v>
      </c>
      <c r="D39" s="51">
        <v>0</v>
      </c>
      <c r="E39" s="24">
        <f t="shared" si="12"/>
        <v>2105.9910460000001</v>
      </c>
      <c r="F39" s="24">
        <f t="shared" si="13"/>
        <v>2.6629781609284031E-2</v>
      </c>
      <c r="G39" s="146">
        <v>1566.541262</v>
      </c>
      <c r="H39" s="24">
        <f t="shared" si="14"/>
        <v>4.4489223682330443E-2</v>
      </c>
      <c r="I39" s="24">
        <f t="shared" si="7"/>
        <v>16415618.800243581</v>
      </c>
      <c r="J39" s="24">
        <f t="shared" si="8"/>
        <v>12188828.406117929</v>
      </c>
      <c r="K39" s="24">
        <f t="shared" si="15"/>
        <v>28604447.20636151</v>
      </c>
      <c r="L39" s="24">
        <f t="shared" si="9"/>
        <v>9119788.222357545</v>
      </c>
      <c r="M39" s="24">
        <f t="shared" si="10"/>
        <v>7313297.0436707577</v>
      </c>
      <c r="N39" s="24">
        <f t="shared" si="16"/>
        <v>16433085.266028304</v>
      </c>
      <c r="O39" s="24">
        <f t="shared" si="11"/>
        <v>5769838.4821917806</v>
      </c>
      <c r="P39" s="24">
        <f t="shared" si="17"/>
        <v>3339405042772035</v>
      </c>
      <c r="Q39" s="24">
        <f t="shared" si="18"/>
        <v>3339405048541873.5</v>
      </c>
    </row>
    <row r="40" spans="1:17" ht="16">
      <c r="A40" s="145" t="s">
        <v>160</v>
      </c>
      <c r="B40" s="109" t="s">
        <v>140</v>
      </c>
      <c r="C40" s="146">
        <v>5407.8773069999997</v>
      </c>
      <c r="D40" s="24">
        <v>806.68496600000003</v>
      </c>
      <c r="E40" s="24">
        <f t="shared" si="12"/>
        <v>6214.5622729999995</v>
      </c>
      <c r="F40" s="24">
        <f t="shared" si="13"/>
        <v>7.8581737772158489E-2</v>
      </c>
      <c r="G40" s="146">
        <v>1199.9818300000002</v>
      </c>
      <c r="H40" s="24">
        <f t="shared" si="14"/>
        <v>3.4079064078685106E-2</v>
      </c>
      <c r="I40" s="24">
        <f t="shared" si="7"/>
        <v>48440797.256810024</v>
      </c>
      <c r="J40" s="24">
        <f t="shared" si="8"/>
        <v>9336729.8845712617</v>
      </c>
      <c r="K40" s="24">
        <f t="shared" si="15"/>
        <v>57777527.141381286</v>
      </c>
      <c r="L40" s="24">
        <f t="shared" si="9"/>
        <v>26911554.031561125</v>
      </c>
      <c r="M40" s="24">
        <f t="shared" si="10"/>
        <v>5602037.9307427565</v>
      </c>
      <c r="N40" s="24">
        <f t="shared" si="16"/>
        <v>32513591.962303881</v>
      </c>
      <c r="O40" s="24">
        <f t="shared" si="11"/>
        <v>17026198.008219175</v>
      </c>
      <c r="P40" s="24">
        <f t="shared" si="17"/>
        <v>2558008187553770</v>
      </c>
      <c r="Q40" s="24">
        <f t="shared" si="18"/>
        <v>2558008204579968</v>
      </c>
    </row>
    <row r="41" spans="1:17" ht="16">
      <c r="A41" s="145" t="s">
        <v>161</v>
      </c>
      <c r="B41" s="109" t="s">
        <v>141</v>
      </c>
      <c r="C41" s="146">
        <v>15508.507831999999</v>
      </c>
      <c r="D41" s="24">
        <f>636.054716+6719.3</f>
        <v>7355.3547159999998</v>
      </c>
      <c r="E41" s="24">
        <f t="shared" si="12"/>
        <v>22863.862547999997</v>
      </c>
      <c r="F41" s="24">
        <f t="shared" si="13"/>
        <v>0.28910838322620686</v>
      </c>
      <c r="G41" s="146">
        <v>2881.8814430000002</v>
      </c>
      <c r="H41" s="24">
        <f t="shared" si="14"/>
        <v>8.1844424563637344E-2</v>
      </c>
      <c r="I41" s="24">
        <f t="shared" si="7"/>
        <v>178217496.5093056</v>
      </c>
      <c r="J41" s="24">
        <f t="shared" si="8"/>
        <v>22423130.017434888</v>
      </c>
      <c r="K41" s="24">
        <f t="shared" si="15"/>
        <v>200640626.52674049</v>
      </c>
      <c r="L41" s="24">
        <f t="shared" si="9"/>
        <v>99009720.282947555</v>
      </c>
      <c r="M41" s="24">
        <f t="shared" si="10"/>
        <v>13453878.010460932</v>
      </c>
      <c r="N41" s="24">
        <f t="shared" si="16"/>
        <v>112463598.29340848</v>
      </c>
      <c r="O41" s="24">
        <f t="shared" si="11"/>
        <v>62640719.309589028</v>
      </c>
      <c r="P41" s="24">
        <f t="shared" si="17"/>
        <v>6143323292447914</v>
      </c>
      <c r="Q41" s="24">
        <f t="shared" si="18"/>
        <v>6143323355088633</v>
      </c>
    </row>
    <row r="42" spans="1:17" ht="16">
      <c r="A42" s="145" t="s">
        <v>162</v>
      </c>
      <c r="B42" s="109" t="s">
        <v>142</v>
      </c>
      <c r="C42" s="146">
        <v>6908.2385990000002</v>
      </c>
      <c r="D42" s="24">
        <f>0</f>
        <v>0</v>
      </c>
      <c r="E42" s="24">
        <f t="shared" si="12"/>
        <v>6908.2385990000002</v>
      </c>
      <c r="F42" s="24">
        <f t="shared" si="13"/>
        <v>8.7353118402667837E-2</v>
      </c>
      <c r="G42" s="146">
        <v>3545.5722209999999</v>
      </c>
      <c r="H42" s="24">
        <f t="shared" si="14"/>
        <v>0.10069301042255352</v>
      </c>
      <c r="I42" s="24">
        <f t="shared" si="7"/>
        <v>53847812.713973321</v>
      </c>
      <c r="J42" s="24">
        <f t="shared" si="8"/>
        <v>27587126.143165346</v>
      </c>
      <c r="K42" s="24">
        <f t="shared" si="15"/>
        <v>81434938.857138664</v>
      </c>
      <c r="L42" s="24">
        <f t="shared" si="9"/>
        <v>29915451.507762957</v>
      </c>
      <c r="M42" s="24">
        <f t="shared" si="10"/>
        <v>16552275.685899207</v>
      </c>
      <c r="N42" s="24">
        <f t="shared" si="16"/>
        <v>46467727.193662167</v>
      </c>
      <c r="O42" s="24">
        <f t="shared" si="11"/>
        <v>18926681.093150683</v>
      </c>
      <c r="P42" s="24">
        <f t="shared" si="17"/>
        <v>7558116751552149</v>
      </c>
      <c r="Q42" s="24">
        <f t="shared" si="18"/>
        <v>7558116770478830</v>
      </c>
    </row>
    <row r="43" spans="1:17" ht="16">
      <c r="A43" s="145" t="s">
        <v>163</v>
      </c>
      <c r="B43" s="109" t="s">
        <v>143</v>
      </c>
      <c r="C43" s="146">
        <v>5041.8688629999997</v>
      </c>
      <c r="D43" s="24">
        <f>0</f>
        <v>0</v>
      </c>
      <c r="E43" s="24">
        <f t="shared" si="12"/>
        <v>5041.8688629999997</v>
      </c>
      <c r="F43" s="24">
        <f t="shared" si="13"/>
        <v>6.3753294193416618E-2</v>
      </c>
      <c r="G43" s="146">
        <v>1679.4349790000001</v>
      </c>
      <c r="H43" s="24">
        <f t="shared" si="14"/>
        <v>4.7695365741768081E-2</v>
      </c>
      <c r="I43" s="24">
        <f t="shared" si="7"/>
        <v>39299975.87265408</v>
      </c>
      <c r="J43" s="24">
        <f t="shared" si="8"/>
        <v>13067223.490895364</v>
      </c>
      <c r="K43" s="24">
        <f t="shared" si="15"/>
        <v>52367199.363549441</v>
      </c>
      <c r="L43" s="24">
        <f t="shared" si="9"/>
        <v>21833319.929252267</v>
      </c>
      <c r="M43" s="24">
        <f t="shared" si="10"/>
        <v>7840334.0945372181</v>
      </c>
      <c r="N43" s="24">
        <f t="shared" si="16"/>
        <v>29673654.023789484</v>
      </c>
      <c r="O43" s="24">
        <f t="shared" si="11"/>
        <v>13813339.350684932</v>
      </c>
      <c r="P43" s="24">
        <f t="shared" si="17"/>
        <v>3580061230382291.5</v>
      </c>
      <c r="Q43" s="24">
        <f t="shared" si="18"/>
        <v>3580061244195631</v>
      </c>
    </row>
    <row r="44" spans="1:17" ht="16">
      <c r="A44" s="145" t="s">
        <v>164</v>
      </c>
      <c r="B44" s="109" t="s">
        <v>144</v>
      </c>
      <c r="C44" s="146">
        <v>487.02700900000002</v>
      </c>
      <c r="D44" s="24">
        <f>0</f>
        <v>0</v>
      </c>
      <c r="E44" s="24">
        <f t="shared" si="12"/>
        <v>487.02700900000002</v>
      </c>
      <c r="F44" s="24">
        <f t="shared" si="13"/>
        <v>6.1583466426061951E-3</v>
      </c>
      <c r="G44" s="146">
        <v>364.76452599999999</v>
      </c>
      <c r="H44" s="24">
        <f t="shared" si="14"/>
        <v>1.0359184901312378E-2</v>
      </c>
      <c r="I44" s="24">
        <f t="shared" si="7"/>
        <v>3796241.081058613</v>
      </c>
      <c r="J44" s="24">
        <f t="shared" si="8"/>
        <v>2838132.8496746239</v>
      </c>
      <c r="K44" s="24">
        <f t="shared" si="15"/>
        <v>6634373.9307332374</v>
      </c>
      <c r="L44" s="24">
        <f t="shared" si="9"/>
        <v>2109022.8228103407</v>
      </c>
      <c r="M44" s="24">
        <f t="shared" si="10"/>
        <v>1702879.7098047743</v>
      </c>
      <c r="N44" s="24">
        <f t="shared" si="16"/>
        <v>3811902.5326151149</v>
      </c>
      <c r="O44" s="24">
        <f t="shared" si="11"/>
        <v>1334320.5726027398</v>
      </c>
      <c r="P44" s="24">
        <f t="shared" si="17"/>
        <v>777570643746472.25</v>
      </c>
      <c r="Q44" s="24">
        <f t="shared" si="18"/>
        <v>777570645080792.88</v>
      </c>
    </row>
    <row r="45" spans="1:17" ht="16">
      <c r="A45" s="145" t="s">
        <v>165</v>
      </c>
      <c r="B45" s="109" t="s">
        <v>145</v>
      </c>
      <c r="C45" s="146">
        <v>1939.2393209999998</v>
      </c>
      <c r="D45" s="24">
        <f>0</f>
        <v>0</v>
      </c>
      <c r="E45" s="24">
        <f t="shared" si="12"/>
        <v>1939.2393209999998</v>
      </c>
      <c r="F45" s="24">
        <f t="shared" si="13"/>
        <v>2.4521243670266889E-2</v>
      </c>
      <c r="G45" s="146">
        <v>1539.1456800000001</v>
      </c>
      <c r="H45" s="24">
        <f t="shared" si="14"/>
        <v>4.3711198739693716E-2</v>
      </c>
      <c r="I45" s="24">
        <f t="shared" si="7"/>
        <v>15115835.139205616</v>
      </c>
      <c r="J45" s="24">
        <f t="shared" si="8"/>
        <v>11975670.887587318</v>
      </c>
      <c r="K45" s="24">
        <f t="shared" si="15"/>
        <v>27091506.026792936</v>
      </c>
      <c r="L45" s="24">
        <f t="shared" si="9"/>
        <v>8397686.1884475648</v>
      </c>
      <c r="M45" s="24">
        <f t="shared" si="10"/>
        <v>7185402.5325523913</v>
      </c>
      <c r="N45" s="24">
        <f t="shared" si="16"/>
        <v>15583088.720999956</v>
      </c>
      <c r="O45" s="24">
        <f t="shared" si="11"/>
        <v>5312984.4410958895</v>
      </c>
      <c r="P45" s="24">
        <f t="shared" si="17"/>
        <v>3281005722626662.5</v>
      </c>
      <c r="Q45" s="24">
        <f t="shared" si="18"/>
        <v>3281005727939647</v>
      </c>
    </row>
    <row r="46" spans="1:17" ht="16">
      <c r="A46" s="145" t="s">
        <v>166</v>
      </c>
      <c r="B46" s="109" t="s">
        <v>146</v>
      </c>
      <c r="C46" s="146">
        <v>7846.3843879999995</v>
      </c>
      <c r="D46" s="24">
        <f>0</f>
        <v>0</v>
      </c>
      <c r="E46" s="24">
        <f t="shared" si="12"/>
        <v>7846.3843879999995</v>
      </c>
      <c r="F46" s="24">
        <f t="shared" si="13"/>
        <v>9.9215760234023204E-2</v>
      </c>
      <c r="G46" s="146">
        <v>1787.599324</v>
      </c>
      <c r="H46" s="24">
        <f t="shared" si="14"/>
        <v>5.0767195291290507E-2</v>
      </c>
      <c r="I46" s="24">
        <f t="shared" si="7"/>
        <v>61160400.144260876</v>
      </c>
      <c r="J46" s="24">
        <f t="shared" si="8"/>
        <v>13908820.627750823</v>
      </c>
      <c r="K46" s="24">
        <f t="shared" si="15"/>
        <v>75069220.772011697</v>
      </c>
      <c r="L46" s="24">
        <f t="shared" si="9"/>
        <v>33978000.080144934</v>
      </c>
      <c r="M46" s="24">
        <f t="shared" si="10"/>
        <v>8345292.3766504936</v>
      </c>
      <c r="N46" s="24">
        <f t="shared" si="16"/>
        <v>42323292.456795424</v>
      </c>
      <c r="O46" s="24">
        <f t="shared" si="11"/>
        <v>21496943.52876712</v>
      </c>
      <c r="P46" s="24">
        <f t="shared" si="17"/>
        <v>3810635788424883</v>
      </c>
      <c r="Q46" s="24">
        <f t="shared" si="18"/>
        <v>3810635809921826.5</v>
      </c>
    </row>
    <row r="47" spans="1:17" ht="16">
      <c r="A47" s="145" t="s">
        <v>167</v>
      </c>
      <c r="B47" s="109" t="s">
        <v>147</v>
      </c>
      <c r="C47" s="146">
        <v>9632.496427</v>
      </c>
      <c r="D47" s="24">
        <f>0</f>
        <v>0</v>
      </c>
      <c r="E47" s="24">
        <f t="shared" si="12"/>
        <v>9632.496427</v>
      </c>
      <c r="F47" s="24">
        <f t="shared" si="13"/>
        <v>0.12180074397297259</v>
      </c>
      <c r="G47" s="146">
        <v>1240.6030049999999</v>
      </c>
      <c r="H47" s="24">
        <f t="shared" si="14"/>
        <v>3.5232691234670023E-2</v>
      </c>
      <c r="I47" s="24">
        <f t="shared" si="7"/>
        <v>75082650.394298166</v>
      </c>
      <c r="J47" s="24">
        <f t="shared" si="8"/>
        <v>9652792.1190876774</v>
      </c>
      <c r="K47" s="24">
        <f t="shared" si="15"/>
        <v>84735442.513385847</v>
      </c>
      <c r="L47" s="24">
        <f t="shared" si="9"/>
        <v>41712583.552387871</v>
      </c>
      <c r="M47" s="24">
        <f t="shared" si="10"/>
        <v>5791675.2714526057</v>
      </c>
      <c r="N47" s="24">
        <f t="shared" si="16"/>
        <v>47504258.823840477</v>
      </c>
      <c r="O47" s="24">
        <f t="shared" si="11"/>
        <v>26390401.169863012</v>
      </c>
      <c r="P47" s="24">
        <f t="shared" si="17"/>
        <v>2644600580571966</v>
      </c>
      <c r="Q47" s="24">
        <f t="shared" si="18"/>
        <v>2644600606962367</v>
      </c>
    </row>
    <row r="48" spans="1:17" ht="17" thickBot="1">
      <c r="A48" s="189" t="s">
        <v>168</v>
      </c>
      <c r="B48" s="190" t="s">
        <v>148</v>
      </c>
      <c r="C48" s="186">
        <v>2183.251221</v>
      </c>
      <c r="D48" s="175">
        <f>0</f>
        <v>0</v>
      </c>
      <c r="E48" s="175">
        <f t="shared" si="12"/>
        <v>2183.251221</v>
      </c>
      <c r="F48" s="175">
        <f t="shared" si="13"/>
        <v>2.7606719090216256E-2</v>
      </c>
      <c r="G48" s="186">
        <v>1054.6850830000001</v>
      </c>
      <c r="H48" s="175">
        <f t="shared" si="14"/>
        <v>2.9952687305598882E-2</v>
      </c>
      <c r="I48" s="175">
        <f t="shared" si="7"/>
        <v>17017840.535064816</v>
      </c>
      <c r="J48" s="175">
        <f t="shared" si="8"/>
        <v>8206215.7001640769</v>
      </c>
      <c r="K48" s="175">
        <f t="shared" si="15"/>
        <v>25224056.235228892</v>
      </c>
      <c r="L48" s="175">
        <f t="shared" si="9"/>
        <v>9454355.8528137859</v>
      </c>
      <c r="M48" s="175">
        <f t="shared" si="10"/>
        <v>4923729.4200984463</v>
      </c>
      <c r="N48" s="175">
        <f t="shared" si="16"/>
        <v>14378085.272912232</v>
      </c>
      <c r="O48" s="175">
        <f t="shared" si="11"/>
        <v>5981510.1945205471</v>
      </c>
      <c r="P48" s="175">
        <f t="shared" si="17"/>
        <v>2248278274017555.2</v>
      </c>
      <c r="Q48" s="175">
        <f t="shared" si="18"/>
        <v>2248278279999065.5</v>
      </c>
    </row>
    <row r="49" spans="1:17" ht="16">
      <c r="A49" s="147" t="s">
        <v>134</v>
      </c>
      <c r="B49" s="109"/>
      <c r="C49" s="24">
        <f>SUM(C33:C48)</f>
        <v>70922.012785999992</v>
      </c>
      <c r="D49" s="24">
        <f>SUM(D33:D48)</f>
        <v>8162.0396819999996</v>
      </c>
      <c r="E49" s="143">
        <f>SUM(E33:E48)</f>
        <v>79084.052468000009</v>
      </c>
      <c r="F49" s="24">
        <f t="shared" si="13"/>
        <v>1</v>
      </c>
      <c r="G49" s="148">
        <f>SUM(G33:G48)</f>
        <v>35211.701449</v>
      </c>
      <c r="H49" s="24">
        <f>SUM(H33:H48)</f>
        <v>0.99999999999999989</v>
      </c>
      <c r="I49">
        <f>225000000000/365</f>
        <v>616438356.16438353</v>
      </c>
      <c r="J49">
        <f>100000000000/365</f>
        <v>273972602.73972601</v>
      </c>
      <c r="K49" s="138">
        <f t="shared" si="15"/>
        <v>890410958.90410948</v>
      </c>
      <c r="L49" s="138">
        <f>125000000000/365</f>
        <v>342465753.42465752</v>
      </c>
      <c r="M49" s="138">
        <f>60000000000/365</f>
        <v>164383561.6438356</v>
      </c>
      <c r="N49" s="138">
        <f t="shared" si="16"/>
        <v>506849315.06849313</v>
      </c>
      <c r="O49" s="138">
        <f>79084052468/365</f>
        <v>216668636.89863014</v>
      </c>
      <c r="P49" s="138">
        <f>35211701449/365</f>
        <v>96470414.92876713</v>
      </c>
      <c r="Q49" s="138">
        <f t="shared" si="18"/>
        <v>313139051.82739729</v>
      </c>
    </row>
    <row r="53" spans="1:17">
      <c r="A53" s="310"/>
      <c r="B53" s="310"/>
      <c r="C53" s="310"/>
      <c r="D53" s="310"/>
      <c r="E53" s="310"/>
      <c r="F53" s="310"/>
      <c r="G53" s="310"/>
      <c r="H53" s="310"/>
    </row>
    <row r="54" spans="1:17">
      <c r="A54" s="310"/>
      <c r="B54" s="310"/>
      <c r="C54" s="138"/>
      <c r="D54" s="138"/>
      <c r="E54" s="138"/>
      <c r="F54" s="138"/>
      <c r="G54" s="138"/>
      <c r="H54" s="138"/>
    </row>
    <row r="55" spans="1:17">
      <c r="A55" s="310"/>
      <c r="B55" s="310"/>
      <c r="C55" s="138"/>
      <c r="D55" s="138"/>
      <c r="E55" s="138"/>
      <c r="F55" s="138"/>
      <c r="G55" s="138"/>
      <c r="H55" s="138"/>
    </row>
    <row r="56" spans="1:17">
      <c r="A56" s="138"/>
      <c r="B56" s="138"/>
      <c r="C56" s="138"/>
      <c r="D56" s="138"/>
      <c r="E56" s="138"/>
      <c r="F56" s="138"/>
      <c r="G56" s="138"/>
      <c r="H56" s="138"/>
    </row>
    <row r="57" spans="1:17">
      <c r="A57" s="138"/>
      <c r="B57" s="138"/>
      <c r="C57" s="138"/>
      <c r="D57" s="138"/>
      <c r="E57" s="138"/>
      <c r="F57" s="138"/>
      <c r="G57" s="138"/>
      <c r="H57" s="138"/>
    </row>
    <row r="58" spans="1:17">
      <c r="A58" s="138"/>
      <c r="B58" s="138"/>
      <c r="C58" s="138"/>
      <c r="D58" s="138"/>
      <c r="E58" s="138"/>
      <c r="F58" s="138"/>
      <c r="G58" s="138"/>
      <c r="H58" s="138"/>
    </row>
    <row r="59" spans="1:17">
      <c r="A59" s="138"/>
      <c r="B59" s="138"/>
      <c r="C59" s="138"/>
      <c r="D59" s="138"/>
      <c r="E59" s="138"/>
      <c r="F59" s="138"/>
      <c r="G59" s="138"/>
      <c r="H59" s="138"/>
    </row>
    <row r="60" spans="1:17">
      <c r="A60" s="138"/>
      <c r="B60" s="138"/>
      <c r="C60" s="138"/>
      <c r="D60" s="138"/>
      <c r="E60" s="138"/>
      <c r="F60" s="138"/>
      <c r="G60" s="138"/>
      <c r="H60" s="138"/>
    </row>
    <row r="61" spans="1:17">
      <c r="A61" s="138"/>
      <c r="B61" s="138"/>
      <c r="C61" s="138"/>
      <c r="D61" s="138"/>
      <c r="E61" s="138"/>
      <c r="F61" s="138"/>
      <c r="G61" s="138"/>
      <c r="H61" s="138"/>
    </row>
    <row r="62" spans="1:17">
      <c r="A62" s="138"/>
      <c r="B62" s="138"/>
      <c r="C62" s="138"/>
      <c r="D62" s="138"/>
      <c r="E62" s="138"/>
      <c r="F62" s="138"/>
      <c r="G62" s="138"/>
      <c r="H62" s="138"/>
    </row>
    <row r="63" spans="1:17">
      <c r="A63" s="138"/>
      <c r="B63" s="138"/>
      <c r="C63" s="138"/>
      <c r="D63" s="138"/>
      <c r="E63" s="138"/>
      <c r="F63" s="138"/>
      <c r="G63" s="138"/>
      <c r="H63" s="138"/>
    </row>
    <row r="64" spans="1:17">
      <c r="A64" s="138"/>
      <c r="B64" s="138"/>
      <c r="C64" s="138"/>
      <c r="D64" s="138"/>
      <c r="E64" s="138"/>
      <c r="F64" s="138"/>
      <c r="G64" s="138"/>
      <c r="H64" s="138"/>
    </row>
    <row r="65" spans="1:8">
      <c r="A65" s="138"/>
      <c r="B65" s="138"/>
      <c r="C65" s="138"/>
      <c r="D65" s="138"/>
      <c r="E65" s="138"/>
      <c r="F65" s="138"/>
      <c r="G65" s="138"/>
      <c r="H65" s="138"/>
    </row>
    <row r="66" spans="1:8">
      <c r="A66" s="138"/>
      <c r="B66" s="138"/>
      <c r="C66" s="138"/>
      <c r="D66" s="138"/>
      <c r="E66" s="138"/>
      <c r="F66" s="138"/>
      <c r="G66" s="138"/>
      <c r="H66" s="138"/>
    </row>
    <row r="67" spans="1:8">
      <c r="A67" s="138"/>
      <c r="B67" s="138"/>
      <c r="C67" s="138"/>
      <c r="D67" s="138"/>
      <c r="E67" s="138"/>
      <c r="F67" s="138"/>
      <c r="G67" s="138"/>
      <c r="H67" s="138"/>
    </row>
    <row r="68" spans="1:8">
      <c r="A68" s="138"/>
      <c r="B68" s="138"/>
      <c r="C68" s="138"/>
      <c r="D68" s="138"/>
      <c r="E68" s="138"/>
      <c r="F68" s="138"/>
      <c r="G68" s="138"/>
      <c r="H68" s="138"/>
    </row>
    <row r="69" spans="1:8">
      <c r="A69" s="138"/>
      <c r="B69" s="138"/>
      <c r="C69" s="138"/>
      <c r="D69" s="138"/>
      <c r="E69" s="138"/>
      <c r="F69" s="138"/>
      <c r="G69" s="138"/>
      <c r="H69" s="138"/>
    </row>
    <row r="70" spans="1:8">
      <c r="A70" s="138"/>
      <c r="B70" s="138"/>
      <c r="C70" s="138"/>
      <c r="D70" s="138"/>
      <c r="E70" s="138"/>
      <c r="F70" s="138"/>
      <c r="G70" s="138"/>
      <c r="H70" s="138"/>
    </row>
    <row r="71" spans="1:8">
      <c r="A71" s="138"/>
      <c r="B71" s="138"/>
      <c r="C71" s="138"/>
      <c r="D71" s="138"/>
      <c r="E71" s="138"/>
      <c r="F71" s="138"/>
      <c r="G71" s="138"/>
      <c r="H71" s="138"/>
    </row>
    <row r="72" spans="1:8">
      <c r="A72" s="138"/>
      <c r="B72" s="138"/>
      <c r="C72" s="138"/>
      <c r="D72" s="138"/>
      <c r="E72" s="138"/>
      <c r="F72" s="138"/>
      <c r="G72" s="138"/>
      <c r="H72" s="138"/>
    </row>
  </sheetData>
  <mergeCells count="29">
    <mergeCell ref="A53:A55"/>
    <mergeCell ref="B53:B55"/>
    <mergeCell ref="C53:D53"/>
    <mergeCell ref="E53:F53"/>
    <mergeCell ref="G53:H53"/>
    <mergeCell ref="Q30:Q32"/>
    <mergeCell ref="M30:M32"/>
    <mergeCell ref="O30:O32"/>
    <mergeCell ref="P30:P32"/>
    <mergeCell ref="K30:K32"/>
    <mergeCell ref="N30:N32"/>
    <mergeCell ref="A1:B1"/>
    <mergeCell ref="A2:A3"/>
    <mergeCell ref="B2:B3"/>
    <mergeCell ref="C2:H2"/>
    <mergeCell ref="O2:O3"/>
    <mergeCell ref="I2:I3"/>
    <mergeCell ref="J2:J3"/>
    <mergeCell ref="K2:K3"/>
    <mergeCell ref="L2:L3"/>
    <mergeCell ref="N2:N3"/>
    <mergeCell ref="B22:B23"/>
    <mergeCell ref="M2:M3"/>
    <mergeCell ref="A30:A32"/>
    <mergeCell ref="B30:B32"/>
    <mergeCell ref="C30:F30"/>
    <mergeCell ref="I30:I32"/>
    <mergeCell ref="J30:J32"/>
    <mergeCell ref="L30:L32"/>
  </mergeCells>
  <hyperlinks>
    <hyperlink ref="H21" r:id="rId1" xr:uid="{00000000-0004-0000-0600-000000000000}"/>
    <hyperlink ref="H23" r:id="rId2" xr:uid="{00000000-0004-0000-0600-000001000000}"/>
    <hyperlink ref="H24" r:id="rId3" xr:uid="{00000000-0004-0000-0600-000002000000}"/>
    <hyperlink ref="H25" r:id="rId4" xr:uid="{00000000-0004-0000-0600-000003000000}"/>
    <hyperlink ref="H26" r:id="rId5" xr:uid="{00000000-0004-0000-0600-000004000000}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8"/>
  <sheetViews>
    <sheetView zoomScale="70" zoomScaleNormal="70" zoomScalePageLayoutView="70" workbookViewId="0">
      <pane xSplit="1" topLeftCell="D1" activePane="topRight" state="frozen"/>
      <selection pane="topRight" activeCell="D58" sqref="D58"/>
    </sheetView>
  </sheetViews>
  <sheetFormatPr baseColWidth="10" defaultColWidth="8.83203125" defaultRowHeight="15"/>
  <cols>
    <col min="1" max="1" width="23.5" customWidth="1"/>
    <col min="2" max="3" width="8" style="162" customWidth="1"/>
    <col min="4" max="4" width="26.33203125" customWidth="1"/>
    <col min="5" max="5" width="11.1640625" customWidth="1"/>
    <col min="8" max="8" width="12" bestFit="1" customWidth="1"/>
    <col min="10" max="10" width="12" bestFit="1" customWidth="1"/>
  </cols>
  <sheetData>
    <row r="1" spans="1:19">
      <c r="H1" s="138"/>
    </row>
    <row r="2" spans="1:19">
      <c r="A2" s="40" t="s">
        <v>224</v>
      </c>
      <c r="S2" t="s">
        <v>239</v>
      </c>
    </row>
    <row r="4" spans="1:19" ht="30.75" customHeight="1">
      <c r="A4" s="331" t="s">
        <v>223</v>
      </c>
      <c r="B4" s="163"/>
      <c r="C4" s="163"/>
      <c r="D4" s="161" t="s">
        <v>229</v>
      </c>
      <c r="E4" s="332" t="s">
        <v>236</v>
      </c>
      <c r="F4" s="161" t="s">
        <v>225</v>
      </c>
      <c r="G4" s="161" t="s">
        <v>226</v>
      </c>
      <c r="H4" s="160" t="s">
        <v>198</v>
      </c>
      <c r="I4" s="161" t="s">
        <v>227</v>
      </c>
      <c r="J4" s="161" t="s">
        <v>231</v>
      </c>
      <c r="K4" s="161" t="s">
        <v>183</v>
      </c>
      <c r="L4" s="161" t="s">
        <v>232</v>
      </c>
      <c r="M4" s="161" t="s">
        <v>233</v>
      </c>
      <c r="N4" s="161" t="s">
        <v>234</v>
      </c>
      <c r="O4" s="161" t="s">
        <v>235</v>
      </c>
      <c r="P4" s="164" t="s">
        <v>237</v>
      </c>
      <c r="Q4" s="164" t="s">
        <v>238</v>
      </c>
      <c r="R4" s="164" t="s">
        <v>240</v>
      </c>
      <c r="S4" s="164"/>
    </row>
    <row r="5" spans="1:19" ht="15" customHeight="1">
      <c r="A5" s="331"/>
      <c r="B5" s="163"/>
      <c r="C5" s="163"/>
      <c r="D5" s="159" t="s">
        <v>230</v>
      </c>
      <c r="E5" s="332"/>
      <c r="F5" s="136" t="s">
        <v>204</v>
      </c>
      <c r="G5" s="136" t="s">
        <v>204</v>
      </c>
      <c r="H5" s="136" t="s">
        <v>204</v>
      </c>
      <c r="I5" s="136" t="s">
        <v>204</v>
      </c>
    </row>
    <row r="6" spans="1:19">
      <c r="A6" s="141">
        <v>21916</v>
      </c>
      <c r="B6" s="142">
        <f>0</f>
        <v>0</v>
      </c>
      <c r="C6" s="141">
        <v>32874</v>
      </c>
      <c r="D6" s="138">
        <v>1586.7494152982399</v>
      </c>
      <c r="E6" s="138">
        <v>3117</v>
      </c>
      <c r="F6" s="138">
        <v>71</v>
      </c>
      <c r="G6" s="138">
        <v>0</v>
      </c>
      <c r="H6" s="138">
        <v>1</v>
      </c>
      <c r="I6" s="138">
        <f t="shared" ref="I6:I32" si="0">F6+G6</f>
        <v>71</v>
      </c>
      <c r="J6" s="138">
        <v>8000</v>
      </c>
      <c r="K6">
        <f>D6/J6</f>
        <v>0.19834367691228</v>
      </c>
      <c r="L6">
        <f>LN(K6/(1-K6))</f>
        <v>-1.3966787231787154</v>
      </c>
      <c r="M6">
        <f>L7-L6</f>
        <v>7.4324412110183147E-2</v>
      </c>
      <c r="N6">
        <f t="shared" ref="N6:N37" si="1">EXP($L$17+$M$17*B6)/(1+EXP($L$17+$M$17*B6))</f>
        <v>0.19834367691228</v>
      </c>
      <c r="O6">
        <f>$J$6*N6</f>
        <v>1586.7494152982399</v>
      </c>
      <c r="P6">
        <f t="shared" ref="P6:P37" si="2">EXP($L$13+$M$13*B6)/(1+EXP($L$13+$M$13*B6))</f>
        <v>0.85829761077226074</v>
      </c>
      <c r="Q6">
        <f>$J$9*P6</f>
        <v>3124.2033032110289</v>
      </c>
      <c r="R6">
        <f t="shared" ref="R6:R30" si="3">Q6-E6</f>
        <v>7.2033032110289241</v>
      </c>
      <c r="S6">
        <f>R6^2</f>
        <v>51.887577150019609</v>
      </c>
    </row>
    <row r="7" spans="1:19">
      <c r="A7" s="141">
        <v>22282</v>
      </c>
      <c r="B7" s="142">
        <f>B6+1</f>
        <v>1</v>
      </c>
      <c r="C7" s="141">
        <v>33239</v>
      </c>
      <c r="D7" s="138">
        <v>1683.4149131441</v>
      </c>
      <c r="E7" s="138">
        <v>3174</v>
      </c>
      <c r="F7" s="138">
        <v>100</v>
      </c>
      <c r="G7" s="138">
        <v>0</v>
      </c>
      <c r="H7" s="138">
        <v>1</v>
      </c>
      <c r="I7" s="138">
        <f t="shared" si="0"/>
        <v>100</v>
      </c>
      <c r="K7" s="138">
        <f>D7/J6</f>
        <v>0.21042686414301248</v>
      </c>
      <c r="L7" s="138">
        <f>LN(K7/(1-K7))</f>
        <v>-1.3223543110685323</v>
      </c>
      <c r="N7" s="138">
        <f t="shared" si="1"/>
        <v>0.21042686414301248</v>
      </c>
      <c r="O7" s="138">
        <f t="shared" ref="O7:O37" si="4">$J$6*N7</f>
        <v>1683.4149131441</v>
      </c>
      <c r="P7" s="138">
        <f t="shared" si="2"/>
        <v>0.8619090688735922</v>
      </c>
      <c r="Q7" s="138">
        <f t="shared" ref="Q7:Q66" si="5">$J$9*P7</f>
        <v>3137.3490106998756</v>
      </c>
      <c r="R7" s="138">
        <f t="shared" si="3"/>
        <v>-36.650989300124365</v>
      </c>
      <c r="S7" s="138">
        <f t="shared" ref="S7:S30" si="6">R7^2</f>
        <v>1343.2950166778307</v>
      </c>
    </row>
    <row r="8" spans="1:19">
      <c r="A8" s="141">
        <v>22647</v>
      </c>
      <c r="B8" s="142">
        <f t="shared" ref="B8:B71" si="7">B7+1</f>
        <v>2</v>
      </c>
      <c r="C8" s="141">
        <v>33604</v>
      </c>
      <c r="D8" s="138">
        <v>1790.6868774263801</v>
      </c>
      <c r="E8" s="138">
        <v>3144</v>
      </c>
      <c r="F8" s="138">
        <v>275</v>
      </c>
      <c r="G8" s="138">
        <v>0</v>
      </c>
      <c r="H8" s="138">
        <v>4</v>
      </c>
      <c r="I8" s="138">
        <f t="shared" si="0"/>
        <v>275</v>
      </c>
      <c r="N8" s="138">
        <f t="shared" si="1"/>
        <v>0.22304135904770434</v>
      </c>
      <c r="O8" s="138">
        <f t="shared" si="4"/>
        <v>1784.3308723816347</v>
      </c>
      <c r="P8" s="138">
        <f t="shared" si="2"/>
        <v>0.86544291424202602</v>
      </c>
      <c r="Q8" s="138">
        <f t="shared" si="5"/>
        <v>3150.2122078409748</v>
      </c>
      <c r="R8" s="138">
        <f t="shared" si="3"/>
        <v>6.2122078409747701</v>
      </c>
      <c r="S8" s="138">
        <f t="shared" si="6"/>
        <v>38.591526259468417</v>
      </c>
    </row>
    <row r="9" spans="1:19">
      <c r="A9" s="141">
        <v>23012</v>
      </c>
      <c r="B9" s="142">
        <f t="shared" si="7"/>
        <v>3</v>
      </c>
      <c r="C9" s="141">
        <v>33970</v>
      </c>
      <c r="D9" s="138">
        <v>1916.9275279677499</v>
      </c>
      <c r="E9" s="138">
        <v>3185</v>
      </c>
      <c r="F9" s="138">
        <v>600</v>
      </c>
      <c r="G9" s="138">
        <v>0</v>
      </c>
      <c r="H9" s="138">
        <v>3</v>
      </c>
      <c r="I9" s="138">
        <f t="shared" si="0"/>
        <v>600</v>
      </c>
      <c r="J9" s="138">
        <v>3640</v>
      </c>
      <c r="K9" s="138">
        <f>E6/J9</f>
        <v>0.85631868131868127</v>
      </c>
      <c r="L9" s="138">
        <f>LN(K9/(1-K9))</f>
        <v>1.7850448157024137</v>
      </c>
      <c r="M9">
        <f>L10-L9</f>
        <v>0.13351745125829484</v>
      </c>
      <c r="N9" s="138">
        <f t="shared" si="1"/>
        <v>0.2361858533290612</v>
      </c>
      <c r="O9" s="138">
        <f t="shared" si="4"/>
        <v>1889.4868266324895</v>
      </c>
      <c r="P9" s="138">
        <f t="shared" si="2"/>
        <v>0.86890008131464014</v>
      </c>
      <c r="Q9" s="138">
        <f t="shared" si="5"/>
        <v>3162.7962959852903</v>
      </c>
      <c r="R9" s="138">
        <f t="shared" si="3"/>
        <v>-22.203704014709729</v>
      </c>
      <c r="S9" s="138">
        <f t="shared" si="6"/>
        <v>493.00447197283694</v>
      </c>
    </row>
    <row r="10" spans="1:19">
      <c r="A10" s="141">
        <v>23377</v>
      </c>
      <c r="B10" s="142">
        <f t="shared" si="7"/>
        <v>4</v>
      </c>
      <c r="C10" s="141">
        <v>34335</v>
      </c>
      <c r="D10" s="138">
        <v>2060.5473538269998</v>
      </c>
      <c r="E10" s="138">
        <v>3177</v>
      </c>
      <c r="F10" s="138">
        <v>909</v>
      </c>
      <c r="G10" s="138">
        <v>0</v>
      </c>
      <c r="H10" s="138">
        <v>7</v>
      </c>
      <c r="I10" s="138">
        <f t="shared" si="0"/>
        <v>909</v>
      </c>
      <c r="K10" s="138">
        <f>E7/J9</f>
        <v>0.87197802197802199</v>
      </c>
      <c r="L10" s="138">
        <f>LN(K10/(1-K10))</f>
        <v>1.9185622669607085</v>
      </c>
      <c r="N10" s="138">
        <f t="shared" si="1"/>
        <v>0.24985588031829797</v>
      </c>
      <c r="O10" s="138">
        <f t="shared" si="4"/>
        <v>1998.8470425463838</v>
      </c>
      <c r="P10" s="138">
        <f t="shared" si="2"/>
        <v>0.87228153199510083</v>
      </c>
      <c r="Q10" s="138">
        <f t="shared" si="5"/>
        <v>3175.1047764621671</v>
      </c>
      <c r="R10" s="138">
        <f t="shared" si="3"/>
        <v>-1.8952235378328623</v>
      </c>
      <c r="S10" s="138">
        <f t="shared" si="6"/>
        <v>3.591872258355711</v>
      </c>
    </row>
    <row r="11" spans="1:19">
      <c r="A11" s="141">
        <v>23743</v>
      </c>
      <c r="B11" s="142">
        <f t="shared" si="7"/>
        <v>5</v>
      </c>
      <c r="C11" s="141">
        <v>34700</v>
      </c>
      <c r="D11" s="138">
        <v>2194.2060611980501</v>
      </c>
      <c r="E11" s="138">
        <v>3177</v>
      </c>
      <c r="F11" s="138">
        <v>1500</v>
      </c>
      <c r="G11" s="138">
        <v>0</v>
      </c>
      <c r="H11" s="138">
        <v>7</v>
      </c>
      <c r="I11" s="138">
        <f t="shared" si="0"/>
        <v>1500</v>
      </c>
      <c r="N11" s="138">
        <f t="shared" si="1"/>
        <v>0.26404359498457552</v>
      </c>
      <c r="O11" s="138">
        <f t="shared" si="4"/>
        <v>2112.3487598766042</v>
      </c>
      <c r="P11" s="138">
        <f t="shared" si="2"/>
        <v>0.87558825323140954</v>
      </c>
      <c r="Q11" s="138">
        <f t="shared" si="5"/>
        <v>3187.1412417623305</v>
      </c>
      <c r="R11" s="138">
        <f t="shared" si="3"/>
        <v>10.141241762330537</v>
      </c>
      <c r="S11" s="138">
        <f t="shared" si="6"/>
        <v>102.84478448203699</v>
      </c>
    </row>
    <row r="12" spans="1:19">
      <c r="A12" s="141">
        <v>24108</v>
      </c>
      <c r="B12" s="142">
        <f t="shared" si="7"/>
        <v>6</v>
      </c>
      <c r="C12" s="141">
        <v>35065</v>
      </c>
      <c r="D12" s="138">
        <v>2300.4997982318901</v>
      </c>
      <c r="E12" s="138">
        <v>3231</v>
      </c>
      <c r="F12" s="138">
        <v>2032</v>
      </c>
      <c r="G12" s="138">
        <v>0</v>
      </c>
      <c r="H12" s="138">
        <v>12</v>
      </c>
      <c r="I12" s="138">
        <f t="shared" si="0"/>
        <v>2032</v>
      </c>
      <c r="N12" s="138">
        <f t="shared" si="1"/>
        <v>0.27873758432896684</v>
      </c>
      <c r="O12" s="138">
        <f t="shared" si="4"/>
        <v>2229.9006746317345</v>
      </c>
      <c r="P12" s="138">
        <f t="shared" si="2"/>
        <v>0.87882125466503924</v>
      </c>
      <c r="Q12" s="138">
        <f t="shared" si="5"/>
        <v>3198.909366980743</v>
      </c>
      <c r="R12" s="138">
        <f t="shared" si="3"/>
        <v>-32.090633019256984</v>
      </c>
      <c r="S12" s="138">
        <f t="shared" si="6"/>
        <v>1029.8087275766266</v>
      </c>
    </row>
    <row r="13" spans="1:19">
      <c r="A13" s="141">
        <v>24473</v>
      </c>
      <c r="B13" s="142">
        <f t="shared" si="7"/>
        <v>7</v>
      </c>
      <c r="C13" s="141">
        <v>35431</v>
      </c>
      <c r="D13" s="138">
        <v>2362.9089428674802</v>
      </c>
      <c r="E13" s="138">
        <v>3164</v>
      </c>
      <c r="F13" s="138">
        <v>2966</v>
      </c>
      <c r="G13" s="138">
        <v>0</v>
      </c>
      <c r="H13" s="138">
        <v>18</v>
      </c>
      <c r="I13" s="138">
        <f t="shared" si="0"/>
        <v>2966</v>
      </c>
      <c r="L13">
        <v>1.801221897321762</v>
      </c>
      <c r="M13">
        <v>3.0015489862110386E-2</v>
      </c>
      <c r="N13" s="138">
        <f t="shared" si="1"/>
        <v>0.29392271568516809</v>
      </c>
      <c r="O13" s="138">
        <f t="shared" si="4"/>
        <v>2351.3817254813448</v>
      </c>
      <c r="P13" s="138">
        <f t="shared" si="2"/>
        <v>0.88198156635374347</v>
      </c>
      <c r="Q13" s="138">
        <f t="shared" si="5"/>
        <v>3210.4129015276262</v>
      </c>
      <c r="R13" s="138">
        <f t="shared" si="3"/>
        <v>46.412901527626218</v>
      </c>
      <c r="S13" s="138">
        <f t="shared" si="6"/>
        <v>2154.1574282131282</v>
      </c>
    </row>
    <row r="14" spans="1:19">
      <c r="A14" s="141">
        <v>24838</v>
      </c>
      <c r="B14" s="142">
        <f t="shared" si="7"/>
        <v>8</v>
      </c>
      <c r="C14" s="141">
        <v>35796</v>
      </c>
      <c r="D14" s="138">
        <v>2579.74991536894</v>
      </c>
      <c r="E14" s="138">
        <v>3203</v>
      </c>
      <c r="F14" s="138">
        <v>4489</v>
      </c>
      <c r="G14" s="138">
        <v>0</v>
      </c>
      <c r="H14" s="138">
        <v>35</v>
      </c>
      <c r="I14" s="138">
        <f t="shared" si="0"/>
        <v>4489</v>
      </c>
      <c r="N14" s="138">
        <f t="shared" si="1"/>
        <v>0.30958003026998543</v>
      </c>
      <c r="O14" s="138">
        <f t="shared" si="4"/>
        <v>2476.6402421598837</v>
      </c>
      <c r="P14" s="138">
        <f t="shared" si="2"/>
        <v>0.88507023656990569</v>
      </c>
      <c r="Q14" s="138">
        <f t="shared" si="5"/>
        <v>3221.6556611144565</v>
      </c>
      <c r="R14" s="138">
        <f t="shared" si="3"/>
        <v>18.655661114456507</v>
      </c>
      <c r="S14" s="138">
        <f t="shared" si="6"/>
        <v>348.03369161744462</v>
      </c>
    </row>
    <row r="15" spans="1:19">
      <c r="A15" s="141">
        <v>25204</v>
      </c>
      <c r="B15" s="142">
        <f t="shared" si="7"/>
        <v>9</v>
      </c>
      <c r="C15" s="141">
        <v>36161</v>
      </c>
      <c r="D15" s="138">
        <v>2815.2213482273</v>
      </c>
      <c r="E15" s="138">
        <v>3199</v>
      </c>
      <c r="F15" s="138">
        <v>5528</v>
      </c>
      <c r="G15" s="138">
        <v>0</v>
      </c>
      <c r="H15" s="138">
        <v>30</v>
      </c>
      <c r="I15" s="138">
        <f t="shared" si="0"/>
        <v>5528</v>
      </c>
      <c r="N15" s="138">
        <f t="shared" si="1"/>
        <v>0.32568668884208718</v>
      </c>
      <c r="O15" s="138">
        <f t="shared" si="4"/>
        <v>2605.4935107366973</v>
      </c>
      <c r="P15" s="138">
        <f t="shared" si="2"/>
        <v>0.88808832967590623</v>
      </c>
      <c r="Q15" s="138">
        <f t="shared" si="5"/>
        <v>3232.6415200202987</v>
      </c>
      <c r="R15" s="138">
        <f t="shared" si="3"/>
        <v>33.641520020298685</v>
      </c>
      <c r="S15" s="138">
        <f t="shared" si="6"/>
        <v>1131.7518692761573</v>
      </c>
    </row>
    <row r="16" spans="1:19">
      <c r="A16" s="141">
        <v>25569</v>
      </c>
      <c r="B16" s="142">
        <f t="shared" si="7"/>
        <v>10</v>
      </c>
      <c r="C16" s="141">
        <v>36526</v>
      </c>
      <c r="D16" s="138">
        <v>3834.1784073282302</v>
      </c>
      <c r="E16" s="138">
        <v>3166</v>
      </c>
      <c r="F16" s="138">
        <v>9513</v>
      </c>
      <c r="G16" s="138">
        <v>0</v>
      </c>
      <c r="H16" s="138">
        <v>60</v>
      </c>
      <c r="I16" s="138">
        <f t="shared" si="0"/>
        <v>9513</v>
      </c>
      <c r="N16" s="138">
        <f t="shared" si="1"/>
        <v>0.34221597551580707</v>
      </c>
      <c r="O16" s="138">
        <f t="shared" si="4"/>
        <v>2737.7278041264567</v>
      </c>
      <c r="P16" s="138">
        <f t="shared" si="2"/>
        <v>0.89103692407760604</v>
      </c>
      <c r="Q16" s="138">
        <f t="shared" si="5"/>
        <v>3243.374403642486</v>
      </c>
      <c r="R16" s="138">
        <f t="shared" si="3"/>
        <v>77.374403642485959</v>
      </c>
      <c r="S16" s="138">
        <f t="shared" si="6"/>
        <v>5986.7983390303443</v>
      </c>
    </row>
    <row r="17" spans="1:19">
      <c r="A17" s="141">
        <v>25934</v>
      </c>
      <c r="B17" s="142">
        <f t="shared" si="7"/>
        <v>11</v>
      </c>
      <c r="C17" s="141">
        <v>36892</v>
      </c>
      <c r="D17" s="138">
        <v>4064.4547161243399</v>
      </c>
      <c r="E17" s="138">
        <v>3178</v>
      </c>
      <c r="F17" s="138">
        <v>10509</v>
      </c>
      <c r="G17" s="138">
        <v>0</v>
      </c>
      <c r="H17" s="138">
        <v>76</v>
      </c>
      <c r="I17" s="138">
        <f t="shared" si="0"/>
        <v>10509</v>
      </c>
      <c r="L17">
        <v>-1.3966787231787154</v>
      </c>
      <c r="M17">
        <v>7.4324412110183147E-2</v>
      </c>
      <c r="N17" s="138">
        <f t="shared" si="1"/>
        <v>0.35913736463215673</v>
      </c>
      <c r="O17" s="138">
        <f t="shared" si="4"/>
        <v>2873.0989170572539</v>
      </c>
      <c r="P17" s="138">
        <f t="shared" si="2"/>
        <v>0.89391711025670806</v>
      </c>
      <c r="Q17" s="138">
        <f t="shared" si="5"/>
        <v>3253.8582813344174</v>
      </c>
      <c r="R17" s="138">
        <f t="shared" si="3"/>
        <v>75.85828133441737</v>
      </c>
      <c r="S17" s="138">
        <f t="shared" si="6"/>
        <v>5754.4788470116146</v>
      </c>
    </row>
    <row r="18" spans="1:19">
      <c r="A18" s="141">
        <v>26299</v>
      </c>
      <c r="B18" s="142">
        <f t="shared" si="7"/>
        <v>12</v>
      </c>
      <c r="C18" s="141">
        <v>37257</v>
      </c>
      <c r="D18" s="138">
        <v>4335.7696247474796</v>
      </c>
      <c r="E18" s="138">
        <v>3239</v>
      </c>
      <c r="F18" s="138">
        <v>15786</v>
      </c>
      <c r="G18" s="138">
        <v>0</v>
      </c>
      <c r="H18" s="138">
        <v>162</v>
      </c>
      <c r="I18" s="138">
        <f t="shared" si="0"/>
        <v>15786</v>
      </c>
      <c r="N18" s="138">
        <f t="shared" si="1"/>
        <v>0.3764166541250154</v>
      </c>
      <c r="O18" s="138">
        <f t="shared" si="4"/>
        <v>3011.3332330001231</v>
      </c>
      <c r="P18" s="138">
        <f t="shared" si="2"/>
        <v>0.89672998888242528</v>
      </c>
      <c r="Q18" s="138">
        <f t="shared" si="5"/>
        <v>3264.0971595320279</v>
      </c>
      <c r="R18" s="138">
        <f t="shared" si="3"/>
        <v>25.097159532027945</v>
      </c>
      <c r="S18" s="138">
        <f t="shared" si="6"/>
        <v>629.86741657606115</v>
      </c>
    </row>
    <row r="19" spans="1:19">
      <c r="A19" s="141">
        <v>26665</v>
      </c>
      <c r="B19" s="142">
        <f t="shared" si="7"/>
        <v>13</v>
      </c>
      <c r="C19" s="141">
        <v>37622</v>
      </c>
      <c r="D19" s="138">
        <v>4654.9850483931004</v>
      </c>
      <c r="E19" s="138">
        <v>3332</v>
      </c>
      <c r="F19" s="138">
        <v>18713</v>
      </c>
      <c r="G19" s="138">
        <v>0</v>
      </c>
      <c r="H19" s="138">
        <v>313</v>
      </c>
      <c r="I19" s="138">
        <f t="shared" si="0"/>
        <v>18713</v>
      </c>
      <c r="N19" s="138">
        <f t="shared" si="1"/>
        <v>0.39401616707121501</v>
      </c>
      <c r="O19" s="138">
        <f t="shared" si="4"/>
        <v>3152.1293365697202</v>
      </c>
      <c r="P19" s="138">
        <f t="shared" si="2"/>
        <v>0.89947666900258438</v>
      </c>
      <c r="Q19" s="138">
        <f t="shared" si="5"/>
        <v>3274.0950751694072</v>
      </c>
      <c r="R19" s="138">
        <f t="shared" si="3"/>
        <v>-57.90492483059279</v>
      </c>
      <c r="S19" s="138">
        <f t="shared" si="6"/>
        <v>3352.9803196366015</v>
      </c>
    </row>
    <row r="20" spans="1:19">
      <c r="A20" s="141">
        <v>27030</v>
      </c>
      <c r="B20" s="142">
        <f t="shared" si="7"/>
        <v>14</v>
      </c>
      <c r="C20" s="141">
        <v>37987</v>
      </c>
      <c r="D20" s="138">
        <v>4803.4232035882396</v>
      </c>
      <c r="E20" s="138">
        <v>3341</v>
      </c>
      <c r="F20" s="138">
        <v>25509</v>
      </c>
      <c r="G20" s="138">
        <v>0</v>
      </c>
      <c r="H20" s="138">
        <v>557</v>
      </c>
      <c r="I20" s="138">
        <f t="shared" si="0"/>
        <v>25509</v>
      </c>
      <c r="N20" s="138">
        <f t="shared" si="1"/>
        <v>0.41189502113506932</v>
      </c>
      <c r="O20" s="138">
        <f t="shared" si="4"/>
        <v>3295.1601690805546</v>
      </c>
      <c r="P20" s="138">
        <f t="shared" si="2"/>
        <v>0.90215826631401475</v>
      </c>
      <c r="Q20" s="138">
        <f t="shared" si="5"/>
        <v>3283.8560893830136</v>
      </c>
      <c r="R20" s="138">
        <f t="shared" si="3"/>
        <v>-57.143910616986432</v>
      </c>
      <c r="S20" s="138">
        <f t="shared" si="6"/>
        <v>3265.4265206021346</v>
      </c>
    </row>
    <row r="21" spans="1:19">
      <c r="A21" s="141">
        <v>27395</v>
      </c>
      <c r="B21" s="142">
        <f t="shared" si="7"/>
        <v>15</v>
      </c>
      <c r="C21" s="141">
        <v>38353</v>
      </c>
      <c r="D21" s="138">
        <v>4743.9448331010999</v>
      </c>
      <c r="E21" s="138">
        <v>3335</v>
      </c>
      <c r="F21" s="138">
        <v>27229</v>
      </c>
      <c r="G21" s="138">
        <v>0</v>
      </c>
      <c r="H21" s="138">
        <v>1282</v>
      </c>
      <c r="I21" s="138">
        <f t="shared" si="0"/>
        <v>27229</v>
      </c>
      <c r="N21" s="138">
        <f t="shared" si="1"/>
        <v>0.43000946348731744</v>
      </c>
      <c r="O21" s="138">
        <f t="shared" si="4"/>
        <v>3440.0757078985393</v>
      </c>
      <c r="P21" s="138">
        <f t="shared" si="2"/>
        <v>0.90477590151181309</v>
      </c>
      <c r="Q21" s="138">
        <f t="shared" si="5"/>
        <v>3293.3842815029998</v>
      </c>
      <c r="R21" s="138">
        <f t="shared" si="3"/>
        <v>-41.615718497000216</v>
      </c>
      <c r="S21" s="138">
        <f t="shared" si="6"/>
        <v>1731.868026021566</v>
      </c>
    </row>
    <row r="22" spans="1:19">
      <c r="A22" s="141">
        <v>27760</v>
      </c>
      <c r="B22" s="142">
        <f t="shared" si="7"/>
        <v>16</v>
      </c>
      <c r="C22" s="141">
        <v>38718</v>
      </c>
      <c r="D22" s="138">
        <v>5146.9325777937502</v>
      </c>
      <c r="E22" s="138">
        <v>3367</v>
      </c>
      <c r="F22" s="138">
        <v>30710</v>
      </c>
      <c r="G22" s="138">
        <v>0</v>
      </c>
      <c r="H22" s="138">
        <v>2220</v>
      </c>
      <c r="I22" s="138">
        <f t="shared" si="0"/>
        <v>30710</v>
      </c>
      <c r="N22" s="138">
        <f t="shared" si="1"/>
        <v>0.44831326658906795</v>
      </c>
      <c r="O22" s="138">
        <f t="shared" si="4"/>
        <v>3586.5061327125436</v>
      </c>
      <c r="P22" s="138">
        <f t="shared" si="2"/>
        <v>0.9073306987168398</v>
      </c>
      <c r="Q22" s="138">
        <f t="shared" si="5"/>
        <v>3302.6837433292967</v>
      </c>
      <c r="R22" s="138">
        <f t="shared" si="3"/>
        <v>-64.316256670703297</v>
      </c>
      <c r="S22" s="138">
        <f t="shared" si="6"/>
        <v>4136.5808721317862</v>
      </c>
    </row>
    <row r="23" spans="1:19">
      <c r="A23" s="141">
        <v>28126</v>
      </c>
      <c r="B23" s="142">
        <f t="shared" si="7"/>
        <v>17</v>
      </c>
      <c r="C23" s="141">
        <v>39083</v>
      </c>
      <c r="D23" s="138">
        <v>5285.2607863166104</v>
      </c>
      <c r="E23" s="138">
        <v>3415</v>
      </c>
      <c r="F23" s="138">
        <v>39713</v>
      </c>
      <c r="G23" s="138">
        <v>0</v>
      </c>
      <c r="H23" s="138">
        <v>3075</v>
      </c>
      <c r="I23" s="138">
        <f t="shared" si="0"/>
        <v>39713</v>
      </c>
      <c r="N23" s="138">
        <f t="shared" si="1"/>
        <v>0.4667581780887835</v>
      </c>
      <c r="O23" s="138">
        <f t="shared" si="4"/>
        <v>3734.065424710268</v>
      </c>
      <c r="P23" s="138">
        <f t="shared" si="2"/>
        <v>0.90982378398058594</v>
      </c>
      <c r="Q23" s="138">
        <f t="shared" si="5"/>
        <v>3311.7585736893329</v>
      </c>
      <c r="R23" s="138">
        <f t="shared" si="3"/>
        <v>-103.24142631066707</v>
      </c>
      <c r="S23" s="138">
        <f t="shared" si="6"/>
        <v>10658.792106660898</v>
      </c>
    </row>
    <row r="24" spans="1:19">
      <c r="A24" s="141">
        <v>28491</v>
      </c>
      <c r="B24" s="142">
        <f t="shared" si="7"/>
        <v>18</v>
      </c>
      <c r="C24" s="141">
        <v>39448</v>
      </c>
      <c r="D24" s="138">
        <v>5574.7452165924697</v>
      </c>
      <c r="E24" s="138">
        <v>3374</v>
      </c>
      <c r="F24" s="138">
        <v>40574</v>
      </c>
      <c r="G24" s="138">
        <v>0</v>
      </c>
      <c r="H24" s="138">
        <v>4420</v>
      </c>
      <c r="I24" s="138">
        <f t="shared" si="0"/>
        <v>40574</v>
      </c>
      <c r="N24" s="138">
        <f t="shared" si="1"/>
        <v>0.48529441609554574</v>
      </c>
      <c r="O24" s="138">
        <f t="shared" si="4"/>
        <v>3882.3553287643658</v>
      </c>
      <c r="P24" s="138">
        <f t="shared" si="2"/>
        <v>0.91225628386635627</v>
      </c>
      <c r="Q24" s="138">
        <f t="shared" si="5"/>
        <v>3320.6128732735369</v>
      </c>
      <c r="R24" s="138">
        <f t="shared" si="3"/>
        <v>-53.387126726463066</v>
      </c>
      <c r="S24" s="138">
        <f t="shared" si="6"/>
        <v>2850.1853001074269</v>
      </c>
    </row>
    <row r="25" spans="1:19">
      <c r="A25" s="141">
        <v>28856</v>
      </c>
      <c r="B25" s="142">
        <f t="shared" si="7"/>
        <v>19</v>
      </c>
      <c r="C25" s="141">
        <v>39814</v>
      </c>
      <c r="D25" s="138">
        <v>5786.1272157217099</v>
      </c>
      <c r="E25" s="138">
        <v>3274</v>
      </c>
      <c r="F25" s="138">
        <v>38610</v>
      </c>
      <c r="G25" s="138">
        <v>38</v>
      </c>
      <c r="H25" s="138">
        <v>6583</v>
      </c>
      <c r="I25" s="138">
        <f t="shared" si="0"/>
        <v>38648</v>
      </c>
      <c r="N25" s="138">
        <f t="shared" si="1"/>
        <v>0.50387119937323099</v>
      </c>
      <c r="O25" s="138">
        <f t="shared" si="4"/>
        <v>4030.9695949858478</v>
      </c>
      <c r="P25" s="138">
        <f t="shared" si="2"/>
        <v>0.91462932410553843</v>
      </c>
      <c r="Q25" s="138">
        <f t="shared" si="5"/>
        <v>3329.25073974416</v>
      </c>
      <c r="R25" s="138">
        <f t="shared" si="3"/>
        <v>55.250739744160001</v>
      </c>
      <c r="S25" s="138">
        <f t="shared" si="6"/>
        <v>3052.6442422769014</v>
      </c>
    </row>
    <row r="26" spans="1:19">
      <c r="A26" s="141">
        <v>29221</v>
      </c>
      <c r="B26" s="142">
        <f t="shared" si="7"/>
        <v>20</v>
      </c>
      <c r="C26" s="141">
        <v>40179</v>
      </c>
      <c r="D26" s="138">
        <v>5797.4997527097703</v>
      </c>
      <c r="E26" s="138">
        <v>3327</v>
      </c>
      <c r="F26" s="138">
        <v>37619</v>
      </c>
      <c r="G26" s="138">
        <v>176</v>
      </c>
      <c r="H26" s="138">
        <v>11729</v>
      </c>
      <c r="I26" s="138">
        <f t="shared" si="0"/>
        <v>37795</v>
      </c>
      <c r="N26" s="138">
        <f t="shared" si="1"/>
        <v>0.52243730064559912</v>
      </c>
      <c r="O26" s="138">
        <f t="shared" si="4"/>
        <v>4179.4984051647934</v>
      </c>
      <c r="P26" s="138">
        <f t="shared" si="2"/>
        <v>0.91694402832757116</v>
      </c>
      <c r="Q26" s="138">
        <f t="shared" si="5"/>
        <v>3337.6762631123588</v>
      </c>
      <c r="R26" s="138">
        <f t="shared" si="3"/>
        <v>10.676263112358811</v>
      </c>
      <c r="S26" s="138">
        <f t="shared" si="6"/>
        <v>113.98259404431344</v>
      </c>
    </row>
    <row r="27" spans="1:19">
      <c r="A27" s="141">
        <v>29587</v>
      </c>
      <c r="B27" s="142">
        <f t="shared" si="7"/>
        <v>21</v>
      </c>
      <c r="C27" s="141">
        <v>40544</v>
      </c>
      <c r="D27" s="138">
        <v>5832.0648707023902</v>
      </c>
      <c r="E27" s="138">
        <v>3298</v>
      </c>
      <c r="F27" s="138">
        <v>48314</v>
      </c>
      <c r="G27" s="138">
        <v>577</v>
      </c>
      <c r="H27" s="138">
        <v>19599</v>
      </c>
      <c r="I27" s="138">
        <f t="shared" si="0"/>
        <v>48891</v>
      </c>
      <c r="N27" s="138">
        <f t="shared" si="1"/>
        <v>0.54094161029104426</v>
      </c>
      <c r="O27" s="138">
        <f t="shared" si="4"/>
        <v>4327.5328823283544</v>
      </c>
      <c r="P27" s="138">
        <f t="shared" si="2"/>
        <v>0.9192015168620874</v>
      </c>
      <c r="Q27" s="138">
        <f t="shared" si="5"/>
        <v>3345.8935213779982</v>
      </c>
      <c r="R27" s="138">
        <f t="shared" si="3"/>
        <v>47.89352137799824</v>
      </c>
      <c r="S27" s="138">
        <f t="shared" si="6"/>
        <v>2293.7893899847745</v>
      </c>
    </row>
    <row r="28" spans="1:19">
      <c r="A28" s="141">
        <v>29952</v>
      </c>
      <c r="B28" s="142">
        <f t="shared" si="7"/>
        <v>22</v>
      </c>
      <c r="C28" s="141">
        <v>40909</v>
      </c>
      <c r="D28" s="138">
        <v>5822.0273593247603</v>
      </c>
      <c r="E28" s="138">
        <v>3325</v>
      </c>
      <c r="F28" s="138">
        <v>49949</v>
      </c>
      <c r="G28" s="138">
        <v>732</v>
      </c>
      <c r="H28" s="138">
        <v>26380</v>
      </c>
      <c r="I28" s="138">
        <f t="shared" si="0"/>
        <v>50681</v>
      </c>
      <c r="N28" s="138">
        <f t="shared" si="1"/>
        <v>0.55933369729235682</v>
      </c>
      <c r="O28" s="138">
        <f t="shared" si="4"/>
        <v>4474.669578338855</v>
      </c>
      <c r="P28" s="138">
        <f t="shared" si="2"/>
        <v>0.921402905611585</v>
      </c>
      <c r="Q28" s="138">
        <f t="shared" si="5"/>
        <v>3353.9065764261695</v>
      </c>
      <c r="R28" s="138">
        <f t="shared" si="3"/>
        <v>28.906576426169522</v>
      </c>
      <c r="S28" s="138">
        <f t="shared" si="6"/>
        <v>835.59016068197957</v>
      </c>
    </row>
    <row r="29" spans="1:19">
      <c r="A29" s="141">
        <v>30317</v>
      </c>
      <c r="B29" s="142">
        <f t="shared" si="7"/>
        <v>23</v>
      </c>
      <c r="C29" s="141">
        <v>41275</v>
      </c>
      <c r="D29" s="138">
        <v>5965.4581934874795</v>
      </c>
      <c r="E29" s="138">
        <v>3350</v>
      </c>
      <c r="F29" s="138">
        <v>50803</v>
      </c>
      <c r="G29" s="138">
        <v>918</v>
      </c>
      <c r="H29" s="138">
        <v>31010</v>
      </c>
      <c r="I29" s="138">
        <f t="shared" si="0"/>
        <v>51721</v>
      </c>
      <c r="N29" s="138">
        <f t="shared" si="1"/>
        <v>0.57756435441628884</v>
      </c>
      <c r="O29" s="138">
        <f t="shared" si="4"/>
        <v>4620.5148353303111</v>
      </c>
      <c r="P29" s="138">
        <f t="shared" si="2"/>
        <v>0.92354930499287513</v>
      </c>
      <c r="Q29" s="138">
        <f t="shared" si="5"/>
        <v>3361.7194701740655</v>
      </c>
      <c r="R29" s="138">
        <f t="shared" si="3"/>
        <v>11.719470174065464</v>
      </c>
      <c r="S29" s="138">
        <f t="shared" si="6"/>
        <v>137.34598116081</v>
      </c>
    </row>
    <row r="30" spans="1:19">
      <c r="A30" s="141">
        <v>30682</v>
      </c>
      <c r="B30" s="142">
        <f t="shared" si="7"/>
        <v>24</v>
      </c>
      <c r="C30" s="141">
        <v>41640</v>
      </c>
      <c r="D30" s="138">
        <v>6239.9718156041299</v>
      </c>
      <c r="E30" s="138">
        <v>3353</v>
      </c>
      <c r="F30" s="138">
        <v>55908</v>
      </c>
      <c r="G30" s="138">
        <v>1471</v>
      </c>
      <c r="H30" s="138">
        <v>36056</v>
      </c>
      <c r="I30" s="138">
        <f t="shared" si="0"/>
        <v>57379</v>
      </c>
      <c r="N30" s="138">
        <f t="shared" si="1"/>
        <v>0.59558611522337568</v>
      </c>
      <c r="O30" s="138">
        <f t="shared" si="4"/>
        <v>4764.6889217870057</v>
      </c>
      <c r="P30" s="138">
        <f t="shared" si="2"/>
        <v>0.92564181894546649</v>
      </c>
      <c r="Q30" s="138">
        <f t="shared" si="5"/>
        <v>3369.3362209614979</v>
      </c>
      <c r="R30" s="138">
        <f t="shared" si="3"/>
        <v>16.336220961497929</v>
      </c>
      <c r="S30" s="138">
        <f t="shared" si="6"/>
        <v>266.87211530288431</v>
      </c>
    </row>
    <row r="31" spans="1:19">
      <c r="A31" s="141">
        <v>31048</v>
      </c>
      <c r="B31" s="142">
        <f t="shared" si="7"/>
        <v>25</v>
      </c>
      <c r="C31" s="139">
        <f>C30+365</f>
        <v>42005</v>
      </c>
      <c r="D31" s="138">
        <v>6448.5398592335996</v>
      </c>
      <c r="E31" s="138">
        <v>3500</v>
      </c>
      <c r="F31" s="138">
        <v>70922</v>
      </c>
      <c r="G31" s="138">
        <v>8284</v>
      </c>
      <c r="H31" s="138">
        <v>38726</v>
      </c>
      <c r="I31" s="138">
        <f t="shared" si="0"/>
        <v>79206</v>
      </c>
      <c r="N31" s="138">
        <f t="shared" si="1"/>
        <v>0.61335373161264517</v>
      </c>
      <c r="O31" s="138">
        <f t="shared" si="4"/>
        <v>4906.8298529011618</v>
      </c>
      <c r="P31" s="138">
        <f t="shared" si="2"/>
        <v>0.92768154400497038</v>
      </c>
      <c r="Q31" s="138">
        <f t="shared" si="5"/>
        <v>3376.7608201780922</v>
      </c>
      <c r="R31" s="138"/>
      <c r="S31" s="138"/>
    </row>
    <row r="32" spans="1:19">
      <c r="A32" s="141">
        <v>31413</v>
      </c>
      <c r="B32" s="142">
        <f t="shared" si="7"/>
        <v>26</v>
      </c>
      <c r="C32" s="139">
        <f t="shared" ref="C32:C66" si="8">C31+365</f>
        <v>42370</v>
      </c>
      <c r="D32" s="138">
        <v>6530.2387135347499</v>
      </c>
      <c r="E32" s="138"/>
      <c r="F32" s="138">
        <v>65047</v>
      </c>
      <c r="G32" s="138">
        <v>12365</v>
      </c>
      <c r="H32" s="138">
        <v>38171</v>
      </c>
      <c r="I32" s="138">
        <f t="shared" si="0"/>
        <v>77412</v>
      </c>
      <c r="N32" s="138">
        <f t="shared" si="1"/>
        <v>0.6308246021230145</v>
      </c>
      <c r="O32" s="138">
        <f t="shared" si="4"/>
        <v>5046.5968169841162</v>
      </c>
      <c r="P32" s="138">
        <f t="shared" si="2"/>
        <v>0.92966956843954773</v>
      </c>
      <c r="Q32" s="138">
        <f t="shared" si="5"/>
        <v>3383.9972291199538</v>
      </c>
      <c r="R32" s="138"/>
      <c r="S32" s="138"/>
    </row>
    <row r="33" spans="1:19">
      <c r="A33" s="141">
        <v>31778</v>
      </c>
      <c r="B33" s="142">
        <f t="shared" si="7"/>
        <v>27</v>
      </c>
      <c r="C33" s="139">
        <f>C32+366</f>
        <v>42736</v>
      </c>
      <c r="D33" s="138">
        <v>6666.2195952924903</v>
      </c>
      <c r="E33" s="138"/>
      <c r="N33" s="138">
        <f t="shared" si="1"/>
        <v>0.64795914305537972</v>
      </c>
      <c r="O33" s="138">
        <f t="shared" si="4"/>
        <v>5183.6731444430379</v>
      </c>
      <c r="P33" s="138">
        <f t="shared" si="2"/>
        <v>0.93160697144737303</v>
      </c>
      <c r="Q33" s="138">
        <f t="shared" si="5"/>
        <v>3391.0493760684381</v>
      </c>
      <c r="R33" s="138"/>
      <c r="S33" s="138"/>
    </row>
    <row r="34" spans="1:19">
      <c r="A34" s="141">
        <v>32143</v>
      </c>
      <c r="B34" s="142">
        <f t="shared" si="7"/>
        <v>28</v>
      </c>
      <c r="C34" s="139">
        <f t="shared" si="8"/>
        <v>43101</v>
      </c>
      <c r="D34" s="138">
        <v>6776.3079118729802</v>
      </c>
      <c r="E34" s="138"/>
      <c r="N34" s="138">
        <f t="shared" si="1"/>
        <v>0.66472109654344158</v>
      </c>
      <c r="O34" s="138">
        <f t="shared" si="4"/>
        <v>5317.7687723475328</v>
      </c>
      <c r="P34" s="138">
        <f t="shared" si="2"/>
        <v>0.93349482241304915</v>
      </c>
      <c r="Q34" s="138">
        <f t="shared" si="5"/>
        <v>3397.9211535834988</v>
      </c>
      <c r="R34" s="138"/>
      <c r="S34" s="138"/>
    </row>
    <row r="35" spans="1:19">
      <c r="A35" s="141">
        <v>32509</v>
      </c>
      <c r="B35" s="142">
        <f t="shared" si="7"/>
        <v>29</v>
      </c>
      <c r="C35" s="139">
        <f t="shared" si="8"/>
        <v>43466</v>
      </c>
      <c r="D35" s="138">
        <v>6835.3299082124204</v>
      </c>
      <c r="E35" s="138"/>
      <c r="N35" s="138">
        <f t="shared" si="1"/>
        <v>0.68107777187672036</v>
      </c>
      <c r="O35" s="138">
        <f t="shared" si="4"/>
        <v>5448.6221750137629</v>
      </c>
      <c r="P35" s="138">
        <f t="shared" si="2"/>
        <v>0.93533418022088466</v>
      </c>
      <c r="Q35" s="138">
        <f t="shared" si="5"/>
        <v>3404.6164160040203</v>
      </c>
      <c r="R35" s="138"/>
      <c r="S35" s="138"/>
    </row>
    <row r="36" spans="1:19">
      <c r="A36" s="141">
        <v>32874</v>
      </c>
      <c r="B36" s="142">
        <f t="shared" si="7"/>
        <v>30</v>
      </c>
      <c r="C36" s="139">
        <f t="shared" si="8"/>
        <v>43831</v>
      </c>
      <c r="D36" s="138">
        <v>6639.7316914604899</v>
      </c>
      <c r="N36" s="138">
        <f t="shared" si="1"/>
        <v>0.6970002185563734</v>
      </c>
      <c r="O36" s="138">
        <f t="shared" si="4"/>
        <v>5576.0017484509872</v>
      </c>
      <c r="P36" s="138">
        <f t="shared" si="2"/>
        <v>0.93712609262292579</v>
      </c>
      <c r="Q36" s="138">
        <f t="shared" si="5"/>
        <v>3411.1389771474501</v>
      </c>
      <c r="R36" s="138"/>
      <c r="S36" s="138"/>
    </row>
    <row r="37" spans="1:19">
      <c r="A37" s="141">
        <v>33239</v>
      </c>
      <c r="B37" s="142">
        <f t="shared" si="7"/>
        <v>31</v>
      </c>
      <c r="C37" s="139">
        <f>C36+366</f>
        <v>44197</v>
      </c>
      <c r="D37" s="138">
        <v>6564.7971947272799</v>
      </c>
      <c r="N37" s="138">
        <f t="shared" si="1"/>
        <v>0.71246333164199616</v>
      </c>
      <c r="O37" s="138">
        <f t="shared" si="4"/>
        <v>5699.7066531359696</v>
      </c>
      <c r="P37" s="138">
        <f t="shared" si="2"/>
        <v>0.93887159565962996</v>
      </c>
      <c r="Q37" s="138">
        <f t="shared" si="5"/>
        <v>3417.4926082010529</v>
      </c>
      <c r="R37" s="138"/>
      <c r="S37" s="138"/>
    </row>
    <row r="38" spans="1:19">
      <c r="A38" s="141">
        <v>33604</v>
      </c>
      <c r="B38" s="142">
        <f t="shared" si="7"/>
        <v>32</v>
      </c>
      <c r="C38" s="139">
        <f t="shared" si="8"/>
        <v>44562</v>
      </c>
      <c r="D38" s="138">
        <v>6445.8739998926903</v>
      </c>
      <c r="G38" s="332"/>
      <c r="N38" s="138">
        <f t="shared" ref="N38:N69" si="9">EXP($L$17+$M$17*B38)/(1+EXP($L$17+$M$17*B38))</f>
        <v>0.72744589183854524</v>
      </c>
      <c r="O38" s="138">
        <f t="shared" ref="O38:O69" si="10">$J$6*N38</f>
        <v>5819.5671347083617</v>
      </c>
      <c r="P38" s="138">
        <f t="shared" ref="P38:P66" si="11">EXP($L$13+$M$13*B38)/(1+EXP($L$13+$M$13*B38))</f>
        <v>0.94057171313106613</v>
      </c>
      <c r="Q38" s="138">
        <f t="shared" si="5"/>
        <v>3423.6810357970808</v>
      </c>
      <c r="R38" s="138"/>
      <c r="S38" s="138"/>
    </row>
    <row r="39" spans="1:19">
      <c r="A39" s="141">
        <v>33970</v>
      </c>
      <c r="B39" s="142">
        <f t="shared" si="7"/>
        <v>33</v>
      </c>
      <c r="C39" s="139">
        <f t="shared" si="8"/>
        <v>44927</v>
      </c>
      <c r="D39" s="138">
        <v>6288.4163500525501</v>
      </c>
      <c r="G39" s="332"/>
      <c r="N39" s="138">
        <f t="shared" si="9"/>
        <v>0.74193054440858286</v>
      </c>
      <c r="O39" s="138">
        <f t="shared" si="10"/>
        <v>5935.4443552686625</v>
      </c>
      <c r="P39" s="138">
        <f t="shared" si="11"/>
        <v>0.94222745611654268</v>
      </c>
      <c r="Q39" s="138">
        <f t="shared" si="5"/>
        <v>3429.7079402642153</v>
      </c>
      <c r="R39" s="138"/>
      <c r="S39" s="138"/>
    </row>
    <row r="40" spans="1:19">
      <c r="A40" s="141">
        <v>34335</v>
      </c>
      <c r="B40" s="142">
        <f t="shared" si="7"/>
        <v>34</v>
      </c>
      <c r="C40" s="139">
        <f t="shared" si="8"/>
        <v>45292</v>
      </c>
      <c r="D40" s="138">
        <v>6244.9572282581203</v>
      </c>
      <c r="N40" s="138">
        <f t="shared" si="9"/>
        <v>0.75590372232902192</v>
      </c>
      <c r="O40" s="138">
        <f t="shared" si="10"/>
        <v>6047.2297786321751</v>
      </c>
      <c r="P40" s="138">
        <f t="shared" si="11"/>
        <v>0.94383982254057097</v>
      </c>
      <c r="Q40" s="138">
        <f t="shared" si="5"/>
        <v>3435.5769540476786</v>
      </c>
      <c r="R40" s="138"/>
      <c r="S40" s="138"/>
    </row>
    <row r="41" spans="1:19">
      <c r="A41" s="141">
        <v>34700</v>
      </c>
      <c r="B41" s="142">
        <f t="shared" si="7"/>
        <v>35</v>
      </c>
      <c r="C41" s="139">
        <f>C40+366</f>
        <v>45658</v>
      </c>
      <c r="D41" s="138">
        <v>6327.70975399499</v>
      </c>
      <c r="N41" s="138">
        <f t="shared" si="9"/>
        <v>0.76935552011792208</v>
      </c>
      <c r="O41" s="138">
        <f t="shared" si="10"/>
        <v>6154.8441609433767</v>
      </c>
      <c r="P41" s="138">
        <f t="shared" si="11"/>
        <v>0.94540979678309967</v>
      </c>
      <c r="Q41" s="138">
        <f t="shared" si="5"/>
        <v>3441.2916602904829</v>
      </c>
      <c r="R41" s="138"/>
      <c r="S41" s="138"/>
    </row>
    <row r="42" spans="1:19">
      <c r="A42" s="141">
        <v>35065</v>
      </c>
      <c r="B42" s="142">
        <f t="shared" si="7"/>
        <v>36</v>
      </c>
      <c r="C42" s="139">
        <f t="shared" si="8"/>
        <v>46023</v>
      </c>
      <c r="D42" s="138">
        <v>6403.3337259769196</v>
      </c>
      <c r="N42" s="138">
        <f t="shared" si="9"/>
        <v>0.78227952543055923</v>
      </c>
      <c r="O42" s="138">
        <f t="shared" si="10"/>
        <v>6258.2362034444741</v>
      </c>
      <c r="P42" s="138">
        <f t="shared" si="11"/>
        <v>0.94693834933198429</v>
      </c>
      <c r="Q42" s="138">
        <f t="shared" si="5"/>
        <v>3446.8555915684228</v>
      </c>
      <c r="R42" s="138"/>
      <c r="S42" s="138"/>
    </row>
    <row r="43" spans="1:19">
      <c r="A43" s="141">
        <v>35431</v>
      </c>
      <c r="B43" s="142">
        <f t="shared" si="7"/>
        <v>37</v>
      </c>
      <c r="C43" s="139">
        <f t="shared" si="8"/>
        <v>46388</v>
      </c>
      <c r="D43" s="138">
        <v>6427.7987684027303</v>
      </c>
      <c r="N43" s="138">
        <f t="shared" si="9"/>
        <v>0.7946726158778612</v>
      </c>
      <c r="O43" s="138">
        <f t="shared" si="10"/>
        <v>6357.3809270228894</v>
      </c>
      <c r="P43" s="138">
        <f t="shared" si="11"/>
        <v>0.94842643647568459</v>
      </c>
      <c r="Q43" s="138">
        <f t="shared" si="5"/>
        <v>3452.2722287714919</v>
      </c>
      <c r="R43" s="138"/>
      <c r="S43" s="138"/>
    </row>
    <row r="44" spans="1:19">
      <c r="A44" s="141">
        <v>35796</v>
      </c>
      <c r="B44" s="142">
        <f t="shared" si="7"/>
        <v>38</v>
      </c>
      <c r="C44" s="139">
        <f t="shared" si="8"/>
        <v>46753</v>
      </c>
      <c r="D44" s="138">
        <v>6479.4902494838498</v>
      </c>
      <c r="N44" s="138">
        <f t="shared" si="9"/>
        <v>0.80653472858171749</v>
      </c>
      <c r="O44" s="138">
        <f t="shared" si="10"/>
        <v>6452.2778286537396</v>
      </c>
      <c r="P44" s="138">
        <f t="shared" si="11"/>
        <v>0.9498750000342211</v>
      </c>
      <c r="Q44" s="138">
        <f t="shared" si="5"/>
        <v>3457.5450001245649</v>
      </c>
      <c r="R44" s="138"/>
      <c r="S44" s="138"/>
    </row>
    <row r="45" spans="1:19">
      <c r="A45" s="141">
        <v>36161</v>
      </c>
      <c r="B45" s="142">
        <f t="shared" si="7"/>
        <v>39</v>
      </c>
      <c r="C45" s="139">
        <f>C44+366</f>
        <v>47119</v>
      </c>
      <c r="D45" s="138">
        <v>6505.1329994236403</v>
      </c>
      <c r="N45" s="138">
        <f t="shared" si="9"/>
        <v>0.81786860978870024</v>
      </c>
      <c r="O45" s="138">
        <f t="shared" si="10"/>
        <v>6542.9488783096022</v>
      </c>
      <c r="P45" s="138">
        <f t="shared" si="11"/>
        <v>0.95128496712646471</v>
      </c>
      <c r="Q45" s="138">
        <f t="shared" si="5"/>
        <v>3462.6772803403314</v>
      </c>
      <c r="R45" s="138"/>
      <c r="S45" s="138"/>
    </row>
    <row r="46" spans="1:19">
      <c r="A46" s="141">
        <v>36526</v>
      </c>
      <c r="B46" s="142">
        <f t="shared" si="7"/>
        <v>40</v>
      </c>
      <c r="C46" s="139">
        <f t="shared" si="8"/>
        <v>47484</v>
      </c>
      <c r="D46" s="138">
        <v>6635.4214059666701</v>
      </c>
      <c r="N46" s="138">
        <f t="shared" si="9"/>
        <v>0.82867955146095906</v>
      </c>
      <c r="O46" s="138">
        <f t="shared" si="10"/>
        <v>6629.4364116876723</v>
      </c>
      <c r="P46" s="138">
        <f t="shared" si="11"/>
        <v>0.95265724997187584</v>
      </c>
      <c r="Q46" s="138">
        <f t="shared" si="5"/>
        <v>3467.6723898976279</v>
      </c>
      <c r="R46" s="138"/>
      <c r="S46" s="138"/>
    </row>
    <row r="47" spans="1:19">
      <c r="A47" s="141">
        <v>36892</v>
      </c>
      <c r="B47" s="142">
        <f t="shared" si="7"/>
        <v>41</v>
      </c>
      <c r="C47" s="139">
        <f t="shared" si="8"/>
        <v>47849</v>
      </c>
      <c r="D47" s="138">
        <v>6762.6533964663604</v>
      </c>
      <c r="N47" s="138">
        <f t="shared" si="9"/>
        <v>0.83897512119809547</v>
      </c>
      <c r="O47" s="138">
        <f t="shared" si="10"/>
        <v>6711.8009695847641</v>
      </c>
      <c r="P47" s="138">
        <f t="shared" si="11"/>
        <v>0.95399274572485482</v>
      </c>
      <c r="Q47" s="138">
        <f t="shared" si="5"/>
        <v>3472.5335944384715</v>
      </c>
      <c r="R47" s="138"/>
      <c r="S47" s="138"/>
    </row>
    <row r="48" spans="1:19">
      <c r="A48" s="141">
        <v>37257</v>
      </c>
      <c r="B48" s="142">
        <f t="shared" si="7"/>
        <v>42</v>
      </c>
      <c r="C48" s="139">
        <f t="shared" si="8"/>
        <v>48214</v>
      </c>
      <c r="D48" s="138">
        <v>6900.7805270298604</v>
      </c>
      <c r="N48" s="138">
        <f t="shared" si="9"/>
        <v>0.84876489116393417</v>
      </c>
      <c r="O48" s="138">
        <f t="shared" si="10"/>
        <v>6790.1191293114734</v>
      </c>
      <c r="P48" s="138">
        <f t="shared" si="11"/>
        <v>0.95529233633991828</v>
      </c>
      <c r="Q48" s="138">
        <f t="shared" si="5"/>
        <v>3477.2641042773025</v>
      </c>
      <c r="R48" s="138"/>
      <c r="S48" s="138"/>
    </row>
    <row r="49" spans="1:19">
      <c r="A49" s="141">
        <v>37622</v>
      </c>
      <c r="B49" s="142">
        <f t="shared" si="7"/>
        <v>43</v>
      </c>
      <c r="C49" s="139">
        <f>C48+366</f>
        <v>48580</v>
      </c>
      <c r="D49" s="138">
        <v>7009.7264919686104</v>
      </c>
      <c r="N49" s="138">
        <f t="shared" si="9"/>
        <v>0.85806017094168963</v>
      </c>
      <c r="O49" s="138">
        <f t="shared" si="10"/>
        <v>6864.4813675335172</v>
      </c>
      <c r="P49" s="138">
        <f t="shared" si="11"/>
        <v>0.95655688846596409</v>
      </c>
      <c r="Q49" s="138">
        <f t="shared" si="5"/>
        <v>3481.8670740161092</v>
      </c>
      <c r="R49" s="138"/>
      <c r="S49" s="138"/>
    </row>
    <row r="50" spans="1:19">
      <c r="A50" s="141">
        <v>37987</v>
      </c>
      <c r="B50" s="142">
        <f t="shared" si="7"/>
        <v>44</v>
      </c>
      <c r="C50" s="139">
        <f t="shared" si="8"/>
        <v>48945</v>
      </c>
      <c r="D50" s="138">
        <v>7108.9625244769904</v>
      </c>
      <c r="N50" s="138">
        <f t="shared" si="9"/>
        <v>0.86687374845974463</v>
      </c>
      <c r="O50" s="138">
        <f t="shared" si="10"/>
        <v>6934.9899876779573</v>
      </c>
      <c r="P50" s="138">
        <f t="shared" si="11"/>
        <v>0.95778725336794146</v>
      </c>
      <c r="Q50" s="138">
        <f t="shared" si="5"/>
        <v>3486.3456022593068</v>
      </c>
      <c r="R50" s="138"/>
      <c r="S50" s="138"/>
    </row>
    <row r="51" spans="1:19">
      <c r="A51" s="141">
        <v>38353</v>
      </c>
      <c r="B51" s="142">
        <f t="shared" si="7"/>
        <v>45</v>
      </c>
      <c r="C51" s="139">
        <f t="shared" si="8"/>
        <v>49310</v>
      </c>
      <c r="D51" s="138">
        <v>7138.2214852918496</v>
      </c>
      <c r="N51" s="138">
        <f t="shared" si="9"/>
        <v>0.87521964235182037</v>
      </c>
      <c r="O51" s="138">
        <f t="shared" si="10"/>
        <v>7001.7571388145634</v>
      </c>
      <c r="P51" s="138">
        <f t="shared" si="11"/>
        <v>0.95898426687429716</v>
      </c>
      <c r="Q51" s="138">
        <f t="shared" si="5"/>
        <v>3490.7027314224415</v>
      </c>
      <c r="R51" s="138"/>
      <c r="S51" s="138"/>
    </row>
    <row r="52" spans="1:19">
      <c r="A52" s="141">
        <v>38718</v>
      </c>
      <c r="B52" s="142">
        <f t="shared" si="7"/>
        <v>46</v>
      </c>
      <c r="C52" s="139">
        <f t="shared" si="8"/>
        <v>49675</v>
      </c>
      <c r="D52" s="138">
        <v>7212.4374476875701</v>
      </c>
      <c r="N52" s="138">
        <f t="shared" si="9"/>
        <v>0.88311286836697589</v>
      </c>
      <c r="O52" s="138">
        <f t="shared" si="10"/>
        <v>7064.9029469358074</v>
      </c>
      <c r="P52" s="138">
        <f t="shared" si="11"/>
        <v>0.96014874934862215</v>
      </c>
      <c r="Q52" s="138">
        <f t="shared" si="5"/>
        <v>3494.9414476289849</v>
      </c>
      <c r="R52" s="138"/>
      <c r="S52" s="138"/>
    </row>
    <row r="53" spans="1:19">
      <c r="A53" s="141">
        <v>39083</v>
      </c>
      <c r="B53" s="142">
        <f t="shared" si="7"/>
        <v>47</v>
      </c>
      <c r="C53" s="139">
        <f>C52+366</f>
        <v>50041</v>
      </c>
      <c r="D53" s="138">
        <v>7229.0899129476602</v>
      </c>
      <c r="N53" s="138">
        <f t="shared" si="9"/>
        <v>0.89056922174727315</v>
      </c>
      <c r="O53" s="138">
        <f t="shared" si="10"/>
        <v>7124.5537739781848</v>
      </c>
      <c r="P53" s="138">
        <f t="shared" si="11"/>
        <v>0.96128150568397996</v>
      </c>
      <c r="Q53" s="138">
        <f t="shared" si="5"/>
        <v>3499.0646806896871</v>
      </c>
      <c r="R53" s="138"/>
      <c r="S53" s="138"/>
    </row>
    <row r="54" spans="1:19">
      <c r="A54" s="141">
        <v>39448</v>
      </c>
      <c r="B54" s="142">
        <f t="shared" si="7"/>
        <v>48</v>
      </c>
      <c r="C54" s="139">
        <f t="shared" si="8"/>
        <v>50406</v>
      </c>
      <c r="D54" s="138">
        <v>7187.7640090962304</v>
      </c>
      <c r="N54" s="138">
        <f t="shared" si="9"/>
        <v>0.89760507685859559</v>
      </c>
      <c r="O54" s="138">
        <f t="shared" si="10"/>
        <v>7180.8406148687645</v>
      </c>
      <c r="P54" s="138">
        <f t="shared" si="11"/>
        <v>0.96238332531845128</v>
      </c>
      <c r="Q54" s="138">
        <f t="shared" si="5"/>
        <v>3503.0753041591624</v>
      </c>
      <c r="R54" s="138"/>
      <c r="S54" s="138"/>
    </row>
    <row r="55" spans="1:19">
      <c r="A55" s="141">
        <v>39814</v>
      </c>
      <c r="B55" s="142">
        <f t="shared" si="7"/>
        <v>49</v>
      </c>
      <c r="C55" s="139">
        <f t="shared" si="8"/>
        <v>50771</v>
      </c>
      <c r="D55" s="138">
        <v>6817.1583982365701</v>
      </c>
      <c r="N55" s="138">
        <f t="shared" si="9"/>
        <v>0.90423720480188419</v>
      </c>
      <c r="O55" s="138">
        <f t="shared" si="10"/>
        <v>7233.8976384150737</v>
      </c>
      <c r="P55" s="138">
        <f t="shared" si="11"/>
        <v>0.96345498227048809</v>
      </c>
      <c r="Q55" s="138">
        <f t="shared" si="5"/>
        <v>3506.9761354645766</v>
      </c>
      <c r="R55" s="138"/>
      <c r="S55" s="138"/>
    </row>
    <row r="56" spans="1:19">
      <c r="A56" s="141">
        <v>40179</v>
      </c>
      <c r="B56" s="142">
        <f t="shared" si="7"/>
        <v>50</v>
      </c>
      <c r="C56" s="139">
        <f t="shared" si="8"/>
        <v>51136</v>
      </c>
      <c r="D56" s="138">
        <v>7264.32259073555</v>
      </c>
      <c r="N56" s="138">
        <f t="shared" si="9"/>
        <v>0.91048260925210056</v>
      </c>
      <c r="O56" s="138">
        <f t="shared" si="10"/>
        <v>7283.8608740168047</v>
      </c>
      <c r="P56" s="138">
        <f t="shared" si="11"/>
        <v>0.9644972351927229</v>
      </c>
      <c r="Q56" s="138">
        <f t="shared" si="5"/>
        <v>3510.7699361015116</v>
      </c>
      <c r="R56" s="138"/>
      <c r="S56" s="138"/>
    </row>
    <row r="57" spans="1:19">
      <c r="A57" s="141">
        <v>40544</v>
      </c>
      <c r="B57" s="142">
        <f t="shared" si="7"/>
        <v>51</v>
      </c>
      <c r="C57" s="139">
        <f>C56+366</f>
        <v>51502</v>
      </c>
      <c r="D57" s="138">
        <v>7281.2721741716196</v>
      </c>
      <c r="N57" s="138">
        <f t="shared" si="9"/>
        <v>0.91635838037074746</v>
      </c>
      <c r="O57" s="138">
        <f t="shared" si="10"/>
        <v>7330.8670429659796</v>
      </c>
      <c r="P57" s="138">
        <f t="shared" si="11"/>
        <v>0.96551082744293637</v>
      </c>
      <c r="Q57" s="138">
        <f t="shared" si="5"/>
        <v>3514.4594118922882</v>
      </c>
      <c r="R57" s="138"/>
      <c r="S57" s="138"/>
    </row>
    <row r="58" spans="1:19">
      <c r="A58" s="141">
        <v>40909</v>
      </c>
      <c r="B58" s="142">
        <f t="shared" si="7"/>
        <v>52</v>
      </c>
      <c r="C58" s="139">
        <f t="shared" si="8"/>
        <v>51867</v>
      </c>
      <c r="D58" s="138">
        <v>7270.1525230273401</v>
      </c>
      <c r="N58" s="138">
        <f t="shared" si="9"/>
        <v>0.92188156631196683</v>
      </c>
      <c r="O58" s="138">
        <f t="shared" si="10"/>
        <v>7375.0525304957346</v>
      </c>
      <c r="P58" s="138">
        <f t="shared" si="11"/>
        <v>0.96649648717093872</v>
      </c>
      <c r="Q58" s="138">
        <f t="shared" si="5"/>
        <v>3518.0472133022167</v>
      </c>
      <c r="R58" s="138"/>
      <c r="S58" s="138"/>
    </row>
    <row r="59" spans="1:19">
      <c r="A59" s="141">
        <v>41275</v>
      </c>
      <c r="B59" s="142">
        <f t="shared" si="7"/>
        <v>53</v>
      </c>
      <c r="C59" s="139">
        <f t="shared" si="8"/>
        <v>52232</v>
      </c>
      <c r="D59" s="138">
        <v>7217.5290891549503</v>
      </c>
      <c r="N59" s="138">
        <f t="shared" si="9"/>
        <v>0.92706906158705127</v>
      </c>
      <c r="O59" s="138">
        <f t="shared" si="10"/>
        <v>7416.5524926964099</v>
      </c>
      <c r="P59" s="138">
        <f t="shared" si="11"/>
        <v>0.96745492742017647</v>
      </c>
      <c r="Q59" s="138">
        <f t="shared" si="5"/>
        <v>3521.5359358094424</v>
      </c>
      <c r="R59" s="138"/>
      <c r="S59" s="138"/>
    </row>
    <row r="60" spans="1:19">
      <c r="A60" s="141">
        <v>41640</v>
      </c>
      <c r="B60" s="142">
        <f t="shared" si="7"/>
        <v>54</v>
      </c>
      <c r="C60" s="139">
        <f t="shared" si="8"/>
        <v>52597</v>
      </c>
      <c r="D60" s="138">
        <v>7035.4829747167596</v>
      </c>
      <c r="N60" s="138">
        <f t="shared" si="9"/>
        <v>0.93193751136115044</v>
      </c>
      <c r="O60" s="138">
        <f t="shared" si="10"/>
        <v>7455.5000908892034</v>
      </c>
      <c r="P60" s="138">
        <f t="shared" si="11"/>
        <v>0.9683868462429267</v>
      </c>
      <c r="Q60" s="138">
        <f t="shared" si="5"/>
        <v>3524.9281203242531</v>
      </c>
      <c r="R60" s="138"/>
      <c r="S60" s="138"/>
    </row>
    <row r="61" spans="1:19">
      <c r="A61" s="139">
        <f>A60+365</f>
        <v>42005</v>
      </c>
      <c r="B61" s="142">
        <f t="shared" si="7"/>
        <v>55</v>
      </c>
      <c r="C61" s="139">
        <f>C60+366</f>
        <v>52963</v>
      </c>
      <c r="D61" s="138"/>
      <c r="N61" s="138">
        <f t="shared" si="9"/>
        <v>0.93650323062165053</v>
      </c>
      <c r="O61" s="138">
        <f t="shared" si="10"/>
        <v>7492.0258449732046</v>
      </c>
      <c r="P61" s="138">
        <f t="shared" si="11"/>
        <v>0.96929292682799562</v>
      </c>
      <c r="Q61" s="138">
        <f t="shared" si="5"/>
        <v>3528.2262536539042</v>
      </c>
      <c r="S61">
        <f>SUM(S6:S30)</f>
        <v>51764.169196714007</v>
      </c>
    </row>
    <row r="62" spans="1:19">
      <c r="A62" s="139">
        <f t="shared" ref="A62:A96" si="12">A61+365</f>
        <v>42370</v>
      </c>
      <c r="B62" s="142">
        <f t="shared" si="7"/>
        <v>56</v>
      </c>
      <c r="C62" s="139">
        <f t="shared" si="8"/>
        <v>53328</v>
      </c>
      <c r="N62" s="138">
        <f t="shared" si="9"/>
        <v>0.94078213707243874</v>
      </c>
      <c r="O62" s="138">
        <f t="shared" si="10"/>
        <v>7526.2570965795103</v>
      </c>
      <c r="P62" s="138">
        <f t="shared" si="11"/>
        <v>0.97017383763988652</v>
      </c>
      <c r="Q62" s="138">
        <f t="shared" si="5"/>
        <v>3531.4327690091868</v>
      </c>
    </row>
    <row r="63" spans="1:19">
      <c r="A63" s="139">
        <f>A62+366</f>
        <v>42736</v>
      </c>
      <c r="B63" s="142">
        <f t="shared" si="7"/>
        <v>57</v>
      </c>
      <c r="C63" s="139">
        <f t="shared" si="8"/>
        <v>53693</v>
      </c>
      <c r="N63" s="138">
        <f t="shared" si="9"/>
        <v>0.94478969656437117</v>
      </c>
      <c r="O63" s="138">
        <f t="shared" si="10"/>
        <v>7558.3175725149695</v>
      </c>
      <c r="P63" s="138">
        <f t="shared" si="11"/>
        <v>0.97103023256845333</v>
      </c>
      <c r="Q63" s="138">
        <f t="shared" si="5"/>
        <v>3534.55004654917</v>
      </c>
    </row>
    <row r="64" spans="1:19">
      <c r="A64" s="139">
        <f t="shared" si="12"/>
        <v>43101</v>
      </c>
      <c r="B64" s="142">
        <f t="shared" si="7"/>
        <v>58</v>
      </c>
      <c r="C64" s="139">
        <f t="shared" si="8"/>
        <v>54058</v>
      </c>
      <c r="N64" s="138">
        <f t="shared" si="9"/>
        <v>0.94854087986241509</v>
      </c>
      <c r="O64" s="138">
        <f t="shared" si="10"/>
        <v>7588.3270388993205</v>
      </c>
      <c r="P64" s="138">
        <f t="shared" si="11"/>
        <v>0.9718627510881056</v>
      </c>
      <c r="Q64" s="138">
        <f t="shared" si="5"/>
        <v>3537.5804139607044</v>
      </c>
    </row>
    <row r="65" spans="1:17">
      <c r="A65" s="139">
        <f t="shared" si="12"/>
        <v>43466</v>
      </c>
      <c r="B65" s="142">
        <f t="shared" si="7"/>
        <v>59</v>
      </c>
      <c r="C65" s="139">
        <f>C64+366</f>
        <v>54424</v>
      </c>
      <c r="N65" s="138">
        <f t="shared" si="9"/>
        <v>0.95205012956734003</v>
      </c>
      <c r="O65" s="138">
        <f t="shared" si="10"/>
        <v>7616.4010365387203</v>
      </c>
      <c r="P65" s="138">
        <f t="shared" si="11"/>
        <v>0.97267201842567397</v>
      </c>
      <c r="Q65" s="138">
        <f t="shared" si="5"/>
        <v>3540.5261470694531</v>
      </c>
    </row>
    <row r="66" spans="1:17">
      <c r="A66" s="139">
        <f t="shared" si="12"/>
        <v>43831</v>
      </c>
      <c r="B66" s="142">
        <f t="shared" si="7"/>
        <v>60</v>
      </c>
      <c r="C66" s="139">
        <f t="shared" si="8"/>
        <v>54789</v>
      </c>
      <c r="N66" s="138">
        <f t="shared" si="9"/>
        <v>0.95533133604839959</v>
      </c>
      <c r="O66" s="138">
        <f t="shared" si="10"/>
        <v>7642.6506883871971</v>
      </c>
      <c r="P66" s="138">
        <f t="shared" si="11"/>
        <v>0.97345864573609786</v>
      </c>
      <c r="Q66" s="138">
        <f t="shared" si="5"/>
        <v>3543.3894704793961</v>
      </c>
    </row>
    <row r="67" spans="1:17">
      <c r="A67" s="139">
        <f>A66+366</f>
        <v>44197</v>
      </c>
      <c r="B67" s="142">
        <f t="shared" si="7"/>
        <v>61</v>
      </c>
      <c r="C67" s="139"/>
      <c r="N67" s="138">
        <f t="shared" si="9"/>
        <v>0.9583978212977583</v>
      </c>
      <c r="O67" s="138">
        <f t="shared" si="10"/>
        <v>7667.1825703820668</v>
      </c>
      <c r="P67" s="138"/>
      <c r="Q67" s="138"/>
    </row>
    <row r="68" spans="1:17">
      <c r="A68" s="139">
        <f t="shared" si="12"/>
        <v>44562</v>
      </c>
      <c r="B68" s="142">
        <f t="shared" si="7"/>
        <v>62</v>
      </c>
      <c r="C68" s="139"/>
      <c r="N68" s="138">
        <f t="shared" si="9"/>
        <v>0.96126232968287417</v>
      </c>
      <c r="O68" s="138">
        <f t="shared" si="10"/>
        <v>7690.0986374629938</v>
      </c>
      <c r="P68" s="138"/>
      <c r="Q68" s="138"/>
    </row>
    <row r="69" spans="1:17">
      <c r="A69" s="139">
        <f t="shared" si="12"/>
        <v>44927</v>
      </c>
      <c r="B69" s="142">
        <f t="shared" si="7"/>
        <v>63</v>
      </c>
      <c r="C69" s="139"/>
      <c r="N69" s="138">
        <f t="shared" si="9"/>
        <v>0.96393702464571329</v>
      </c>
      <c r="O69" s="138">
        <f t="shared" si="10"/>
        <v>7711.4961971657067</v>
      </c>
      <c r="P69" s="138"/>
      <c r="Q69" s="138"/>
    </row>
    <row r="70" spans="1:17">
      <c r="A70" s="139">
        <f t="shared" si="12"/>
        <v>45292</v>
      </c>
      <c r="B70" s="142">
        <f t="shared" si="7"/>
        <v>64</v>
      </c>
      <c r="C70" s="139"/>
      <c r="N70" s="138">
        <f t="shared" ref="N70:N96" si="13">EXP($L$17+$M$17*B70)/(1+EXP($L$17+$M$17*B70))</f>
        <v>0.96643349047434457</v>
      </c>
      <c r="O70" s="138">
        <f t="shared" ref="O70:O96" si="14">$J$6*N70</f>
        <v>7731.4679237947566</v>
      </c>
      <c r="P70" s="138"/>
      <c r="Q70" s="138"/>
    </row>
    <row r="71" spans="1:17">
      <c r="A71" s="139">
        <f>A70+366</f>
        <v>45658</v>
      </c>
      <c r="B71" s="142">
        <f t="shared" si="7"/>
        <v>65</v>
      </c>
      <c r="C71" s="139"/>
      <c r="N71" s="138">
        <f t="shared" si="13"/>
        <v>0.9687627383505274</v>
      </c>
      <c r="O71" s="138">
        <f t="shared" si="14"/>
        <v>7750.1019068042187</v>
      </c>
      <c r="P71" s="138"/>
      <c r="Q71" s="138"/>
    </row>
    <row r="72" spans="1:17">
      <c r="A72" s="139">
        <f t="shared" si="12"/>
        <v>46023</v>
      </c>
      <c r="B72" s="142">
        <f t="shared" ref="B72:B96" si="15">B71+1</f>
        <v>66</v>
      </c>
      <c r="C72" s="139"/>
      <c r="N72" s="138">
        <f t="shared" si="13"/>
        <v>0.97093521595432064</v>
      </c>
      <c r="O72" s="138">
        <f t="shared" si="14"/>
        <v>7767.4817276345648</v>
      </c>
      <c r="P72" s="138"/>
      <c r="Q72" s="138"/>
    </row>
    <row r="73" spans="1:17">
      <c r="A73" s="139">
        <f t="shared" si="12"/>
        <v>46388</v>
      </c>
      <c r="B73" s="142">
        <f t="shared" si="15"/>
        <v>67</v>
      </c>
      <c r="C73" s="139"/>
      <c r="N73" s="138">
        <f t="shared" si="13"/>
        <v>0.97296081998195916</v>
      </c>
      <c r="O73" s="138">
        <f t="shared" si="14"/>
        <v>7783.6865598556733</v>
      </c>
      <c r="P73" s="138"/>
      <c r="Q73" s="138"/>
    </row>
    <row r="74" spans="1:17">
      <c r="A74" s="139">
        <f t="shared" si="12"/>
        <v>46753</v>
      </c>
      <c r="B74" s="142">
        <f t="shared" si="15"/>
        <v>68</v>
      </c>
      <c r="C74" s="139"/>
      <c r="N74" s="138">
        <f t="shared" si="13"/>
        <v>0.97484891100509885</v>
      </c>
      <c r="O74" s="138">
        <f t="shared" si="14"/>
        <v>7798.7912880407912</v>
      </c>
      <c r="P74" s="138"/>
      <c r="Q74" s="138"/>
    </row>
    <row r="75" spans="1:17">
      <c r="A75" s="139">
        <f>A74+366</f>
        <v>47119</v>
      </c>
      <c r="B75" s="142">
        <f t="shared" si="15"/>
        <v>69</v>
      </c>
      <c r="C75" s="139"/>
      <c r="N75" s="138">
        <f t="shared" si="13"/>
        <v>0.97660833016724435</v>
      </c>
      <c r="O75" s="138">
        <f t="shared" si="14"/>
        <v>7812.8666413379551</v>
      </c>
      <c r="P75" s="138"/>
      <c r="Q75" s="138"/>
    </row>
    <row r="76" spans="1:17">
      <c r="A76" s="139">
        <f t="shared" si="12"/>
        <v>47484</v>
      </c>
      <c r="B76" s="142">
        <f t="shared" si="15"/>
        <v>70</v>
      </c>
      <c r="C76" s="139"/>
      <c r="N76" s="138">
        <f t="shared" si="13"/>
        <v>0.97824741727621822</v>
      </c>
      <c r="O76" s="138">
        <f t="shared" si="14"/>
        <v>7825.9793382097459</v>
      </c>
      <c r="P76" s="138"/>
      <c r="Q76" s="138"/>
    </row>
    <row r="77" spans="1:17">
      <c r="A77" s="139">
        <f t="shared" si="12"/>
        <v>47849</v>
      </c>
      <c r="B77" s="142">
        <f t="shared" si="15"/>
        <v>71</v>
      </c>
      <c r="C77" s="142"/>
      <c r="N77" s="138">
        <f t="shared" si="13"/>
        <v>0.97977402990963181</v>
      </c>
      <c r="O77" s="138">
        <f t="shared" si="14"/>
        <v>7838.1922392770548</v>
      </c>
    </row>
    <row r="78" spans="1:17">
      <c r="A78" s="139">
        <f t="shared" si="12"/>
        <v>48214</v>
      </c>
      <c r="B78" s="142">
        <f t="shared" si="15"/>
        <v>72</v>
      </c>
      <c r="C78" s="142"/>
      <c r="N78" s="138">
        <f t="shared" si="13"/>
        <v>0.98119556320337042</v>
      </c>
      <c r="O78" s="138">
        <f t="shared" si="14"/>
        <v>7849.5645056269632</v>
      </c>
    </row>
    <row r="79" spans="1:17">
      <c r="A79" s="139">
        <f>A78+366</f>
        <v>48580</v>
      </c>
      <c r="B79" s="142">
        <f t="shared" si="15"/>
        <v>73</v>
      </c>
      <c r="C79" s="142"/>
      <c r="N79" s="138">
        <f t="shared" si="13"/>
        <v>0.98251897004115452</v>
      </c>
      <c r="O79" s="138">
        <f t="shared" si="14"/>
        <v>7860.1517603292359</v>
      </c>
    </row>
    <row r="80" spans="1:17">
      <c r="A80" s="139">
        <f t="shared" si="12"/>
        <v>48945</v>
      </c>
      <c r="B80" s="142">
        <f t="shared" si="15"/>
        <v>74</v>
      </c>
      <c r="C80" s="142"/>
      <c r="N80" s="138">
        <f t="shared" si="13"/>
        <v>0.98375078140642236</v>
      </c>
      <c r="O80" s="138">
        <f t="shared" si="14"/>
        <v>7870.0062512513787</v>
      </c>
    </row>
    <row r="81" spans="1:15">
      <c r="A81" s="139">
        <f t="shared" si="12"/>
        <v>49310</v>
      </c>
      <c r="B81" s="142">
        <f t="shared" si="15"/>
        <v>75</v>
      </c>
      <c r="C81" s="142"/>
      <c r="N81" s="138">
        <f t="shared" si="13"/>
        <v>0.98489712669632412</v>
      </c>
      <c r="O81" s="138">
        <f t="shared" si="14"/>
        <v>7879.1770135705929</v>
      </c>
    </row>
    <row r="82" spans="1:15">
      <c r="A82" s="139">
        <f t="shared" si="12"/>
        <v>49675</v>
      </c>
      <c r="B82" s="142">
        <f t="shared" si="15"/>
        <v>76</v>
      </c>
      <c r="C82" s="142"/>
      <c r="N82" s="138">
        <f t="shared" si="13"/>
        <v>0.98596375383179125</v>
      </c>
      <c r="O82" s="138">
        <f t="shared" si="14"/>
        <v>7887.7100306543298</v>
      </c>
    </row>
    <row r="83" spans="1:15">
      <c r="A83" s="139">
        <f>A82+366</f>
        <v>50041</v>
      </c>
      <c r="B83" s="142">
        <f t="shared" si="15"/>
        <v>77</v>
      </c>
      <c r="C83" s="142"/>
      <c r="N83" s="138">
        <f t="shared" si="13"/>
        <v>0.98695604902775014</v>
      </c>
      <c r="O83" s="138">
        <f t="shared" si="14"/>
        <v>7895.6483922220013</v>
      </c>
    </row>
    <row r="84" spans="1:15">
      <c r="A84" s="139">
        <f t="shared" si="12"/>
        <v>50406</v>
      </c>
      <c r="B84" s="142">
        <f t="shared" si="15"/>
        <v>78</v>
      </c>
      <c r="C84" s="142"/>
      <c r="N84" s="138">
        <f t="shared" si="13"/>
        <v>0.98787905611391003</v>
      </c>
      <c r="O84" s="138">
        <f t="shared" si="14"/>
        <v>7903.03244891128</v>
      </c>
    </row>
    <row r="85" spans="1:15">
      <c r="A85" s="139">
        <f t="shared" si="12"/>
        <v>50771</v>
      </c>
      <c r="B85" s="142">
        <f t="shared" si="15"/>
        <v>79</v>
      </c>
      <c r="C85" s="142"/>
      <c r="N85" s="138">
        <f t="shared" si="13"/>
        <v>0.98873749531949673</v>
      </c>
      <c r="O85" s="138">
        <f t="shared" si="14"/>
        <v>7909.8999625559736</v>
      </c>
    </row>
    <row r="86" spans="1:15">
      <c r="A86" s="139">
        <f t="shared" si="12"/>
        <v>51136</v>
      </c>
      <c r="B86" s="142">
        <f t="shared" si="15"/>
        <v>80</v>
      </c>
      <c r="C86" s="142"/>
      <c r="N86" s="138">
        <f t="shared" si="13"/>
        <v>0.98953578145513965</v>
      </c>
      <c r="O86" s="138">
        <f t="shared" si="14"/>
        <v>7916.2862516411169</v>
      </c>
    </row>
    <row r="87" spans="1:15">
      <c r="A87" s="139">
        <f>A86+366</f>
        <v>51502</v>
      </c>
      <c r="B87" s="142">
        <f t="shared" si="15"/>
        <v>81</v>
      </c>
      <c r="C87" s="142"/>
      <c r="N87" s="138">
        <f t="shared" si="13"/>
        <v>0.99027804144217391</v>
      </c>
      <c r="O87" s="138">
        <f t="shared" si="14"/>
        <v>7922.2243315373917</v>
      </c>
    </row>
    <row r="88" spans="1:15">
      <c r="A88" s="139">
        <f t="shared" si="12"/>
        <v>51867</v>
      </c>
      <c r="B88" s="142">
        <f t="shared" si="15"/>
        <v>82</v>
      </c>
      <c r="C88" s="142"/>
      <c r="N88" s="138">
        <f t="shared" si="13"/>
        <v>0.99096813115417404</v>
      </c>
      <c r="O88" s="138">
        <f t="shared" si="14"/>
        <v>7927.7450492333919</v>
      </c>
    </row>
    <row r="89" spans="1:15">
      <c r="A89" s="139">
        <f t="shared" si="12"/>
        <v>52232</v>
      </c>
      <c r="B89" s="142">
        <f t="shared" si="15"/>
        <v>83</v>
      </c>
      <c r="C89" s="142"/>
      <c r="N89" s="138">
        <f t="shared" si="13"/>
        <v>0.99160965154787795</v>
      </c>
      <c r="O89" s="138">
        <f t="shared" si="14"/>
        <v>7932.877212383024</v>
      </c>
    </row>
    <row r="90" spans="1:15">
      <c r="A90" s="139">
        <f t="shared" si="12"/>
        <v>52597</v>
      </c>
      <c r="B90" s="142">
        <f t="shared" si="15"/>
        <v>84</v>
      </c>
      <c r="C90" s="142"/>
      <c r="N90" s="138">
        <f t="shared" si="13"/>
        <v>0.99220596407104089</v>
      </c>
      <c r="O90" s="138">
        <f t="shared" si="14"/>
        <v>7937.6477125683268</v>
      </c>
    </row>
    <row r="91" spans="1:15">
      <c r="A91" s="139">
        <f>A90+366</f>
        <v>52963</v>
      </c>
      <c r="B91" s="142">
        <f t="shared" si="15"/>
        <v>85</v>
      </c>
      <c r="C91" s="142"/>
      <c r="N91" s="138">
        <f t="shared" si="13"/>
        <v>0.99276020534342291</v>
      </c>
      <c r="O91" s="138">
        <f t="shared" si="14"/>
        <v>7942.0816427473828</v>
      </c>
    </row>
    <row r="92" spans="1:15">
      <c r="A92" s="139">
        <f t="shared" si="12"/>
        <v>53328</v>
      </c>
      <c r="B92" s="142">
        <f t="shared" si="15"/>
        <v>86</v>
      </c>
      <c r="C92" s="142"/>
      <c r="N92" s="138">
        <f t="shared" si="13"/>
        <v>0.9932753011142611</v>
      </c>
      <c r="O92" s="138">
        <f t="shared" si="14"/>
        <v>7946.2024089140887</v>
      </c>
    </row>
    <row r="93" spans="1:15">
      <c r="A93" s="139">
        <f t="shared" si="12"/>
        <v>53693</v>
      </c>
      <c r="B93" s="142">
        <f t="shared" si="15"/>
        <v>87</v>
      </c>
      <c r="C93" s="142"/>
      <c r="N93" s="138">
        <f t="shared" si="13"/>
        <v>0.99375397950542765</v>
      </c>
      <c r="O93" s="138">
        <f t="shared" si="14"/>
        <v>7950.0318360434212</v>
      </c>
    </row>
    <row r="94" spans="1:15">
      <c r="A94" s="139">
        <f t="shared" si="12"/>
        <v>54058</v>
      </c>
      <c r="B94" s="142">
        <f t="shared" si="15"/>
        <v>88</v>
      </c>
      <c r="C94" s="142"/>
      <c r="N94" s="138">
        <f t="shared" si="13"/>
        <v>0.99419878355417746</v>
      </c>
      <c r="O94" s="138">
        <f t="shared" si="14"/>
        <v>7953.5902684334196</v>
      </c>
    </row>
    <row r="95" spans="1:15">
      <c r="A95" s="139">
        <f>A94+366</f>
        <v>54424</v>
      </c>
      <c r="B95" s="142">
        <f t="shared" si="15"/>
        <v>89</v>
      </c>
      <c r="C95" s="142"/>
      <c r="N95" s="138">
        <f t="shared" si="13"/>
        <v>0.99461208307312166</v>
      </c>
      <c r="O95" s="138">
        <f t="shared" si="14"/>
        <v>7956.8966645849732</v>
      </c>
    </row>
    <row r="96" spans="1:15">
      <c r="A96" s="139">
        <f t="shared" si="12"/>
        <v>54789</v>
      </c>
      <c r="B96" s="142">
        <f t="shared" si="15"/>
        <v>90</v>
      </c>
      <c r="C96" s="142"/>
      <c r="N96" s="138">
        <f t="shared" si="13"/>
        <v>0.99499608584795129</v>
      </c>
      <c r="O96" s="138">
        <f t="shared" si="14"/>
        <v>7959.9686867836108</v>
      </c>
    </row>
    <row r="97" spans="1:17">
      <c r="A97" s="139"/>
      <c r="B97" s="142"/>
      <c r="C97" s="142"/>
      <c r="N97" s="138"/>
      <c r="O97" s="138"/>
    </row>
    <row r="98" spans="1:17">
      <c r="A98" s="139"/>
      <c r="B98" s="142"/>
      <c r="C98" s="142"/>
      <c r="N98" s="138"/>
      <c r="O98" s="138"/>
    </row>
    <row r="99" spans="1:17">
      <c r="A99" s="139"/>
      <c r="B99" s="142"/>
      <c r="C99" s="142"/>
      <c r="N99" s="138"/>
      <c r="O99" s="138"/>
    </row>
    <row r="100" spans="1:17">
      <c r="A100" s="139"/>
      <c r="B100" s="142"/>
      <c r="C100" s="142"/>
      <c r="N100" s="138"/>
      <c r="O100" s="138"/>
    </row>
    <row r="101" spans="1:17">
      <c r="A101" s="139"/>
      <c r="B101" s="142"/>
      <c r="C101" s="142"/>
      <c r="N101" s="138"/>
      <c r="O101" s="138"/>
    </row>
    <row r="102" spans="1:17">
      <c r="A102" s="139"/>
      <c r="B102" s="142"/>
      <c r="C102" s="142"/>
      <c r="N102" s="138"/>
      <c r="O102" s="138"/>
    </row>
    <row r="103" spans="1:17">
      <c r="A103" s="139"/>
      <c r="B103" s="142"/>
      <c r="C103" s="142"/>
      <c r="N103" s="138"/>
      <c r="O103" s="138"/>
    </row>
    <row r="104" spans="1:17">
      <c r="A104" s="139"/>
      <c r="B104" s="142"/>
      <c r="C104" s="142"/>
      <c r="N104" s="138"/>
      <c r="O104" s="138"/>
    </row>
    <row r="105" spans="1:17">
      <c r="A105" s="139"/>
      <c r="B105" s="142"/>
      <c r="C105" s="142"/>
      <c r="N105" s="138"/>
      <c r="O105" s="138"/>
    </row>
    <row r="106" spans="1:17">
      <c r="A106" s="139"/>
      <c r="B106" s="142"/>
      <c r="C106" s="142"/>
      <c r="N106" s="138"/>
      <c r="O106" s="138"/>
    </row>
    <row r="107" spans="1:17">
      <c r="A107" s="139"/>
      <c r="Q107" s="138"/>
    </row>
    <row r="108" spans="1:17">
      <c r="A108" s="139"/>
    </row>
  </sheetData>
  <mergeCells count="3">
    <mergeCell ref="A4:A5"/>
    <mergeCell ref="G38:G39"/>
    <mergeCell ref="E4:E5"/>
  </mergeCells>
  <hyperlinks>
    <hyperlink ref="A2" r:id="rId1" xr:uid="{00000000-0004-0000-0700-000000000000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W106"/>
  <sheetViews>
    <sheetView topLeftCell="J4" zoomScaleSheetLayoutView="90" workbookViewId="0">
      <selection activeCell="K35" sqref="K35"/>
    </sheetView>
  </sheetViews>
  <sheetFormatPr baseColWidth="10" defaultColWidth="8.83203125" defaultRowHeight="15"/>
  <cols>
    <col min="1" max="2" width="8" style="162" customWidth="1"/>
    <col min="3" max="4" width="8.83203125" style="138"/>
    <col min="5" max="5" width="12" style="138" bestFit="1" customWidth="1"/>
    <col min="6" max="6" width="8.83203125" style="138"/>
    <col min="9" max="9" width="11.5" customWidth="1"/>
    <col min="10" max="10" width="13.33203125" customWidth="1"/>
    <col min="13" max="13" width="12" bestFit="1" customWidth="1"/>
    <col min="17" max="17" width="12" bestFit="1" customWidth="1"/>
    <col min="18" max="18" width="17" customWidth="1"/>
    <col min="19" max="19" width="13.33203125" customWidth="1"/>
    <col min="22" max="22" width="10.83203125" customWidth="1"/>
    <col min="23" max="23" width="12" customWidth="1"/>
  </cols>
  <sheetData>
    <row r="4" spans="1:23" ht="59.25" customHeight="1">
      <c r="A4" s="163"/>
      <c r="B4" s="163"/>
      <c r="C4" s="167" t="s">
        <v>225</v>
      </c>
      <c r="D4" s="167" t="s">
        <v>226</v>
      </c>
      <c r="E4" s="166" t="s">
        <v>198</v>
      </c>
      <c r="F4" s="167" t="s">
        <v>227</v>
      </c>
      <c r="G4" s="167" t="s">
        <v>252</v>
      </c>
      <c r="H4" s="167" t="s">
        <v>253</v>
      </c>
      <c r="I4" s="167" t="s">
        <v>255</v>
      </c>
      <c r="J4" s="167" t="s">
        <v>256</v>
      </c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</row>
    <row r="5" spans="1:23" ht="16">
      <c r="A5" s="163"/>
      <c r="B5" s="163"/>
      <c r="C5" s="165" t="s">
        <v>204</v>
      </c>
      <c r="D5" s="165" t="s">
        <v>204</v>
      </c>
      <c r="E5" s="165" t="s">
        <v>204</v>
      </c>
      <c r="F5" s="165" t="s">
        <v>204</v>
      </c>
      <c r="G5" s="165" t="s">
        <v>254</v>
      </c>
      <c r="H5" s="165" t="s">
        <v>254</v>
      </c>
      <c r="I5" s="165" t="s">
        <v>204</v>
      </c>
      <c r="J5" s="165" t="s">
        <v>204</v>
      </c>
      <c r="K5" s="165"/>
      <c r="L5" s="165"/>
      <c r="M5" s="138"/>
      <c r="N5" s="138"/>
      <c r="O5" s="138"/>
      <c r="P5" s="138"/>
      <c r="R5" s="165"/>
      <c r="S5" s="165"/>
    </row>
    <row r="6" spans="1:23">
      <c r="A6" s="142">
        <v>0</v>
      </c>
      <c r="B6" s="141">
        <v>32874</v>
      </c>
      <c r="C6" s="138">
        <v>71</v>
      </c>
      <c r="D6" s="138">
        <v>0</v>
      </c>
      <c r="E6" s="138">
        <v>1</v>
      </c>
      <c r="F6" s="138">
        <v>71</v>
      </c>
      <c r="G6" s="138">
        <v>55</v>
      </c>
      <c r="H6" s="138">
        <v>2</v>
      </c>
      <c r="I6">
        <f>G6*8760/1000</f>
        <v>481.8</v>
      </c>
      <c r="J6">
        <f>H6*8760/1000</f>
        <v>17.52</v>
      </c>
      <c r="K6" s="223">
        <v>1</v>
      </c>
      <c r="M6" s="138"/>
      <c r="N6" s="138"/>
      <c r="O6" s="138"/>
      <c r="P6" s="138"/>
      <c r="Q6" s="138"/>
    </row>
    <row r="7" spans="1:23">
      <c r="A7" s="142">
        <v>1</v>
      </c>
      <c r="B7" s="141">
        <v>33239</v>
      </c>
      <c r="C7" s="138">
        <v>100</v>
      </c>
      <c r="D7" s="138">
        <v>0</v>
      </c>
      <c r="E7" s="138">
        <v>1</v>
      </c>
      <c r="F7" s="138">
        <v>100</v>
      </c>
      <c r="G7" s="138">
        <v>106</v>
      </c>
      <c r="H7" s="138">
        <v>2</v>
      </c>
      <c r="I7" s="138">
        <f t="shared" ref="I7:I32" si="0">G7*8760/1000</f>
        <v>928.56</v>
      </c>
      <c r="J7" s="138">
        <f t="shared" ref="J7:J32" si="1">H7*8760/1000</f>
        <v>17.52</v>
      </c>
      <c r="K7" s="223">
        <v>2</v>
      </c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</row>
    <row r="8" spans="1:23">
      <c r="A8" s="142">
        <v>2</v>
      </c>
      <c r="B8" s="141">
        <v>33604</v>
      </c>
      <c r="C8" s="138">
        <v>275</v>
      </c>
      <c r="D8" s="138">
        <v>0</v>
      </c>
      <c r="E8" s="138">
        <v>4</v>
      </c>
      <c r="F8" s="138">
        <v>275</v>
      </c>
      <c r="G8" s="138">
        <v>174</v>
      </c>
      <c r="H8" s="138">
        <v>6</v>
      </c>
      <c r="I8" s="138">
        <f t="shared" si="0"/>
        <v>1524.24</v>
      </c>
      <c r="J8" s="138">
        <f t="shared" si="1"/>
        <v>52.56</v>
      </c>
      <c r="K8" s="223">
        <v>3</v>
      </c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</row>
    <row r="9" spans="1:23">
      <c r="A9" s="142">
        <v>3</v>
      </c>
      <c r="B9" s="141">
        <v>33970</v>
      </c>
      <c r="C9" s="138">
        <v>600</v>
      </c>
      <c r="D9" s="138">
        <v>0</v>
      </c>
      <c r="E9" s="138">
        <v>3</v>
      </c>
      <c r="F9" s="138">
        <v>600</v>
      </c>
      <c r="G9" s="138">
        <v>326</v>
      </c>
      <c r="H9" s="138">
        <v>9</v>
      </c>
      <c r="I9" s="138">
        <f t="shared" si="0"/>
        <v>2855.76</v>
      </c>
      <c r="J9" s="138">
        <f t="shared" si="1"/>
        <v>78.84</v>
      </c>
      <c r="K9" s="223">
        <v>4</v>
      </c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</row>
    <row r="10" spans="1:23">
      <c r="A10" s="142">
        <v>4</v>
      </c>
      <c r="B10" s="141">
        <v>34335</v>
      </c>
      <c r="C10" s="138">
        <v>909</v>
      </c>
      <c r="D10" s="138">
        <v>0</v>
      </c>
      <c r="E10" s="138">
        <v>7</v>
      </c>
      <c r="F10" s="138">
        <v>909</v>
      </c>
      <c r="G10" s="138">
        <v>618</v>
      </c>
      <c r="H10" s="138">
        <v>12</v>
      </c>
      <c r="I10" s="138">
        <f t="shared" si="0"/>
        <v>5413.68</v>
      </c>
      <c r="J10" s="138">
        <f t="shared" si="1"/>
        <v>105.12</v>
      </c>
      <c r="K10" s="223">
        <v>6</v>
      </c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</row>
    <row r="11" spans="1:23">
      <c r="A11" s="142">
        <v>5</v>
      </c>
      <c r="B11" s="141">
        <v>34700</v>
      </c>
      <c r="C11" s="138">
        <v>1500</v>
      </c>
      <c r="D11" s="138">
        <v>0</v>
      </c>
      <c r="E11" s="138">
        <v>7</v>
      </c>
      <c r="F11" s="138">
        <v>1500</v>
      </c>
      <c r="G11" s="138">
        <v>1121</v>
      </c>
      <c r="H11" s="138">
        <v>18</v>
      </c>
      <c r="I11" s="138">
        <f t="shared" si="0"/>
        <v>9819.9599999999991</v>
      </c>
      <c r="J11" s="138">
        <f t="shared" si="1"/>
        <v>157.68</v>
      </c>
      <c r="K11" s="223">
        <v>18</v>
      </c>
      <c r="P11" s="138"/>
      <c r="Q11" s="138"/>
      <c r="R11" s="138"/>
      <c r="S11" s="138"/>
      <c r="T11" s="138"/>
      <c r="U11" s="138"/>
      <c r="V11" s="138"/>
      <c r="W11" s="138"/>
    </row>
    <row r="12" spans="1:23">
      <c r="A12" s="142">
        <v>6</v>
      </c>
      <c r="B12" s="141">
        <v>35065</v>
      </c>
      <c r="C12" s="138">
        <v>2032</v>
      </c>
      <c r="D12" s="138">
        <v>0</v>
      </c>
      <c r="E12" s="138">
        <v>12</v>
      </c>
      <c r="F12" s="138">
        <v>2032</v>
      </c>
      <c r="G12" s="138">
        <v>1549</v>
      </c>
      <c r="H12" s="138">
        <v>28</v>
      </c>
      <c r="I12" s="138">
        <f t="shared" si="0"/>
        <v>13569.24</v>
      </c>
      <c r="J12" s="138">
        <f t="shared" si="1"/>
        <v>245.28</v>
      </c>
      <c r="K12" s="223">
        <v>31</v>
      </c>
      <c r="P12" s="138"/>
      <c r="Q12" s="138"/>
      <c r="R12" s="138"/>
      <c r="S12" s="138"/>
      <c r="T12" s="138"/>
      <c r="U12" s="138"/>
      <c r="V12" s="138"/>
      <c r="W12" s="138"/>
    </row>
    <row r="13" spans="1:23">
      <c r="A13" s="142">
        <v>7</v>
      </c>
      <c r="B13" s="141">
        <v>35431</v>
      </c>
      <c r="C13" s="138">
        <v>2966</v>
      </c>
      <c r="D13" s="138">
        <v>0</v>
      </c>
      <c r="E13" s="138">
        <v>18</v>
      </c>
      <c r="F13" s="138">
        <v>2966</v>
      </c>
      <c r="G13" s="138">
        <v>2089</v>
      </c>
      <c r="H13" s="138">
        <v>42</v>
      </c>
      <c r="I13" s="138">
        <f t="shared" si="0"/>
        <v>18299.64</v>
      </c>
      <c r="J13" s="138">
        <f t="shared" si="1"/>
        <v>367.92</v>
      </c>
      <c r="K13" s="223">
        <v>44</v>
      </c>
      <c r="P13" s="138"/>
      <c r="Q13" s="138"/>
      <c r="R13" s="138"/>
      <c r="S13" s="138"/>
      <c r="T13" s="138"/>
      <c r="U13" s="138"/>
      <c r="V13" s="138"/>
      <c r="W13" s="138"/>
    </row>
    <row r="14" spans="1:23">
      <c r="A14" s="142">
        <v>8</v>
      </c>
      <c r="B14" s="141">
        <v>35796</v>
      </c>
      <c r="C14" s="138">
        <v>4489</v>
      </c>
      <c r="D14" s="138">
        <v>0</v>
      </c>
      <c r="E14" s="138">
        <v>35</v>
      </c>
      <c r="F14" s="138">
        <v>4489</v>
      </c>
      <c r="G14" s="138">
        <v>2877</v>
      </c>
      <c r="H14" s="138">
        <v>54</v>
      </c>
      <c r="I14" s="138">
        <f t="shared" si="0"/>
        <v>25202.52</v>
      </c>
      <c r="J14" s="138">
        <f t="shared" si="1"/>
        <v>473.04</v>
      </c>
      <c r="K14" s="223">
        <v>118</v>
      </c>
      <c r="P14" s="138"/>
      <c r="Q14" s="138"/>
      <c r="R14" s="138"/>
      <c r="S14" s="138"/>
      <c r="T14" s="138"/>
      <c r="U14" s="138"/>
      <c r="V14" s="138"/>
      <c r="W14" s="138"/>
    </row>
    <row r="15" spans="1:23">
      <c r="A15" s="142">
        <v>9</v>
      </c>
      <c r="B15" s="141">
        <v>36161</v>
      </c>
      <c r="C15" s="138">
        <v>5528</v>
      </c>
      <c r="D15" s="138">
        <v>0</v>
      </c>
      <c r="E15" s="138">
        <v>30</v>
      </c>
      <c r="F15" s="138">
        <v>5528</v>
      </c>
      <c r="G15" s="138">
        <v>4435</v>
      </c>
      <c r="H15" s="138">
        <v>70</v>
      </c>
      <c r="I15" s="138">
        <f t="shared" si="0"/>
        <v>38850.6</v>
      </c>
      <c r="J15" s="138">
        <f t="shared" si="1"/>
        <v>613.20000000000005</v>
      </c>
      <c r="K15" s="223">
        <v>145</v>
      </c>
      <c r="N15" s="138"/>
      <c r="O15" s="138"/>
      <c r="P15" s="138"/>
      <c r="Q15" s="138"/>
      <c r="R15" s="138"/>
      <c r="S15" s="138"/>
      <c r="T15" s="138"/>
      <c r="U15" s="138"/>
      <c r="V15" s="138"/>
      <c r="W15" s="138"/>
    </row>
    <row r="16" spans="1:23">
      <c r="A16" s="142">
        <v>10</v>
      </c>
      <c r="B16" s="141">
        <v>36526</v>
      </c>
      <c r="C16" s="138">
        <v>9513</v>
      </c>
      <c r="D16" s="138">
        <v>0</v>
      </c>
      <c r="E16" s="138">
        <v>60</v>
      </c>
      <c r="F16" s="138">
        <v>9513</v>
      </c>
      <c r="G16" s="138">
        <v>6097</v>
      </c>
      <c r="H16" s="138">
        <v>114</v>
      </c>
      <c r="I16" s="138">
        <f t="shared" si="0"/>
        <v>53409.72</v>
      </c>
      <c r="J16" s="138">
        <f t="shared" si="1"/>
        <v>998.64</v>
      </c>
      <c r="K16" s="223">
        <v>445</v>
      </c>
      <c r="P16" s="138"/>
      <c r="Q16" s="138"/>
      <c r="R16" s="138"/>
      <c r="S16" s="138"/>
      <c r="T16" s="138"/>
      <c r="U16" s="138"/>
      <c r="V16" s="138"/>
      <c r="W16" s="138"/>
    </row>
    <row r="17" spans="1:23">
      <c r="A17" s="142">
        <v>11</v>
      </c>
      <c r="B17" s="141">
        <v>36892</v>
      </c>
      <c r="C17" s="138">
        <v>10509</v>
      </c>
      <c r="D17" s="138">
        <v>0</v>
      </c>
      <c r="E17" s="138">
        <v>76</v>
      </c>
      <c r="F17" s="138">
        <v>10509</v>
      </c>
      <c r="G17" s="138">
        <v>8738</v>
      </c>
      <c r="H17" s="138">
        <v>176</v>
      </c>
      <c r="I17" s="138">
        <f t="shared" si="0"/>
        <v>76544.88</v>
      </c>
      <c r="J17" s="138">
        <f t="shared" si="1"/>
        <v>1541.76</v>
      </c>
      <c r="K17" s="223">
        <v>745</v>
      </c>
      <c r="P17" s="138"/>
      <c r="Q17" s="138"/>
      <c r="R17" s="138"/>
      <c r="S17" s="138"/>
      <c r="T17" s="138"/>
      <c r="U17" s="138"/>
      <c r="V17" s="138"/>
      <c r="W17" s="138"/>
    </row>
    <row r="18" spans="1:23">
      <c r="A18" s="142">
        <v>12</v>
      </c>
      <c r="B18" s="141">
        <v>37257</v>
      </c>
      <c r="C18" s="138">
        <v>15786</v>
      </c>
      <c r="D18" s="138">
        <v>0</v>
      </c>
      <c r="E18" s="138">
        <v>162</v>
      </c>
      <c r="F18" s="138">
        <v>15786</v>
      </c>
      <c r="G18" s="138">
        <v>11976</v>
      </c>
      <c r="H18" s="138">
        <v>296</v>
      </c>
      <c r="I18" s="138">
        <f t="shared" si="0"/>
        <v>104909.75999999999</v>
      </c>
      <c r="J18" s="138">
        <f t="shared" si="1"/>
        <v>2592.96</v>
      </c>
      <c r="K18" s="223">
        <v>1046</v>
      </c>
      <c r="P18" s="138"/>
      <c r="Q18" s="138"/>
      <c r="R18" s="138"/>
      <c r="S18" s="138"/>
      <c r="T18" s="138"/>
      <c r="U18" s="138"/>
      <c r="V18" s="138"/>
      <c r="W18" s="138"/>
    </row>
    <row r="19" spans="1:23">
      <c r="A19" s="142">
        <v>13</v>
      </c>
      <c r="B19" s="141">
        <v>37622</v>
      </c>
      <c r="C19" s="138">
        <v>18713</v>
      </c>
      <c r="D19" s="138">
        <v>0</v>
      </c>
      <c r="E19" s="138">
        <v>313</v>
      </c>
      <c r="F19" s="138">
        <v>18713</v>
      </c>
      <c r="G19" s="138">
        <v>14381</v>
      </c>
      <c r="H19" s="138">
        <v>435</v>
      </c>
      <c r="I19" s="138">
        <f t="shared" si="0"/>
        <v>125977.56</v>
      </c>
      <c r="J19" s="138">
        <f t="shared" si="1"/>
        <v>3810.6</v>
      </c>
      <c r="K19" s="223">
        <v>1518</v>
      </c>
      <c r="P19" s="138"/>
      <c r="Q19" s="138"/>
      <c r="R19" s="138"/>
      <c r="S19" s="138"/>
      <c r="T19" s="138"/>
      <c r="U19" s="138"/>
      <c r="V19" s="138"/>
      <c r="W19" s="138"/>
    </row>
    <row r="20" spans="1:23">
      <c r="A20" s="142">
        <v>14</v>
      </c>
      <c r="B20" s="141">
        <v>37987</v>
      </c>
      <c r="C20" s="138">
        <v>25509</v>
      </c>
      <c r="D20" s="138">
        <v>0</v>
      </c>
      <c r="E20" s="138">
        <v>557</v>
      </c>
      <c r="F20" s="138">
        <v>25509</v>
      </c>
      <c r="G20" s="138">
        <v>16419</v>
      </c>
      <c r="H20" s="138">
        <v>1105</v>
      </c>
      <c r="I20" s="138">
        <f t="shared" si="0"/>
        <v>143830.44</v>
      </c>
      <c r="J20" s="138">
        <f t="shared" si="1"/>
        <v>9679.7999999999993</v>
      </c>
      <c r="K20" s="223">
        <v>1111</v>
      </c>
      <c r="P20" s="138"/>
      <c r="Q20" s="138"/>
      <c r="R20" s="138"/>
      <c r="S20" s="138"/>
      <c r="T20" s="138"/>
      <c r="U20" s="138"/>
      <c r="V20" s="138"/>
      <c r="W20" s="138"/>
    </row>
    <row r="21" spans="1:23">
      <c r="A21" s="142">
        <v>15</v>
      </c>
      <c r="B21" s="141">
        <v>38353</v>
      </c>
      <c r="C21" s="138">
        <v>27229</v>
      </c>
      <c r="D21" s="138">
        <v>0</v>
      </c>
      <c r="E21" s="138">
        <v>1282</v>
      </c>
      <c r="F21" s="138">
        <v>27229</v>
      </c>
      <c r="G21" s="138">
        <v>18248</v>
      </c>
      <c r="H21" s="138">
        <v>2056</v>
      </c>
      <c r="I21" s="138">
        <f t="shared" si="0"/>
        <v>159852.48000000001</v>
      </c>
      <c r="J21" s="138">
        <f t="shared" si="1"/>
        <v>18010.560000000001</v>
      </c>
      <c r="K21" s="223">
        <v>1696</v>
      </c>
      <c r="P21" s="138"/>
      <c r="Q21" s="138"/>
      <c r="R21" s="138"/>
      <c r="S21" s="138"/>
      <c r="T21" s="138"/>
      <c r="U21" s="138"/>
      <c r="V21" s="138"/>
      <c r="W21" s="138"/>
    </row>
    <row r="22" spans="1:23">
      <c r="A22" s="142">
        <v>16</v>
      </c>
      <c r="B22" s="141">
        <v>38718</v>
      </c>
      <c r="C22" s="138">
        <v>30710</v>
      </c>
      <c r="D22" s="138">
        <v>0</v>
      </c>
      <c r="E22" s="138">
        <v>2220</v>
      </c>
      <c r="F22" s="138">
        <v>30710</v>
      </c>
      <c r="G22" s="138">
        <v>20474</v>
      </c>
      <c r="H22" s="138">
        <v>2899</v>
      </c>
      <c r="I22" s="138">
        <f t="shared" si="0"/>
        <v>179352.24</v>
      </c>
      <c r="J22" s="138">
        <f t="shared" si="1"/>
        <v>25395.24</v>
      </c>
      <c r="K22" s="223">
        <v>3346</v>
      </c>
      <c r="P22" s="138"/>
      <c r="Q22" s="138"/>
      <c r="R22" s="138"/>
      <c r="S22" s="138"/>
      <c r="T22" s="138"/>
      <c r="U22" s="138"/>
      <c r="V22" s="138"/>
      <c r="W22" s="138"/>
    </row>
    <row r="23" spans="1:23">
      <c r="A23" s="142">
        <v>17</v>
      </c>
      <c r="B23" s="141">
        <v>39083</v>
      </c>
      <c r="C23" s="138">
        <v>39713</v>
      </c>
      <c r="D23" s="138">
        <v>0</v>
      </c>
      <c r="E23" s="138">
        <v>3075</v>
      </c>
      <c r="F23" s="138">
        <v>39713</v>
      </c>
      <c r="G23" s="138">
        <v>22116</v>
      </c>
      <c r="H23" s="138">
        <v>4170</v>
      </c>
      <c r="I23" s="138">
        <f t="shared" si="0"/>
        <v>193736.16</v>
      </c>
      <c r="J23" s="138">
        <f t="shared" si="1"/>
        <v>36529.199999999997</v>
      </c>
      <c r="K23" s="223">
        <v>8406</v>
      </c>
      <c r="P23" s="138"/>
      <c r="Q23" s="138"/>
      <c r="R23" s="138"/>
      <c r="S23" s="138"/>
      <c r="T23" s="138"/>
      <c r="U23" s="138"/>
      <c r="V23" s="138"/>
      <c r="W23" s="138"/>
    </row>
    <row r="24" spans="1:23">
      <c r="A24" s="142">
        <v>18</v>
      </c>
      <c r="B24" s="141">
        <v>39448</v>
      </c>
      <c r="C24" s="138">
        <v>40574</v>
      </c>
      <c r="D24" s="138">
        <v>0</v>
      </c>
      <c r="E24" s="138">
        <v>4420</v>
      </c>
      <c r="F24" s="138">
        <v>40574</v>
      </c>
      <c r="G24" s="138">
        <v>22794</v>
      </c>
      <c r="H24" s="138">
        <v>6120</v>
      </c>
      <c r="I24" s="138">
        <f t="shared" si="0"/>
        <v>199675.44</v>
      </c>
      <c r="J24" s="138">
        <f t="shared" si="1"/>
        <v>53611.199999999997</v>
      </c>
      <c r="K24" s="223">
        <v>11001</v>
      </c>
      <c r="P24" s="138"/>
      <c r="Q24" s="138"/>
      <c r="R24" s="138"/>
      <c r="S24" s="138"/>
      <c r="T24" s="138"/>
      <c r="U24" s="138"/>
      <c r="V24" s="138"/>
      <c r="W24" s="138"/>
    </row>
    <row r="25" spans="1:23">
      <c r="A25" s="142">
        <v>19</v>
      </c>
      <c r="B25" s="141">
        <v>39814</v>
      </c>
      <c r="C25" s="138">
        <v>38610</v>
      </c>
      <c r="D25" s="138">
        <v>38</v>
      </c>
      <c r="E25" s="138">
        <v>6583</v>
      </c>
      <c r="F25" s="138">
        <v>38648</v>
      </c>
      <c r="G25" s="138">
        <v>25732</v>
      </c>
      <c r="H25" s="138">
        <v>10566</v>
      </c>
      <c r="I25" s="138">
        <f t="shared" si="0"/>
        <v>225412.32</v>
      </c>
      <c r="J25" s="138">
        <f t="shared" si="1"/>
        <v>92558.16</v>
      </c>
      <c r="K25" s="223">
        <v>13249</v>
      </c>
      <c r="P25" s="138"/>
      <c r="Q25" s="138"/>
      <c r="R25" s="138"/>
      <c r="S25" s="138"/>
      <c r="T25" s="138"/>
      <c r="U25" s="138"/>
      <c r="V25" s="138"/>
      <c r="W25" s="138"/>
    </row>
    <row r="26" spans="1:23">
      <c r="A26" s="142">
        <v>20</v>
      </c>
      <c r="B26" s="141">
        <v>40179</v>
      </c>
      <c r="C26" s="138">
        <v>37619</v>
      </c>
      <c r="D26" s="138">
        <v>176</v>
      </c>
      <c r="E26" s="138">
        <v>11729</v>
      </c>
      <c r="F26" s="138">
        <v>37795</v>
      </c>
      <c r="G26" s="138">
        <v>26903</v>
      </c>
      <c r="H26" s="138">
        <v>17944</v>
      </c>
      <c r="I26" s="138">
        <f t="shared" si="0"/>
        <v>235670.28</v>
      </c>
      <c r="J26" s="138">
        <f t="shared" si="1"/>
        <v>157189.44</v>
      </c>
      <c r="K26" s="223">
        <v>15656</v>
      </c>
      <c r="P26" s="138"/>
      <c r="Q26" s="138"/>
      <c r="R26" s="138"/>
      <c r="S26" s="138"/>
      <c r="T26" s="138"/>
      <c r="U26" s="138"/>
      <c r="V26" s="138"/>
      <c r="W26" s="138"/>
    </row>
    <row r="27" spans="1:23">
      <c r="A27" s="142">
        <v>21</v>
      </c>
      <c r="B27" s="141">
        <v>40544</v>
      </c>
      <c r="C27" s="138">
        <v>48314</v>
      </c>
      <c r="D27" s="138">
        <v>577</v>
      </c>
      <c r="E27" s="138">
        <v>19599</v>
      </c>
      <c r="F27" s="138">
        <v>48891</v>
      </c>
      <c r="G27" s="138">
        <v>28712</v>
      </c>
      <c r="H27" s="138">
        <v>25429</v>
      </c>
      <c r="I27" s="138">
        <f t="shared" si="0"/>
        <v>251517.12</v>
      </c>
      <c r="J27" s="138">
        <f t="shared" si="1"/>
        <v>222758.04</v>
      </c>
      <c r="K27" s="223">
        <v>19316</v>
      </c>
      <c r="P27" s="138"/>
      <c r="Q27" s="138"/>
      <c r="R27" s="138"/>
      <c r="S27" s="138"/>
      <c r="T27" s="138"/>
      <c r="U27" s="138"/>
      <c r="V27" s="138"/>
      <c r="W27" s="138"/>
    </row>
    <row r="28" spans="1:23">
      <c r="A28" s="142">
        <v>22</v>
      </c>
      <c r="B28" s="141">
        <v>40909</v>
      </c>
      <c r="C28" s="138">
        <v>49949</v>
      </c>
      <c r="D28" s="138">
        <v>732</v>
      </c>
      <c r="E28" s="138">
        <v>26380</v>
      </c>
      <c r="F28" s="138">
        <v>50681</v>
      </c>
      <c r="G28" s="138">
        <v>30979</v>
      </c>
      <c r="H28" s="138">
        <v>33033</v>
      </c>
      <c r="I28" s="138">
        <f t="shared" si="0"/>
        <v>271376.03999999998</v>
      </c>
      <c r="J28" s="138">
        <f t="shared" si="1"/>
        <v>289369.08</v>
      </c>
      <c r="K28" s="223">
        <v>25477</v>
      </c>
      <c r="P28" s="138"/>
      <c r="Q28" s="138"/>
      <c r="R28" s="138"/>
      <c r="S28" s="138"/>
      <c r="T28" s="138"/>
      <c r="U28" s="138"/>
      <c r="V28" s="138"/>
      <c r="W28" s="138"/>
    </row>
    <row r="29" spans="1:23">
      <c r="A29" s="142">
        <v>23</v>
      </c>
      <c r="B29" s="141">
        <v>41275</v>
      </c>
      <c r="C29" s="138">
        <v>50803</v>
      </c>
      <c r="D29" s="138">
        <v>918</v>
      </c>
      <c r="E29" s="138">
        <v>31010</v>
      </c>
      <c r="F29" s="138">
        <v>51721</v>
      </c>
      <c r="G29" s="138">
        <v>33477</v>
      </c>
      <c r="H29" s="138">
        <v>36337</v>
      </c>
      <c r="I29" s="138">
        <f t="shared" si="0"/>
        <v>293258.52</v>
      </c>
      <c r="J29" s="138">
        <f t="shared" si="1"/>
        <v>318312.12</v>
      </c>
      <c r="K29" s="223">
        <v>27480</v>
      </c>
      <c r="P29" s="138"/>
      <c r="Q29" s="138"/>
      <c r="R29" s="138"/>
      <c r="S29" s="138"/>
      <c r="T29" s="138"/>
      <c r="U29" s="138"/>
      <c r="V29" s="138"/>
      <c r="W29" s="138"/>
    </row>
    <row r="30" spans="1:23">
      <c r="A30" s="142">
        <v>24</v>
      </c>
      <c r="B30" s="141">
        <v>41640</v>
      </c>
      <c r="C30" s="138">
        <v>55908</v>
      </c>
      <c r="D30" s="138">
        <v>1471</v>
      </c>
      <c r="E30" s="138">
        <v>36056</v>
      </c>
      <c r="F30" s="138">
        <v>57379</v>
      </c>
      <c r="G30" s="138">
        <v>38614</v>
      </c>
      <c r="H30" s="138">
        <v>38343</v>
      </c>
      <c r="I30" s="138">
        <f t="shared" si="0"/>
        <v>338258.64</v>
      </c>
      <c r="J30" s="138">
        <f t="shared" si="1"/>
        <v>335884.68</v>
      </c>
      <c r="K30" s="223">
        <v>29324</v>
      </c>
      <c r="P30" s="138"/>
      <c r="Q30" s="138"/>
      <c r="R30" s="138"/>
      <c r="S30" s="138"/>
      <c r="T30" s="138"/>
      <c r="U30" s="138"/>
      <c r="V30" s="138"/>
      <c r="W30" s="138"/>
    </row>
    <row r="31" spans="1:23">
      <c r="A31" s="142">
        <v>25</v>
      </c>
      <c r="B31" s="139">
        <v>42005</v>
      </c>
      <c r="C31" s="138">
        <v>70922</v>
      </c>
      <c r="D31" s="138">
        <v>8284</v>
      </c>
      <c r="E31" s="138">
        <v>38726</v>
      </c>
      <c r="F31" s="138">
        <v>79206</v>
      </c>
      <c r="G31" s="138">
        <v>44541</v>
      </c>
      <c r="H31" s="138">
        <v>39799</v>
      </c>
      <c r="I31" s="138">
        <f t="shared" si="0"/>
        <v>390179.16</v>
      </c>
      <c r="J31" s="138">
        <f t="shared" si="1"/>
        <v>348639.24</v>
      </c>
      <c r="K31" s="223">
        <v>31288</v>
      </c>
      <c r="P31" s="138"/>
      <c r="Q31" s="138"/>
      <c r="R31" s="138"/>
      <c r="S31" s="138"/>
      <c r="T31" s="138"/>
      <c r="U31" s="138"/>
      <c r="V31" s="138"/>
      <c r="W31" s="138"/>
    </row>
    <row r="32" spans="1:23">
      <c r="A32" s="142">
        <v>26</v>
      </c>
      <c r="B32" s="139">
        <v>42370</v>
      </c>
      <c r="C32" s="138">
        <v>65047</v>
      </c>
      <c r="D32" s="138">
        <v>12365</v>
      </c>
      <c r="E32" s="138">
        <v>38171</v>
      </c>
      <c r="F32" s="138">
        <v>77412</v>
      </c>
      <c r="G32" s="138">
        <v>49534</v>
      </c>
      <c r="H32" s="138">
        <v>41275</v>
      </c>
      <c r="I32" s="138">
        <f t="shared" si="0"/>
        <v>433917.84</v>
      </c>
      <c r="J32" s="138">
        <f t="shared" si="1"/>
        <v>361569</v>
      </c>
      <c r="K32" s="223">
        <v>32370</v>
      </c>
      <c r="P32" s="138"/>
      <c r="Q32" s="138"/>
      <c r="R32" s="138"/>
      <c r="S32" s="138"/>
      <c r="T32" s="138"/>
      <c r="U32" s="138"/>
      <c r="V32" s="138"/>
      <c r="W32" s="138"/>
    </row>
    <row r="33" spans="1:23">
      <c r="A33" s="142">
        <v>27</v>
      </c>
      <c r="B33" s="139">
        <v>42736</v>
      </c>
      <c r="P33" s="138"/>
      <c r="Q33" s="138"/>
      <c r="R33" s="138"/>
      <c r="S33" s="138"/>
      <c r="W33" s="138"/>
    </row>
    <row r="34" spans="1:23">
      <c r="A34" s="142">
        <v>28</v>
      </c>
      <c r="B34" s="139">
        <v>43101</v>
      </c>
      <c r="P34" s="138"/>
      <c r="Q34" s="138"/>
      <c r="R34" s="138"/>
      <c r="S34" s="138"/>
    </row>
    <row r="35" spans="1:23">
      <c r="A35" s="142">
        <v>29</v>
      </c>
      <c r="B35" s="139">
        <v>43466</v>
      </c>
      <c r="P35" s="138"/>
      <c r="Q35" s="138"/>
      <c r="R35" s="138"/>
      <c r="S35" s="138"/>
    </row>
    <row r="36" spans="1:23">
      <c r="A36" s="142">
        <v>30</v>
      </c>
      <c r="B36" s="139">
        <v>43831</v>
      </c>
      <c r="P36" s="138"/>
      <c r="Q36" s="138"/>
      <c r="R36" s="138"/>
      <c r="S36" s="138"/>
    </row>
    <row r="37" spans="1:23">
      <c r="A37" s="142">
        <v>31</v>
      </c>
      <c r="B37" s="139">
        <v>44197</v>
      </c>
      <c r="P37" s="138"/>
      <c r="Q37" s="138"/>
      <c r="R37" s="138"/>
      <c r="S37" s="138"/>
    </row>
    <row r="38" spans="1:23">
      <c r="A38" s="142">
        <v>32</v>
      </c>
      <c r="B38" s="139">
        <v>44562</v>
      </c>
      <c r="D38" s="332"/>
      <c r="P38" s="138"/>
      <c r="Q38" s="138"/>
      <c r="R38" s="138"/>
      <c r="S38" s="138"/>
    </row>
    <row r="39" spans="1:23">
      <c r="A39" s="142">
        <v>33</v>
      </c>
      <c r="B39" s="139">
        <v>44927</v>
      </c>
      <c r="D39" s="332"/>
      <c r="P39" s="138"/>
      <c r="Q39" s="138"/>
      <c r="R39" s="138"/>
      <c r="S39" s="138"/>
    </row>
    <row r="40" spans="1:23">
      <c r="A40" s="142">
        <v>34</v>
      </c>
      <c r="B40" s="139">
        <v>45292</v>
      </c>
      <c r="P40" s="138"/>
      <c r="Q40" s="138"/>
      <c r="R40" s="138"/>
      <c r="S40" s="138"/>
    </row>
    <row r="41" spans="1:23">
      <c r="A41" s="142">
        <v>35</v>
      </c>
      <c r="B41" s="139">
        <v>45658</v>
      </c>
      <c r="P41" s="138"/>
      <c r="Q41" s="138"/>
      <c r="R41" s="138"/>
      <c r="S41" s="138"/>
    </row>
    <row r="42" spans="1:23">
      <c r="A42" s="142">
        <v>36</v>
      </c>
      <c r="B42" s="139">
        <v>46023</v>
      </c>
      <c r="P42" s="138"/>
      <c r="Q42" s="138"/>
      <c r="R42" s="138"/>
      <c r="S42" s="138"/>
    </row>
    <row r="43" spans="1:23">
      <c r="A43" s="142">
        <v>37</v>
      </c>
      <c r="B43" s="139">
        <v>46388</v>
      </c>
      <c r="P43" s="138"/>
      <c r="Q43" s="138"/>
      <c r="R43" s="138"/>
      <c r="S43" s="138"/>
    </row>
    <row r="44" spans="1:23">
      <c r="A44" s="142">
        <v>38</v>
      </c>
      <c r="B44" s="139">
        <v>46753</v>
      </c>
      <c r="P44" s="138"/>
      <c r="Q44" s="138"/>
      <c r="R44" s="138"/>
      <c r="S44" s="138"/>
    </row>
    <row r="45" spans="1:23">
      <c r="A45" s="142">
        <v>39</v>
      </c>
      <c r="B45" s="139">
        <v>47119</v>
      </c>
      <c r="P45" s="138"/>
      <c r="Q45" s="138"/>
      <c r="R45" s="138"/>
      <c r="S45" s="138"/>
    </row>
    <row r="46" spans="1:23">
      <c r="A46" s="142">
        <v>40</v>
      </c>
      <c r="B46" s="139">
        <v>47484</v>
      </c>
      <c r="P46" s="138"/>
      <c r="Q46" s="138"/>
      <c r="R46" s="138"/>
      <c r="S46" s="138"/>
    </row>
    <row r="47" spans="1:23">
      <c r="A47" s="142">
        <v>41</v>
      </c>
      <c r="B47" s="139">
        <v>47849</v>
      </c>
      <c r="P47" s="138"/>
      <c r="Q47" s="138"/>
      <c r="R47" s="138"/>
      <c r="S47" s="138"/>
    </row>
    <row r="48" spans="1:23">
      <c r="A48" s="142">
        <v>42</v>
      </c>
      <c r="B48" s="139">
        <v>48214</v>
      </c>
      <c r="P48" s="138"/>
      <c r="Q48" s="138"/>
      <c r="R48" s="138"/>
      <c r="S48" s="138"/>
    </row>
    <row r="49" spans="1:19">
      <c r="A49" s="142">
        <v>43</v>
      </c>
      <c r="B49" s="139">
        <v>48580</v>
      </c>
      <c r="P49" s="138"/>
      <c r="Q49" s="138"/>
      <c r="R49" s="138"/>
      <c r="S49" s="138"/>
    </row>
    <row r="50" spans="1:19">
      <c r="A50" s="142">
        <v>44</v>
      </c>
      <c r="B50" s="139">
        <v>48945</v>
      </c>
      <c r="P50" s="138"/>
      <c r="Q50" s="138"/>
      <c r="R50" s="138"/>
      <c r="S50" s="138"/>
    </row>
    <row r="51" spans="1:19">
      <c r="A51" s="142">
        <v>45</v>
      </c>
      <c r="B51" s="139">
        <v>49310</v>
      </c>
      <c r="P51" s="138"/>
      <c r="Q51" s="138"/>
      <c r="R51" s="138"/>
      <c r="S51" s="138"/>
    </row>
    <row r="52" spans="1:19">
      <c r="A52" s="142">
        <v>46</v>
      </c>
      <c r="B52" s="139">
        <v>49675</v>
      </c>
      <c r="P52" s="138"/>
      <c r="Q52" s="138"/>
      <c r="R52" s="138"/>
      <c r="S52" s="138"/>
    </row>
    <row r="53" spans="1:19">
      <c r="A53" s="142">
        <v>47</v>
      </c>
      <c r="B53" s="139">
        <v>50041</v>
      </c>
      <c r="P53" s="138"/>
      <c r="Q53" s="138"/>
      <c r="R53" s="138"/>
      <c r="S53" s="138"/>
    </row>
    <row r="54" spans="1:19">
      <c r="A54" s="142">
        <v>48</v>
      </c>
      <c r="B54" s="139">
        <v>50406</v>
      </c>
      <c r="P54" s="138"/>
      <c r="Q54" s="138"/>
      <c r="R54" s="138"/>
      <c r="S54" s="138"/>
    </row>
    <row r="55" spans="1:19">
      <c r="A55" s="142">
        <v>49</v>
      </c>
      <c r="B55" s="139">
        <v>50771</v>
      </c>
      <c r="P55" s="138"/>
      <c r="Q55" s="138"/>
      <c r="R55" s="138"/>
      <c r="S55" s="138"/>
    </row>
    <row r="56" spans="1:19">
      <c r="A56" s="142">
        <v>50</v>
      </c>
      <c r="B56" s="139">
        <v>51136</v>
      </c>
      <c r="P56" s="138"/>
      <c r="Q56" s="138"/>
      <c r="R56" s="138"/>
      <c r="S56" s="138"/>
    </row>
    <row r="57" spans="1:19">
      <c r="A57" s="142">
        <v>51</v>
      </c>
      <c r="B57" s="139">
        <v>51502</v>
      </c>
      <c r="P57" s="138"/>
      <c r="Q57" s="138"/>
      <c r="R57" s="138"/>
      <c r="S57" s="138"/>
    </row>
    <row r="58" spans="1:19">
      <c r="A58" s="142">
        <v>52</v>
      </c>
      <c r="B58" s="139">
        <v>51867</v>
      </c>
      <c r="P58" s="138"/>
      <c r="Q58" s="138"/>
      <c r="R58" s="138"/>
      <c r="S58" s="138"/>
    </row>
    <row r="59" spans="1:19">
      <c r="A59" s="142">
        <v>53</v>
      </c>
      <c r="B59" s="139">
        <v>52232</v>
      </c>
      <c r="P59" s="138"/>
      <c r="Q59" s="138"/>
      <c r="R59" s="138"/>
      <c r="S59" s="138"/>
    </row>
    <row r="60" spans="1:19">
      <c r="A60" s="142">
        <v>54</v>
      </c>
      <c r="B60" s="139">
        <v>52597</v>
      </c>
      <c r="P60" s="138"/>
      <c r="Q60" s="138"/>
      <c r="R60" s="138"/>
      <c r="S60" s="138"/>
    </row>
    <row r="61" spans="1:19">
      <c r="A61" s="142">
        <v>55</v>
      </c>
      <c r="B61" s="139">
        <v>52963</v>
      </c>
      <c r="P61" s="138"/>
      <c r="Q61" s="138"/>
      <c r="R61" s="138"/>
      <c r="S61" s="138"/>
    </row>
    <row r="62" spans="1:19">
      <c r="A62" s="142">
        <v>56</v>
      </c>
      <c r="B62" s="139">
        <v>53328</v>
      </c>
      <c r="P62" s="138"/>
      <c r="Q62" s="138"/>
      <c r="R62" s="138"/>
      <c r="S62" s="138"/>
    </row>
    <row r="63" spans="1:19">
      <c r="A63" s="142">
        <v>57</v>
      </c>
      <c r="B63" s="139">
        <v>53693</v>
      </c>
      <c r="P63" s="138"/>
      <c r="Q63" s="138"/>
      <c r="R63" s="138"/>
      <c r="S63" s="138"/>
    </row>
    <row r="64" spans="1:19">
      <c r="A64" s="142">
        <v>58</v>
      </c>
      <c r="B64" s="139">
        <v>54058</v>
      </c>
      <c r="P64" s="138"/>
      <c r="Q64" s="138"/>
      <c r="R64" s="138"/>
      <c r="S64" s="138"/>
    </row>
    <row r="65" spans="1:19">
      <c r="A65" s="142">
        <v>59</v>
      </c>
      <c r="B65" s="139">
        <v>54424</v>
      </c>
      <c r="P65" s="138"/>
      <c r="Q65" s="138"/>
      <c r="R65" s="138"/>
      <c r="S65" s="138"/>
    </row>
    <row r="66" spans="1:19">
      <c r="A66" s="142">
        <v>60</v>
      </c>
      <c r="B66" s="139">
        <v>54789</v>
      </c>
      <c r="P66" s="138"/>
      <c r="Q66" s="138"/>
      <c r="R66" s="138"/>
      <c r="S66" s="138"/>
    </row>
    <row r="67" spans="1:19">
      <c r="A67" s="142"/>
      <c r="B67" s="139"/>
      <c r="P67" s="138"/>
    </row>
    <row r="68" spans="1:19">
      <c r="A68" s="142"/>
      <c r="B68" s="139"/>
      <c r="P68" s="138"/>
    </row>
    <row r="69" spans="1:19">
      <c r="A69" s="142"/>
      <c r="B69" s="139"/>
      <c r="P69" s="138"/>
    </row>
    <row r="70" spans="1:19">
      <c r="A70" s="142"/>
      <c r="B70" s="139"/>
      <c r="P70" s="138"/>
    </row>
    <row r="71" spans="1:19">
      <c r="A71" s="142"/>
      <c r="B71" s="139"/>
      <c r="P71" s="138"/>
    </row>
    <row r="72" spans="1:19">
      <c r="A72" s="142"/>
      <c r="B72" s="139"/>
      <c r="P72" s="138"/>
    </row>
    <row r="73" spans="1:19">
      <c r="A73" s="142"/>
      <c r="B73" s="139"/>
      <c r="P73" s="138"/>
    </row>
    <row r="74" spans="1:19">
      <c r="A74" s="142"/>
      <c r="B74" s="139"/>
      <c r="P74" s="138"/>
    </row>
    <row r="75" spans="1:19">
      <c r="A75" s="142"/>
      <c r="B75" s="139"/>
      <c r="P75" s="138"/>
    </row>
    <row r="76" spans="1:19">
      <c r="A76" s="142"/>
      <c r="B76" s="139"/>
      <c r="P76" s="138"/>
    </row>
    <row r="77" spans="1:19">
      <c r="A77" s="142"/>
      <c r="B77" s="142"/>
    </row>
    <row r="78" spans="1:19">
      <c r="A78" s="142"/>
      <c r="B78" s="142"/>
    </row>
    <row r="79" spans="1:19">
      <c r="A79" s="142"/>
      <c r="B79" s="142"/>
    </row>
    <row r="80" spans="1:19">
      <c r="A80" s="142"/>
      <c r="B80" s="142"/>
    </row>
    <row r="81" spans="1:2">
      <c r="A81" s="142"/>
      <c r="B81" s="142"/>
    </row>
    <row r="82" spans="1:2">
      <c r="A82" s="142"/>
      <c r="B82" s="142"/>
    </row>
    <row r="83" spans="1:2">
      <c r="A83" s="142"/>
      <c r="B83" s="142"/>
    </row>
    <row r="84" spans="1:2">
      <c r="A84" s="142"/>
      <c r="B84" s="142"/>
    </row>
    <row r="85" spans="1:2">
      <c r="A85" s="142"/>
      <c r="B85" s="142"/>
    </row>
    <row r="86" spans="1:2">
      <c r="A86" s="142"/>
      <c r="B86" s="142"/>
    </row>
    <row r="87" spans="1:2">
      <c r="A87" s="142"/>
      <c r="B87" s="142"/>
    </row>
    <row r="88" spans="1:2">
      <c r="A88" s="142"/>
      <c r="B88" s="142"/>
    </row>
    <row r="89" spans="1:2">
      <c r="A89" s="142"/>
      <c r="B89" s="142"/>
    </row>
    <row r="90" spans="1:2">
      <c r="A90" s="142"/>
      <c r="B90" s="142"/>
    </row>
    <row r="91" spans="1:2">
      <c r="A91" s="142"/>
      <c r="B91" s="142"/>
    </row>
    <row r="92" spans="1:2">
      <c r="A92" s="142"/>
      <c r="B92" s="142"/>
    </row>
    <row r="93" spans="1:2">
      <c r="A93" s="142"/>
      <c r="B93" s="142"/>
    </row>
    <row r="94" spans="1:2">
      <c r="A94" s="142"/>
      <c r="B94" s="142"/>
    </row>
    <row r="95" spans="1:2">
      <c r="A95" s="142"/>
      <c r="B95" s="142"/>
    </row>
    <row r="96" spans="1:2">
      <c r="A96" s="142"/>
      <c r="B96" s="142"/>
    </row>
    <row r="97" spans="1:2">
      <c r="A97" s="142"/>
      <c r="B97" s="142"/>
    </row>
    <row r="98" spans="1:2">
      <c r="A98" s="142"/>
      <c r="B98" s="142"/>
    </row>
    <row r="99" spans="1:2">
      <c r="A99" s="142"/>
      <c r="B99" s="142"/>
    </row>
    <row r="100" spans="1:2">
      <c r="A100" s="142"/>
      <c r="B100" s="142"/>
    </row>
    <row r="101" spans="1:2">
      <c r="A101" s="142"/>
      <c r="B101" s="142"/>
    </row>
    <row r="102" spans="1:2">
      <c r="A102" s="142"/>
      <c r="B102" s="142"/>
    </row>
    <row r="103" spans="1:2">
      <c r="A103" s="142"/>
      <c r="B103" s="142"/>
    </row>
    <row r="104" spans="1:2">
      <c r="A104" s="142"/>
      <c r="B104" s="142"/>
    </row>
    <row r="105" spans="1:2">
      <c r="A105" s="142"/>
      <c r="B105" s="142"/>
    </row>
    <row r="106" spans="1:2">
      <c r="A106" s="142"/>
      <c r="B106" s="142"/>
    </row>
  </sheetData>
  <mergeCells count="1">
    <mergeCell ref="D38:D39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90"/>
  <sheetViews>
    <sheetView workbookViewId="0">
      <selection activeCell="I48" sqref="I48:I63"/>
    </sheetView>
  </sheetViews>
  <sheetFormatPr baseColWidth="10" defaultColWidth="11.5" defaultRowHeight="15"/>
  <cols>
    <col min="2" max="2" width="23.1640625" customWidth="1"/>
    <col min="4" max="4" width="11.1640625" customWidth="1"/>
    <col min="9" max="9" width="12" bestFit="1" customWidth="1"/>
    <col min="10" max="10" width="12.5" bestFit="1" customWidth="1"/>
  </cols>
  <sheetData>
    <row r="1" spans="1:37">
      <c r="A1" s="336" t="s">
        <v>150</v>
      </c>
      <c r="B1" s="333" t="s">
        <v>151</v>
      </c>
      <c r="C1" s="337" t="s">
        <v>208</v>
      </c>
      <c r="D1" s="338"/>
      <c r="E1" s="338"/>
      <c r="F1" s="339"/>
      <c r="G1" s="65" t="s">
        <v>209</v>
      </c>
      <c r="H1" s="345" t="s">
        <v>184</v>
      </c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47"/>
      <c r="W1" s="340" t="s">
        <v>203</v>
      </c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  <c r="AJ1" s="341"/>
      <c r="AK1" s="342"/>
    </row>
    <row r="2" spans="1:37">
      <c r="A2" s="336"/>
      <c r="B2" s="333"/>
      <c r="C2" s="58" t="s">
        <v>179</v>
      </c>
      <c r="D2" s="58" t="s">
        <v>180</v>
      </c>
      <c r="E2" s="58" t="s">
        <v>181</v>
      </c>
      <c r="F2" s="58" t="s">
        <v>182</v>
      </c>
      <c r="G2" s="60"/>
      <c r="H2" s="70" t="s">
        <v>185</v>
      </c>
      <c r="I2" s="70" t="s">
        <v>186</v>
      </c>
      <c r="J2" s="70" t="s">
        <v>187</v>
      </c>
      <c r="K2" s="70" t="s">
        <v>192</v>
      </c>
      <c r="L2" s="70" t="s">
        <v>188</v>
      </c>
      <c r="M2" s="70" t="s">
        <v>189</v>
      </c>
      <c r="N2" s="70" t="s">
        <v>190</v>
      </c>
      <c r="O2" s="70" t="s">
        <v>191</v>
      </c>
      <c r="P2" s="70" t="s">
        <v>193</v>
      </c>
      <c r="Q2" s="70" t="s">
        <v>194</v>
      </c>
      <c r="R2" s="70" t="s">
        <v>195</v>
      </c>
      <c r="S2" s="70" t="s">
        <v>196</v>
      </c>
      <c r="T2" s="67" t="s">
        <v>181</v>
      </c>
      <c r="U2" s="80" t="s">
        <v>202</v>
      </c>
      <c r="V2" s="80" t="s">
        <v>202</v>
      </c>
      <c r="W2" s="85" t="s">
        <v>185</v>
      </c>
      <c r="X2" s="85" t="s">
        <v>186</v>
      </c>
      <c r="Y2" s="85" t="s">
        <v>187</v>
      </c>
      <c r="Z2" s="85" t="s">
        <v>192</v>
      </c>
      <c r="AA2" s="85" t="s">
        <v>188</v>
      </c>
      <c r="AB2" s="85" t="s">
        <v>189</v>
      </c>
      <c r="AC2" s="85" t="s">
        <v>190</v>
      </c>
      <c r="AD2" s="85" t="s">
        <v>191</v>
      </c>
      <c r="AE2" s="85" t="s">
        <v>193</v>
      </c>
      <c r="AF2" s="85" t="s">
        <v>194</v>
      </c>
      <c r="AG2" s="85" t="s">
        <v>195</v>
      </c>
      <c r="AH2" s="85" t="s">
        <v>196</v>
      </c>
      <c r="AI2" s="88" t="s">
        <v>181</v>
      </c>
      <c r="AJ2" s="90" t="s">
        <v>202</v>
      </c>
      <c r="AK2" s="91" t="s">
        <v>202</v>
      </c>
    </row>
    <row r="3" spans="1:37">
      <c r="A3" s="336"/>
      <c r="B3" s="333"/>
      <c r="C3" s="59" t="s">
        <v>204</v>
      </c>
      <c r="D3" s="59" t="s">
        <v>204</v>
      </c>
      <c r="E3" s="59" t="s">
        <v>204</v>
      </c>
      <c r="F3" s="59" t="s">
        <v>183</v>
      </c>
      <c r="G3" s="59" t="s">
        <v>204</v>
      </c>
      <c r="H3" s="70" t="s">
        <v>204</v>
      </c>
      <c r="I3" s="70" t="s">
        <v>204</v>
      </c>
      <c r="J3" s="70" t="s">
        <v>204</v>
      </c>
      <c r="K3" s="70" t="s">
        <v>204</v>
      </c>
      <c r="L3" s="70" t="s">
        <v>204</v>
      </c>
      <c r="M3" s="70" t="s">
        <v>204</v>
      </c>
      <c r="N3" s="70" t="s">
        <v>204</v>
      </c>
      <c r="O3" s="70" t="s">
        <v>204</v>
      </c>
      <c r="P3" s="70" t="s">
        <v>204</v>
      </c>
      <c r="Q3" s="70" t="s">
        <v>204</v>
      </c>
      <c r="R3" s="70" t="s">
        <v>204</v>
      </c>
      <c r="S3" s="70" t="s">
        <v>204</v>
      </c>
      <c r="T3" s="67" t="s">
        <v>204</v>
      </c>
      <c r="U3" s="81" t="s">
        <v>206</v>
      </c>
      <c r="V3" s="80" t="s">
        <v>207</v>
      </c>
      <c r="W3" s="85" t="s">
        <v>204</v>
      </c>
      <c r="X3" s="85" t="s">
        <v>204</v>
      </c>
      <c r="Y3" s="85" t="s">
        <v>204</v>
      </c>
      <c r="Z3" s="85" t="s">
        <v>204</v>
      </c>
      <c r="AA3" s="85" t="s">
        <v>204</v>
      </c>
      <c r="AB3" s="85" t="s">
        <v>204</v>
      </c>
      <c r="AC3" s="85" t="s">
        <v>204</v>
      </c>
      <c r="AD3" s="85" t="s">
        <v>204</v>
      </c>
      <c r="AE3" s="85" t="s">
        <v>204</v>
      </c>
      <c r="AF3" s="85" t="s">
        <v>204</v>
      </c>
      <c r="AG3" s="85" t="s">
        <v>204</v>
      </c>
      <c r="AH3" s="85" t="s">
        <v>204</v>
      </c>
      <c r="AI3" s="89" t="s">
        <v>204</v>
      </c>
      <c r="AJ3" s="92" t="s">
        <v>206</v>
      </c>
      <c r="AK3" s="92" t="s">
        <v>207</v>
      </c>
    </row>
    <row r="4" spans="1:37" ht="16">
      <c r="A4" s="38" t="s">
        <v>153</v>
      </c>
      <c r="B4" s="63" t="s">
        <v>136</v>
      </c>
      <c r="C4" s="66">
        <v>843.48039900000003</v>
      </c>
      <c r="D4" s="50">
        <v>0</v>
      </c>
      <c r="E4" s="43">
        <f>C4+D4</f>
        <v>843.48039900000003</v>
      </c>
      <c r="F4" s="44">
        <f>E4/$E$20</f>
        <v>1.0665619333825866E-2</v>
      </c>
      <c r="G4" s="66">
        <v>4755.2757840000004</v>
      </c>
      <c r="H4" s="71">
        <f>E4*$C$28</f>
        <v>101.65548172452783</v>
      </c>
      <c r="I4" s="72">
        <f>E4*$D$28</f>
        <v>107.94121513606581</v>
      </c>
      <c r="J4" s="72">
        <f>E4*$E$28</f>
        <v>65.458327251188493</v>
      </c>
      <c r="K4" s="72">
        <f>E4*$F$28</f>
        <v>64.916453681228319</v>
      </c>
      <c r="L4" s="72">
        <f>E4*$G$28</f>
        <v>66.975573247076966</v>
      </c>
      <c r="M4" s="72">
        <f>E4*$H$28</f>
        <v>36.739028043299506</v>
      </c>
      <c r="N4" s="72">
        <f>E4*$I$28</f>
        <v>51.044490290247978</v>
      </c>
      <c r="O4" s="72">
        <f>E4*$J$28</f>
        <v>52.128237430168312</v>
      </c>
      <c r="P4" s="72">
        <f>E4*$K$28</f>
        <v>45.734129304638316</v>
      </c>
      <c r="Q4" s="72">
        <f>E4*$L$28</f>
        <v>60.906589263523067</v>
      </c>
      <c r="R4" s="72">
        <f>E4*$M$28</f>
        <v>88.325391903507651</v>
      </c>
      <c r="S4" s="73">
        <f>E4*$N$28</f>
        <v>101.65548172452783</v>
      </c>
      <c r="T4" s="68">
        <f t="shared" ref="T4:T18" si="0">SUM(H4:S4)</f>
        <v>843.48039900000015</v>
      </c>
      <c r="U4" s="82">
        <f>T4/12</f>
        <v>70.290033250000008</v>
      </c>
      <c r="V4" s="82">
        <f>T4/365</f>
        <v>2.3109052027397263</v>
      </c>
      <c r="W4" s="103">
        <f>G4*$C$30</f>
        <v>89.937288402770392</v>
      </c>
      <c r="X4" s="86">
        <f>G4*$D$30</f>
        <v>173.54096494619074</v>
      </c>
      <c r="Y4" s="86">
        <f>G4*$E$30</f>
        <v>333.14798380181139</v>
      </c>
      <c r="Z4" s="86">
        <f>G4*$F$30</f>
        <v>516.82272772296221</v>
      </c>
      <c r="AA4" s="86">
        <f>G4*$G$30</f>
        <v>649.82857676931269</v>
      </c>
      <c r="AB4" s="86">
        <f>G4*$H$30</f>
        <v>652.36202151305281</v>
      </c>
      <c r="AC4" s="86">
        <f>G4*$I$30</f>
        <v>680.22991369419287</v>
      </c>
      <c r="AD4" s="86">
        <f>G4*$J$30</f>
        <v>649.82857676931269</v>
      </c>
      <c r="AE4" s="86">
        <f>G4*$K$30</f>
        <v>528.2232290697923</v>
      </c>
      <c r="AF4" s="86">
        <f>G4*$L$30</f>
        <v>231.81019405221099</v>
      </c>
      <c r="AG4" s="86">
        <f>G4*$M$30</f>
        <v>140.60618327757064</v>
      </c>
      <c r="AH4" s="87">
        <f>G4*$N$30</f>
        <v>108.93812398082046</v>
      </c>
      <c r="AI4" s="99">
        <f t="shared" ref="AI4:AI18" si="1">SUM(W4:AH4)</f>
        <v>4755.2757840000004</v>
      </c>
      <c r="AJ4" s="93">
        <f>AI4/12</f>
        <v>396.27298200000001</v>
      </c>
      <c r="AK4" s="93">
        <f>AI4/365</f>
        <v>13.028152832876714</v>
      </c>
    </row>
    <row r="5" spans="1:37" ht="16">
      <c r="A5" s="38" t="s">
        <v>154</v>
      </c>
      <c r="B5" s="63" t="s">
        <v>137</v>
      </c>
      <c r="C5" s="66">
        <v>2771.8036690000004</v>
      </c>
      <c r="D5" s="51">
        <v>0</v>
      </c>
      <c r="E5" s="24">
        <f t="shared" ref="E5:E19" si="2">C5+D5</f>
        <v>2771.8036690000004</v>
      </c>
      <c r="F5" s="52">
        <f t="shared" ref="F5:F20" si="3">E5/$E$20</f>
        <v>3.5048832002148131E-2</v>
      </c>
      <c r="G5" s="66">
        <v>10601.606847000001</v>
      </c>
      <c r="H5" s="74">
        <f t="shared" ref="H5:H20" si="4">E5*$C$28</f>
        <v>334.05522825671341</v>
      </c>
      <c r="I5" s="75">
        <f t="shared" ref="I5:I20" si="5">E5*$D$28</f>
        <v>354.71109524913282</v>
      </c>
      <c r="J5" s="75">
        <f t="shared" ref="J5:J20" si="6">E5*$E$28</f>
        <v>215.10592523140181</v>
      </c>
      <c r="K5" s="75">
        <f t="shared" ref="K5:K20" si="7">E5*$F$28</f>
        <v>213.32524704240015</v>
      </c>
      <c r="L5" s="75">
        <f t="shared" ref="L5:L20" si="8">E5*$G$28</f>
        <v>220.09182416060645</v>
      </c>
      <c r="M5" s="75">
        <f t="shared" ref="M5:M20" si="9">E5*$H$28</f>
        <v>120.72998121431327</v>
      </c>
      <c r="N5" s="75">
        <f t="shared" ref="N5:N20" si="10">E5*$I$28</f>
        <v>167.73988540395737</v>
      </c>
      <c r="O5" s="75">
        <f t="shared" ref="O5:O20" si="11">E5*$J$28</f>
        <v>171.3012417819607</v>
      </c>
      <c r="P5" s="75">
        <f t="shared" ref="P5:P20" si="12">E5*$K$28</f>
        <v>150.28923915174099</v>
      </c>
      <c r="Q5" s="75">
        <f t="shared" ref="Q5:Q20" si="13">E5*$L$28</f>
        <v>200.14822844378779</v>
      </c>
      <c r="R5" s="75">
        <f t="shared" ref="R5:R20" si="14">E5*$M$28</f>
        <v>290.25054480727232</v>
      </c>
      <c r="S5" s="76">
        <f t="shared" ref="S5:S20" si="15">E5*$N$28</f>
        <v>334.05522825671341</v>
      </c>
      <c r="T5" s="69">
        <f t="shared" si="0"/>
        <v>2771.8036690000004</v>
      </c>
      <c r="U5" s="83">
        <f t="shared" ref="U5:U19" si="16">T5/12</f>
        <v>230.98363908333337</v>
      </c>
      <c r="V5" s="83">
        <f t="shared" ref="V5:V20" si="17">T5/365</f>
        <v>7.5939826547945213</v>
      </c>
      <c r="W5" s="104">
        <f t="shared" ref="W5:W20" si="18">G5*$C$30</f>
        <v>200.50987909882795</v>
      </c>
      <c r="X5" s="102">
        <f t="shared" ref="X5:X20" si="19">G5*$D$30</f>
        <v>386.89934417661169</v>
      </c>
      <c r="Y5" s="102">
        <f t="shared" ref="Y5:Y20" si="20">G5*$E$30</f>
        <v>742.733777506926</v>
      </c>
      <c r="Z5" s="102">
        <f t="shared" ref="Z5:Z20" si="21">G5*$F$30</f>
        <v>1152.2257841172084</v>
      </c>
      <c r="AA5" s="102">
        <f t="shared" ref="AA5:AA20" si="22">G5*$G$30</f>
        <v>1448.7544785591369</v>
      </c>
      <c r="AB5" s="102">
        <f t="shared" ref="AB5:AB20" si="23">G5*$H$30</f>
        <v>1454.4026441675549</v>
      </c>
      <c r="AC5" s="102">
        <f t="shared" ref="AC5:AC20" si="24">G5*$I$30</f>
        <v>1516.5324658601494</v>
      </c>
      <c r="AD5" s="102">
        <f t="shared" ref="AD5:AD20" si="25">G5*$J$30</f>
        <v>1448.7544785591369</v>
      </c>
      <c r="AE5" s="102">
        <f t="shared" ref="AE5:AE20" si="26">G5*$K$30</f>
        <v>1177.6425293550881</v>
      </c>
      <c r="AF5" s="102">
        <f t="shared" ref="AF5:AF20" si="27">G5*$L$30</f>
        <v>516.8071531702185</v>
      </c>
      <c r="AG5" s="102">
        <f t="shared" ref="AG5:AG20" si="28">G5*$M$30</f>
        <v>313.47319126718173</v>
      </c>
      <c r="AH5" s="105">
        <f t="shared" ref="AH5:AH20" si="29">G5*$N$30</f>
        <v>242.87112116196059</v>
      </c>
      <c r="AI5" s="100">
        <f t="shared" si="1"/>
        <v>10601.606847000001</v>
      </c>
      <c r="AJ5" s="94">
        <f t="shared" ref="AJ5:AJ19" si="30">AI5/12</f>
        <v>883.46723725000004</v>
      </c>
      <c r="AK5" s="94">
        <f t="shared" ref="AK5:AK20" si="31">AI5/365</f>
        <v>29.045498210958907</v>
      </c>
    </row>
    <row r="6" spans="1:37" ht="16">
      <c r="A6" s="38" t="s">
        <v>155</v>
      </c>
      <c r="B6" s="63" t="s">
        <v>88</v>
      </c>
      <c r="C6" s="66">
        <v>12.014855000000001</v>
      </c>
      <c r="D6" s="51">
        <v>0</v>
      </c>
      <c r="E6" s="24">
        <f t="shared" si="2"/>
        <v>12.014855000000001</v>
      </c>
      <c r="F6" s="52">
        <f t="shared" si="3"/>
        <v>1.5192513060533416E-4</v>
      </c>
      <c r="G6" s="66">
        <v>61.626937999999996</v>
      </c>
      <c r="H6" s="74">
        <f t="shared" si="4"/>
        <v>1.4480192714891431</v>
      </c>
      <c r="I6" s="75">
        <f t="shared" si="5"/>
        <v>1.5375556443530776</v>
      </c>
      <c r="J6" s="75">
        <f t="shared" si="6"/>
        <v>0.93241326223821153</v>
      </c>
      <c r="K6" s="75">
        <f t="shared" si="7"/>
        <v>0.92469460940511383</v>
      </c>
      <c r="L6" s="75">
        <f t="shared" si="8"/>
        <v>0.95402549017088523</v>
      </c>
      <c r="M6" s="75">
        <f t="shared" si="9"/>
        <v>0.52332466208402939</v>
      </c>
      <c r="N6" s="75">
        <f t="shared" si="10"/>
        <v>0.72709709687781066</v>
      </c>
      <c r="O6" s="75">
        <f t="shared" si="11"/>
        <v>0.74253440254400616</v>
      </c>
      <c r="P6" s="75">
        <f t="shared" si="12"/>
        <v>0.65145429911345243</v>
      </c>
      <c r="Q6" s="75">
        <f t="shared" si="13"/>
        <v>0.8675765784401902</v>
      </c>
      <c r="R6" s="75">
        <f t="shared" si="14"/>
        <v>1.2581404117949377</v>
      </c>
      <c r="S6" s="76">
        <f t="shared" si="15"/>
        <v>1.4480192714891431</v>
      </c>
      <c r="T6" s="69">
        <f t="shared" si="0"/>
        <v>12.014854999999999</v>
      </c>
      <c r="U6" s="83">
        <f t="shared" si="16"/>
        <v>1.0012379166666665</v>
      </c>
      <c r="V6" s="83">
        <f t="shared" si="17"/>
        <v>3.291741095890411E-2</v>
      </c>
      <c r="W6" s="104">
        <f t="shared" si="18"/>
        <v>1.1655600953649441</v>
      </c>
      <c r="X6" s="102">
        <f t="shared" si="19"/>
        <v>2.249038493873202</v>
      </c>
      <c r="Y6" s="102">
        <f t="shared" si="20"/>
        <v>4.3174972546616939</v>
      </c>
      <c r="Z6" s="102">
        <f t="shared" si="21"/>
        <v>6.6978664635055933</v>
      </c>
      <c r="AA6" s="102">
        <f t="shared" si="22"/>
        <v>8.4215820974960032</v>
      </c>
      <c r="AB6" s="102">
        <f t="shared" si="23"/>
        <v>8.4544147762386785</v>
      </c>
      <c r="AC6" s="102">
        <f t="shared" si="24"/>
        <v>8.8155742424080969</v>
      </c>
      <c r="AD6" s="102">
        <f t="shared" si="25"/>
        <v>8.4215820974960032</v>
      </c>
      <c r="AE6" s="102">
        <f t="shared" si="26"/>
        <v>6.8456135178476289</v>
      </c>
      <c r="AF6" s="102">
        <f t="shared" si="27"/>
        <v>3.0041901049547146</v>
      </c>
      <c r="AG6" s="102">
        <f t="shared" si="28"/>
        <v>1.8222136702184337</v>
      </c>
      <c r="AH6" s="105">
        <f t="shared" si="29"/>
        <v>1.4118051859350025</v>
      </c>
      <c r="AI6" s="100">
        <f t="shared" si="1"/>
        <v>61.626937999999996</v>
      </c>
      <c r="AJ6" s="94">
        <f t="shared" si="30"/>
        <v>5.135578166666666</v>
      </c>
      <c r="AK6" s="94">
        <f t="shared" si="31"/>
        <v>0.16884092602739725</v>
      </c>
    </row>
    <row r="7" spans="1:37" ht="16">
      <c r="A7" s="38" t="s">
        <v>156</v>
      </c>
      <c r="B7" s="63" t="s">
        <v>138</v>
      </c>
      <c r="C7" s="66">
        <v>9764.9583060000004</v>
      </c>
      <c r="D7" s="51">
        <v>0</v>
      </c>
      <c r="E7" s="24">
        <f t="shared" si="2"/>
        <v>9764.9583060000004</v>
      </c>
      <c r="F7" s="52">
        <f t="shared" si="3"/>
        <v>0.12347569454601763</v>
      </c>
      <c r="G7" s="66">
        <v>2879.2363160000004</v>
      </c>
      <c r="H7" s="74">
        <f t="shared" si="4"/>
        <v>1176.8637917291535</v>
      </c>
      <c r="I7" s="75">
        <f t="shared" si="5"/>
        <v>1249.6336210684829</v>
      </c>
      <c r="J7" s="75">
        <f t="shared" si="6"/>
        <v>757.80994691301555</v>
      </c>
      <c r="K7" s="75">
        <f t="shared" si="7"/>
        <v>751.53668576307348</v>
      </c>
      <c r="L7" s="75">
        <f t="shared" si="8"/>
        <v>775.37507813285367</v>
      </c>
      <c r="M7" s="75">
        <f t="shared" si="9"/>
        <v>425.32710596607996</v>
      </c>
      <c r="N7" s="75">
        <f t="shared" si="10"/>
        <v>590.94120032455351</v>
      </c>
      <c r="O7" s="75">
        <f t="shared" si="11"/>
        <v>603.48772262443788</v>
      </c>
      <c r="P7" s="75">
        <f t="shared" si="12"/>
        <v>529.46324105512019</v>
      </c>
      <c r="Q7" s="75">
        <f t="shared" si="13"/>
        <v>705.1145532535013</v>
      </c>
      <c r="R7" s="75">
        <f t="shared" si="14"/>
        <v>1022.5415674405757</v>
      </c>
      <c r="S7" s="76">
        <f t="shared" si="15"/>
        <v>1176.8637917291535</v>
      </c>
      <c r="T7" s="69">
        <f t="shared" si="0"/>
        <v>9764.9583060000004</v>
      </c>
      <c r="U7" s="83">
        <f t="shared" si="16"/>
        <v>813.74652550000008</v>
      </c>
      <c r="V7" s="83">
        <f t="shared" si="17"/>
        <v>26.75331042739726</v>
      </c>
      <c r="W7" s="104">
        <f t="shared" si="18"/>
        <v>54.455455097496014</v>
      </c>
      <c r="X7" s="102">
        <f t="shared" si="19"/>
        <v>105.07601899094301</v>
      </c>
      <c r="Y7" s="102">
        <f t="shared" si="20"/>
        <v>201.71527733297816</v>
      </c>
      <c r="Z7" s="102">
        <f t="shared" si="21"/>
        <v>312.92712225039963</v>
      </c>
      <c r="AA7" s="102">
        <f t="shared" si="22"/>
        <v>393.4598375354289</v>
      </c>
      <c r="AB7" s="102">
        <f t="shared" si="23"/>
        <v>394.99379401704857</v>
      </c>
      <c r="AC7" s="102">
        <f t="shared" si="24"/>
        <v>411.86731531486419</v>
      </c>
      <c r="AD7" s="102">
        <f t="shared" si="25"/>
        <v>393.4598375354289</v>
      </c>
      <c r="AE7" s="102">
        <f t="shared" si="26"/>
        <v>319.82992641768789</v>
      </c>
      <c r="AF7" s="102">
        <f t="shared" si="27"/>
        <v>140.35701806819395</v>
      </c>
      <c r="AG7" s="102">
        <f t="shared" si="28"/>
        <v>85.134584729888147</v>
      </c>
      <c r="AH7" s="105">
        <f t="shared" si="29"/>
        <v>65.960128709643058</v>
      </c>
      <c r="AI7" s="100">
        <f t="shared" si="1"/>
        <v>2879.2363160000009</v>
      </c>
      <c r="AJ7" s="94">
        <f t="shared" si="30"/>
        <v>239.93635966666673</v>
      </c>
      <c r="AK7" s="94">
        <f t="shared" si="31"/>
        <v>7.8883186739726048</v>
      </c>
    </row>
    <row r="8" spans="1:37" ht="16">
      <c r="A8" s="38" t="s">
        <v>157</v>
      </c>
      <c r="B8" s="63" t="s">
        <v>89</v>
      </c>
      <c r="C8" s="66">
        <v>361.54556199999996</v>
      </c>
      <c r="D8" s="51">
        <v>0</v>
      </c>
      <c r="E8" s="24">
        <f t="shared" si="2"/>
        <v>361.54556199999996</v>
      </c>
      <c r="F8" s="52">
        <f t="shared" si="3"/>
        <v>4.5716620572307303E-3</v>
      </c>
      <c r="G8" s="66">
        <v>27.882255999999998</v>
      </c>
      <c r="H8" s="74">
        <f t="shared" si="4"/>
        <v>43.573138527046126</v>
      </c>
      <c r="I8" s="75">
        <f t="shared" si="5"/>
        <v>46.267426410381603</v>
      </c>
      <c r="J8" s="75">
        <f t="shared" si="6"/>
        <v>28.057756578183216</v>
      </c>
      <c r="K8" s="75">
        <f t="shared" si="7"/>
        <v>27.825490381343954</v>
      </c>
      <c r="L8" s="75">
        <f t="shared" si="8"/>
        <v>28.708101929333157</v>
      </c>
      <c r="M8" s="75">
        <f t="shared" si="9"/>
        <v>15.747648145702172</v>
      </c>
      <c r="N8" s="75">
        <f t="shared" si="10"/>
        <v>21.879475742258766</v>
      </c>
      <c r="O8" s="75">
        <f t="shared" si="11"/>
        <v>22.344008135937294</v>
      </c>
      <c r="P8" s="75">
        <f t="shared" si="12"/>
        <v>19.603267013233967</v>
      </c>
      <c r="Q8" s="75">
        <f t="shared" si="13"/>
        <v>26.10672052473339</v>
      </c>
      <c r="R8" s="75">
        <f t="shared" si="14"/>
        <v>37.859390084800204</v>
      </c>
      <c r="S8" s="76">
        <f t="shared" si="15"/>
        <v>43.573138527046126</v>
      </c>
      <c r="T8" s="69">
        <f t="shared" si="0"/>
        <v>361.54556199999996</v>
      </c>
      <c r="U8" s="83">
        <f t="shared" si="16"/>
        <v>30.128796833333329</v>
      </c>
      <c r="V8" s="83">
        <f t="shared" si="17"/>
        <v>0.99053578630136974</v>
      </c>
      <c r="W8" s="104">
        <f t="shared" si="18"/>
        <v>0.52734154928076715</v>
      </c>
      <c r="X8" s="102">
        <f t="shared" si="19"/>
        <v>1.0175463697389451</v>
      </c>
      <c r="Y8" s="102">
        <f t="shared" si="20"/>
        <v>1.9533919360681937</v>
      </c>
      <c r="Z8" s="102">
        <f t="shared" si="21"/>
        <v>3.0303570719232815</v>
      </c>
      <c r="AA8" s="102">
        <f t="shared" si="22"/>
        <v>3.8102283771976553</v>
      </c>
      <c r="AB8" s="102">
        <f t="shared" si="23"/>
        <v>3.8250830687266917</v>
      </c>
      <c r="AC8" s="102">
        <f t="shared" si="24"/>
        <v>3.9884846755460837</v>
      </c>
      <c r="AD8" s="102">
        <f t="shared" si="25"/>
        <v>3.8102283771976553</v>
      </c>
      <c r="AE8" s="102">
        <f t="shared" si="26"/>
        <v>3.0972031838039427</v>
      </c>
      <c r="AF8" s="102">
        <f t="shared" si="27"/>
        <v>1.3592042749067661</v>
      </c>
      <c r="AG8" s="102">
        <f t="shared" si="28"/>
        <v>0.82443537986148119</v>
      </c>
      <c r="AH8" s="105">
        <f t="shared" si="29"/>
        <v>0.63875173574853483</v>
      </c>
      <c r="AI8" s="100">
        <f t="shared" si="1"/>
        <v>27.882255999999998</v>
      </c>
      <c r="AJ8" s="94">
        <f t="shared" si="30"/>
        <v>2.3235213333333333</v>
      </c>
      <c r="AK8" s="94">
        <f t="shared" si="31"/>
        <v>7.6389742465753419E-2</v>
      </c>
    </row>
    <row r="9" spans="1:37" ht="16">
      <c r="A9" s="38" t="s">
        <v>158</v>
      </c>
      <c r="B9" s="63" t="s">
        <v>90</v>
      </c>
      <c r="C9" s="66">
        <v>107.32798199999999</v>
      </c>
      <c r="D9" s="51">
        <v>0</v>
      </c>
      <c r="E9" s="24">
        <f t="shared" si="2"/>
        <v>107.32798199999999</v>
      </c>
      <c r="F9" s="52">
        <f t="shared" si="3"/>
        <v>1.3571381163532104E-3</v>
      </c>
      <c r="G9" s="66">
        <v>25.863955000000001</v>
      </c>
      <c r="H9" s="74">
        <f t="shared" si="4"/>
        <v>12.93506965386098</v>
      </c>
      <c r="I9" s="75">
        <f t="shared" si="5"/>
        <v>13.734892724142362</v>
      </c>
      <c r="J9" s="75">
        <f t="shared" si="6"/>
        <v>8.3291919732750852</v>
      </c>
      <c r="K9" s="75">
        <f t="shared" si="7"/>
        <v>8.2602417085956574</v>
      </c>
      <c r="L9" s="75">
        <f t="shared" si="8"/>
        <v>8.5222527143774887</v>
      </c>
      <c r="M9" s="75">
        <f t="shared" si="9"/>
        <v>4.6748279452653216</v>
      </c>
      <c r="N9" s="75">
        <f t="shared" si="10"/>
        <v>6.4951149328022613</v>
      </c>
      <c r="O9" s="75">
        <f t="shared" si="11"/>
        <v>6.6330154621611195</v>
      </c>
      <c r="P9" s="75">
        <f t="shared" si="12"/>
        <v>5.8194023389438509</v>
      </c>
      <c r="Q9" s="75">
        <f t="shared" si="13"/>
        <v>7.7500097499678784</v>
      </c>
      <c r="R9" s="75">
        <f t="shared" si="14"/>
        <v>11.238893142747013</v>
      </c>
      <c r="S9" s="76">
        <f t="shared" si="15"/>
        <v>12.93506965386098</v>
      </c>
      <c r="T9" s="69">
        <f t="shared" si="0"/>
        <v>107.32798199999999</v>
      </c>
      <c r="U9" s="83">
        <f t="shared" si="16"/>
        <v>8.9439984999999993</v>
      </c>
      <c r="V9" s="83">
        <f t="shared" si="17"/>
        <v>0.29404926575342466</v>
      </c>
      <c r="W9" s="104">
        <f t="shared" si="18"/>
        <v>0.48916910095897714</v>
      </c>
      <c r="X9" s="102">
        <f t="shared" si="19"/>
        <v>0.94388967368140653</v>
      </c>
      <c r="Y9" s="102">
        <f t="shared" si="20"/>
        <v>1.8119925852424079</v>
      </c>
      <c r="Z9" s="102">
        <f t="shared" si="21"/>
        <v>2.8109999041022911</v>
      </c>
      <c r="AA9" s="102">
        <f t="shared" si="22"/>
        <v>3.5344189970697921</v>
      </c>
      <c r="AB9" s="102">
        <f t="shared" si="23"/>
        <v>3.5481984083644114</v>
      </c>
      <c r="AC9" s="102">
        <f t="shared" si="24"/>
        <v>3.6997719326052212</v>
      </c>
      <c r="AD9" s="102">
        <f t="shared" si="25"/>
        <v>3.5344189970697921</v>
      </c>
      <c r="AE9" s="102">
        <f t="shared" si="26"/>
        <v>2.8730072549280772</v>
      </c>
      <c r="AF9" s="102">
        <f t="shared" si="27"/>
        <v>1.2608161334576453</v>
      </c>
      <c r="AG9" s="102">
        <f t="shared" si="28"/>
        <v>0.76475732685135867</v>
      </c>
      <c r="AH9" s="105">
        <f t="shared" si="29"/>
        <v>0.59251468566862009</v>
      </c>
      <c r="AI9" s="100">
        <f t="shared" si="1"/>
        <v>25.863955000000004</v>
      </c>
      <c r="AJ9" s="94">
        <f t="shared" si="30"/>
        <v>2.1553295833333337</v>
      </c>
      <c r="AK9" s="94">
        <f t="shared" si="31"/>
        <v>7.0860150684931525E-2</v>
      </c>
    </row>
    <row r="10" spans="1:37" ht="16">
      <c r="A10" s="38" t="s">
        <v>159</v>
      </c>
      <c r="B10" s="63" t="s">
        <v>139</v>
      </c>
      <c r="C10" s="66">
        <v>2105.9910460000001</v>
      </c>
      <c r="D10" s="51">
        <v>0</v>
      </c>
      <c r="E10" s="24">
        <f t="shared" si="2"/>
        <v>2105.9910460000001</v>
      </c>
      <c r="F10" s="52">
        <f t="shared" si="3"/>
        <v>2.6629781609284031E-2</v>
      </c>
      <c r="G10" s="66">
        <v>1566.541262</v>
      </c>
      <c r="H10" s="74">
        <f t="shared" si="4"/>
        <v>253.81210344956961</v>
      </c>
      <c r="I10" s="75">
        <f t="shared" si="5"/>
        <v>269.50624204240017</v>
      </c>
      <c r="J10" s="75">
        <f t="shared" si="6"/>
        <v>163.43551224257999</v>
      </c>
      <c r="K10" s="75">
        <f t="shared" si="7"/>
        <v>162.08256926043944</v>
      </c>
      <c r="L10" s="75">
        <f t="shared" si="8"/>
        <v>167.22375259257356</v>
      </c>
      <c r="M10" s="75">
        <f t="shared" si="9"/>
        <v>91.729534189130163</v>
      </c>
      <c r="N10" s="75">
        <f t="shared" si="10"/>
        <v>127.44722891764103</v>
      </c>
      <c r="O10" s="75">
        <f t="shared" si="11"/>
        <v>130.15311488192214</v>
      </c>
      <c r="P10" s="75">
        <f t="shared" si="12"/>
        <v>114.1883876926635</v>
      </c>
      <c r="Q10" s="75">
        <f t="shared" si="13"/>
        <v>152.07079119259927</v>
      </c>
      <c r="R10" s="75">
        <f t="shared" si="14"/>
        <v>220.52970608891175</v>
      </c>
      <c r="S10" s="76">
        <f t="shared" si="15"/>
        <v>253.81210344956961</v>
      </c>
      <c r="T10" s="69">
        <f t="shared" si="0"/>
        <v>2105.9910460000006</v>
      </c>
      <c r="U10" s="83">
        <f t="shared" si="16"/>
        <v>175.49925383333337</v>
      </c>
      <c r="V10" s="83">
        <f t="shared" si="17"/>
        <v>5.7698384821917825</v>
      </c>
      <c r="W10" s="104">
        <f t="shared" si="18"/>
        <v>29.628244433137986</v>
      </c>
      <c r="X10" s="102">
        <f t="shared" si="19"/>
        <v>57.169992779435269</v>
      </c>
      <c r="Y10" s="102">
        <f t="shared" si="20"/>
        <v>109.74969416782098</v>
      </c>
      <c r="Z10" s="102">
        <f t="shared" si="21"/>
        <v>170.2580806862014</v>
      </c>
      <c r="AA10" s="102">
        <f t="shared" si="22"/>
        <v>214.07449850985614</v>
      </c>
      <c r="AB10" s="102">
        <f t="shared" si="23"/>
        <v>214.90909694459245</v>
      </c>
      <c r="AC10" s="102">
        <f t="shared" si="24"/>
        <v>224.08967972669151</v>
      </c>
      <c r="AD10" s="102">
        <f t="shared" si="25"/>
        <v>214.07449850985614</v>
      </c>
      <c r="AE10" s="102">
        <f t="shared" si="26"/>
        <v>174.01377364251465</v>
      </c>
      <c r="AF10" s="102">
        <f t="shared" si="27"/>
        <v>76.365756778369743</v>
      </c>
      <c r="AG10" s="102">
        <f t="shared" si="28"/>
        <v>46.320213127863617</v>
      </c>
      <c r="AH10" s="105">
        <f t="shared" si="29"/>
        <v>35.887732693660091</v>
      </c>
      <c r="AI10" s="100">
        <f t="shared" si="1"/>
        <v>1566.5412620000002</v>
      </c>
      <c r="AJ10" s="94">
        <f t="shared" si="30"/>
        <v>130.54510516666667</v>
      </c>
      <c r="AK10" s="94">
        <f t="shared" si="31"/>
        <v>4.2918938684931511</v>
      </c>
    </row>
    <row r="11" spans="1:37" ht="16">
      <c r="A11" s="38" t="s">
        <v>160</v>
      </c>
      <c r="B11" s="63" t="s">
        <v>140</v>
      </c>
      <c r="C11" s="66">
        <v>5407.8773069999997</v>
      </c>
      <c r="D11">
        <v>806.68496600000003</v>
      </c>
      <c r="E11" s="24">
        <f t="shared" si="2"/>
        <v>6214.5622729999995</v>
      </c>
      <c r="F11" s="52">
        <f t="shared" si="3"/>
        <v>7.8581737772158489E-2</v>
      </c>
      <c r="G11" s="66">
        <v>1199.9818300000002</v>
      </c>
      <c r="H11" s="74">
        <f t="shared" si="4"/>
        <v>748.97332803212134</v>
      </c>
      <c r="I11" s="75">
        <f t="shared" si="5"/>
        <v>795.28511164178349</v>
      </c>
      <c r="J11" s="75">
        <f t="shared" si="6"/>
        <v>482.2813327626879</v>
      </c>
      <c r="K11" s="75">
        <f t="shared" si="7"/>
        <v>478.28893762392391</v>
      </c>
      <c r="L11" s="75">
        <f t="shared" si="8"/>
        <v>493.46003915122697</v>
      </c>
      <c r="M11" s="75">
        <f t="shared" si="9"/>
        <v>270.68439040819737</v>
      </c>
      <c r="N11" s="75">
        <f t="shared" si="10"/>
        <v>376.0836220715662</v>
      </c>
      <c r="O11" s="75">
        <f t="shared" si="11"/>
        <v>384.0684123490941</v>
      </c>
      <c r="P11" s="75">
        <f t="shared" si="12"/>
        <v>336.95814971167925</v>
      </c>
      <c r="Q11" s="75">
        <f t="shared" si="13"/>
        <v>448.74521359707052</v>
      </c>
      <c r="R11" s="75">
        <f t="shared" si="14"/>
        <v>650.76040761852755</v>
      </c>
      <c r="S11" s="76">
        <f t="shared" si="15"/>
        <v>748.97332803212134</v>
      </c>
      <c r="T11" s="69">
        <f t="shared" si="0"/>
        <v>6214.5622729999995</v>
      </c>
      <c r="U11" s="83">
        <f t="shared" si="16"/>
        <v>517.88018941666667</v>
      </c>
      <c r="V11" s="83">
        <f t="shared" si="17"/>
        <v>17.026198008219176</v>
      </c>
      <c r="W11" s="104">
        <f t="shared" si="18"/>
        <v>22.695447503995741</v>
      </c>
      <c r="X11" s="102">
        <f t="shared" si="19"/>
        <v>43.792624057005867</v>
      </c>
      <c r="Y11" s="102">
        <f t="shared" si="20"/>
        <v>84.069052021843376</v>
      </c>
      <c r="Z11" s="102">
        <f t="shared" si="21"/>
        <v>130.41890960042625</v>
      </c>
      <c r="AA11" s="102">
        <f t="shared" si="22"/>
        <v>163.98259957112415</v>
      </c>
      <c r="AB11" s="102">
        <f t="shared" si="23"/>
        <v>164.62190795151841</v>
      </c>
      <c r="AC11" s="102">
        <f t="shared" si="24"/>
        <v>171.6543001358551</v>
      </c>
      <c r="AD11" s="102">
        <f t="shared" si="25"/>
        <v>163.98259957112415</v>
      </c>
      <c r="AE11" s="102">
        <f t="shared" si="26"/>
        <v>133.29579731220034</v>
      </c>
      <c r="AF11" s="102">
        <f t="shared" si="27"/>
        <v>58.496716806073529</v>
      </c>
      <c r="AG11" s="102">
        <f t="shared" si="28"/>
        <v>35.481615111880672</v>
      </c>
      <c r="AH11" s="105">
        <f t="shared" si="29"/>
        <v>27.490260356952586</v>
      </c>
      <c r="AI11" s="100">
        <f t="shared" si="1"/>
        <v>1199.9818300000002</v>
      </c>
      <c r="AJ11" s="94">
        <f t="shared" si="30"/>
        <v>99.998485833333348</v>
      </c>
      <c r="AK11" s="94">
        <f t="shared" si="31"/>
        <v>3.2876214520547951</v>
      </c>
    </row>
    <row r="12" spans="1:37" ht="16">
      <c r="A12" s="38" t="s">
        <v>161</v>
      </c>
      <c r="B12" s="63" t="s">
        <v>141</v>
      </c>
      <c r="C12" s="66">
        <v>15508.507831999999</v>
      </c>
      <c r="D12">
        <f>636.054716+6719.3</f>
        <v>7355.3547159999998</v>
      </c>
      <c r="E12" s="24">
        <f t="shared" si="2"/>
        <v>22863.862547999997</v>
      </c>
      <c r="F12" s="52">
        <f t="shared" si="3"/>
        <v>0.28910838322620686</v>
      </c>
      <c r="G12" s="66">
        <v>2881.8814430000002</v>
      </c>
      <c r="H12" s="74">
        <f t="shared" si="4"/>
        <v>2755.5316805889761</v>
      </c>
      <c r="I12" s="75">
        <f t="shared" si="5"/>
        <v>2925.9163687277401</v>
      </c>
      <c r="J12" s="75">
        <f t="shared" si="6"/>
        <v>1774.3508902726453</v>
      </c>
      <c r="K12" s="75">
        <f t="shared" si="7"/>
        <v>1759.6625550882693</v>
      </c>
      <c r="L12" s="75">
        <f t="shared" si="8"/>
        <v>1815.4782287888986</v>
      </c>
      <c r="M12" s="75">
        <f t="shared" si="9"/>
        <v>995.86912550070667</v>
      </c>
      <c r="N12" s="75">
        <f t="shared" si="10"/>
        <v>1383.6411743682384</v>
      </c>
      <c r="O12" s="75">
        <f t="shared" si="11"/>
        <v>1413.0178447369906</v>
      </c>
      <c r="P12" s="75">
        <f t="shared" si="12"/>
        <v>1239.6954895613515</v>
      </c>
      <c r="Q12" s="75">
        <f t="shared" si="13"/>
        <v>1650.9688747238852</v>
      </c>
      <c r="R12" s="75">
        <f t="shared" si="14"/>
        <v>2394.1986350533211</v>
      </c>
      <c r="S12" s="76">
        <f t="shared" si="15"/>
        <v>2755.5316805889761</v>
      </c>
      <c r="T12" s="69">
        <f t="shared" si="0"/>
        <v>22863.862548000005</v>
      </c>
      <c r="U12" s="83">
        <f t="shared" si="16"/>
        <v>1905.3218790000003</v>
      </c>
      <c r="V12" s="83">
        <f t="shared" si="17"/>
        <v>62.640719309589052</v>
      </c>
      <c r="W12" s="104">
        <f t="shared" si="18"/>
        <v>54.505482805807148</v>
      </c>
      <c r="X12" s="102">
        <f t="shared" si="19"/>
        <v>105.1725513295152</v>
      </c>
      <c r="Y12" s="102">
        <f t="shared" si="20"/>
        <v>201.90059123841235</v>
      </c>
      <c r="Z12" s="102">
        <f t="shared" si="21"/>
        <v>313.2146054192861</v>
      </c>
      <c r="AA12" s="102">
        <f t="shared" si="22"/>
        <v>393.82130534336704</v>
      </c>
      <c r="AB12" s="102">
        <f t="shared" si="23"/>
        <v>395.35667105620678</v>
      </c>
      <c r="AC12" s="102">
        <f t="shared" si="24"/>
        <v>412.24569389744278</v>
      </c>
      <c r="AD12" s="102">
        <f t="shared" si="25"/>
        <v>393.82130534336704</v>
      </c>
      <c r="AE12" s="102">
        <f t="shared" si="26"/>
        <v>320.12375112706451</v>
      </c>
      <c r="AF12" s="102">
        <f t="shared" si="27"/>
        <v>140.48596272482686</v>
      </c>
      <c r="AG12" s="102">
        <f t="shared" si="28"/>
        <v>85.212797062599918</v>
      </c>
      <c r="AH12" s="105">
        <f t="shared" si="29"/>
        <v>66.020725652104431</v>
      </c>
      <c r="AI12" s="100">
        <f t="shared" si="1"/>
        <v>2881.8814430000002</v>
      </c>
      <c r="AJ12" s="94">
        <f t="shared" si="30"/>
        <v>240.15678691666668</v>
      </c>
      <c r="AK12" s="94">
        <f t="shared" si="31"/>
        <v>7.8955655972602745</v>
      </c>
    </row>
    <row r="13" spans="1:37" ht="16">
      <c r="A13" s="38" t="s">
        <v>162</v>
      </c>
      <c r="B13" s="63" t="s">
        <v>142</v>
      </c>
      <c r="C13" s="66">
        <v>6908.2385990000002</v>
      </c>
      <c r="D13" s="24">
        <f>0</f>
        <v>0</v>
      </c>
      <c r="E13" s="24">
        <f t="shared" si="2"/>
        <v>6908.2385990000002</v>
      </c>
      <c r="F13" s="52">
        <f t="shared" si="3"/>
        <v>8.7353118402667837E-2</v>
      </c>
      <c r="G13" s="66">
        <v>3545.5722209999999</v>
      </c>
      <c r="H13" s="74">
        <f t="shared" si="4"/>
        <v>832.57456069150726</v>
      </c>
      <c r="I13" s="75">
        <f t="shared" si="5"/>
        <v>884.05571689631267</v>
      </c>
      <c r="J13" s="75">
        <f t="shared" si="6"/>
        <v>536.11410944314537</v>
      </c>
      <c r="K13" s="75">
        <f t="shared" si="7"/>
        <v>531.67607873583461</v>
      </c>
      <c r="L13" s="75">
        <f t="shared" si="8"/>
        <v>548.54059542361551</v>
      </c>
      <c r="M13" s="75">
        <f t="shared" si="9"/>
        <v>300.89848195567265</v>
      </c>
      <c r="N13" s="75">
        <f t="shared" si="10"/>
        <v>418.06249262867789</v>
      </c>
      <c r="O13" s="75">
        <f t="shared" si="11"/>
        <v>426.93855404329946</v>
      </c>
      <c r="P13" s="75">
        <f t="shared" si="12"/>
        <v>374.56979169703197</v>
      </c>
      <c r="Q13" s="75">
        <f t="shared" si="13"/>
        <v>498.83465150173458</v>
      </c>
      <c r="R13" s="75">
        <f t="shared" si="14"/>
        <v>723.39900529166141</v>
      </c>
      <c r="S13" s="76">
        <f t="shared" si="15"/>
        <v>832.57456069150726</v>
      </c>
      <c r="T13" s="69">
        <f t="shared" si="0"/>
        <v>6908.2385990000002</v>
      </c>
      <c r="U13" s="83">
        <f t="shared" si="16"/>
        <v>575.68654991666665</v>
      </c>
      <c r="V13" s="83">
        <f t="shared" si="17"/>
        <v>18.926681093150684</v>
      </c>
      <c r="W13" s="104">
        <f t="shared" si="18"/>
        <v>67.057972213905174</v>
      </c>
      <c r="X13" s="102">
        <f t="shared" si="19"/>
        <v>129.3935520183804</v>
      </c>
      <c r="Y13" s="102">
        <f t="shared" si="20"/>
        <v>248.3978407360149</v>
      </c>
      <c r="Z13" s="102">
        <f t="shared" si="21"/>
        <v>385.3472206094832</v>
      </c>
      <c r="AA13" s="102">
        <f t="shared" si="22"/>
        <v>484.51746120751193</v>
      </c>
      <c r="AB13" s="102">
        <f t="shared" si="23"/>
        <v>486.40641817128397</v>
      </c>
      <c r="AC13" s="102">
        <f t="shared" si="24"/>
        <v>507.18494477277568</v>
      </c>
      <c r="AD13" s="102">
        <f t="shared" si="25"/>
        <v>484.51746120751193</v>
      </c>
      <c r="AE13" s="102">
        <f t="shared" si="26"/>
        <v>393.84752694645715</v>
      </c>
      <c r="AF13" s="102">
        <f t="shared" si="27"/>
        <v>172.83956218513586</v>
      </c>
      <c r="AG13" s="102">
        <f t="shared" si="28"/>
        <v>104.83711148934471</v>
      </c>
      <c r="AH13" s="105">
        <f t="shared" si="29"/>
        <v>81.22514944219499</v>
      </c>
      <c r="AI13" s="100">
        <f t="shared" si="1"/>
        <v>3545.5722209999999</v>
      </c>
      <c r="AJ13" s="94">
        <f t="shared" si="30"/>
        <v>295.46435174999999</v>
      </c>
      <c r="AK13" s="94">
        <f t="shared" si="31"/>
        <v>9.7138964958904115</v>
      </c>
    </row>
    <row r="14" spans="1:37" ht="16">
      <c r="A14" s="38" t="s">
        <v>163</v>
      </c>
      <c r="B14" s="63" t="s">
        <v>143</v>
      </c>
      <c r="C14" s="66">
        <v>5041.8688629999997</v>
      </c>
      <c r="D14" s="24">
        <f>0</f>
        <v>0</v>
      </c>
      <c r="E14" s="24">
        <f t="shared" si="2"/>
        <v>5041.8688629999997</v>
      </c>
      <c r="F14" s="52">
        <f t="shared" si="3"/>
        <v>6.3753294193416618E-2</v>
      </c>
      <c r="G14" s="66">
        <v>1679.4349790000001</v>
      </c>
      <c r="H14" s="74">
        <f t="shared" si="4"/>
        <v>607.64139708261598</v>
      </c>
      <c r="I14" s="75">
        <f t="shared" si="5"/>
        <v>645.21410607066684</v>
      </c>
      <c r="J14" s="75">
        <f t="shared" si="6"/>
        <v>391.27441773763326</v>
      </c>
      <c r="K14" s="75">
        <f t="shared" si="7"/>
        <v>388.0353911007324</v>
      </c>
      <c r="L14" s="75">
        <f t="shared" si="8"/>
        <v>400.34369232095588</v>
      </c>
      <c r="M14" s="75">
        <f t="shared" si="9"/>
        <v>219.60600598188361</v>
      </c>
      <c r="N14" s="75">
        <f t="shared" si="10"/>
        <v>305.11630919606836</v>
      </c>
      <c r="O14" s="75">
        <f t="shared" si="11"/>
        <v>311.59436246987019</v>
      </c>
      <c r="P14" s="75">
        <f t="shared" si="12"/>
        <v>273.37384815443914</v>
      </c>
      <c r="Q14" s="75">
        <f t="shared" si="13"/>
        <v>364.06659398766539</v>
      </c>
      <c r="R14" s="75">
        <f t="shared" si="14"/>
        <v>527.96134181485286</v>
      </c>
      <c r="S14" s="76">
        <f t="shared" si="15"/>
        <v>607.64139708261598</v>
      </c>
      <c r="T14" s="69">
        <f t="shared" si="0"/>
        <v>5041.8688629999997</v>
      </c>
      <c r="U14" s="83">
        <f t="shared" si="16"/>
        <v>420.15573858333329</v>
      </c>
      <c r="V14" s="83">
        <f t="shared" si="17"/>
        <v>13.813339350684931</v>
      </c>
      <c r="W14" s="104">
        <f t="shared" si="18"/>
        <v>31.763421286361218</v>
      </c>
      <c r="X14" s="102">
        <f t="shared" si="19"/>
        <v>61.289981918753334</v>
      </c>
      <c r="Y14" s="102">
        <f t="shared" si="20"/>
        <v>117.65887039877464</v>
      </c>
      <c r="Z14" s="102">
        <f t="shared" si="21"/>
        <v>182.52782936387854</v>
      </c>
      <c r="AA14" s="102">
        <f t="shared" si="22"/>
        <v>229.50190309722962</v>
      </c>
      <c r="AB14" s="102">
        <f t="shared" si="23"/>
        <v>230.39664735881729</v>
      </c>
      <c r="AC14" s="102">
        <f t="shared" si="24"/>
        <v>240.23883423628132</v>
      </c>
      <c r="AD14" s="102">
        <f t="shared" si="25"/>
        <v>229.50190309722962</v>
      </c>
      <c r="AE14" s="102">
        <f t="shared" si="26"/>
        <v>186.55417854102294</v>
      </c>
      <c r="AF14" s="102">
        <f t="shared" si="27"/>
        <v>81.869099935269048</v>
      </c>
      <c r="AG14" s="102">
        <f t="shared" si="28"/>
        <v>49.658306518114024</v>
      </c>
      <c r="AH14" s="105">
        <f t="shared" si="29"/>
        <v>38.474003248268517</v>
      </c>
      <c r="AI14" s="100">
        <f t="shared" si="1"/>
        <v>1679.4349790000001</v>
      </c>
      <c r="AJ14" s="94">
        <f t="shared" si="30"/>
        <v>139.95291491666669</v>
      </c>
      <c r="AK14" s="94">
        <f t="shared" si="31"/>
        <v>4.6011917232876716</v>
      </c>
    </row>
    <row r="15" spans="1:37" ht="16">
      <c r="A15" s="38" t="s">
        <v>164</v>
      </c>
      <c r="B15" s="63" t="s">
        <v>144</v>
      </c>
      <c r="C15" s="66">
        <v>487.02700900000002</v>
      </c>
      <c r="D15" s="24">
        <f>0</f>
        <v>0</v>
      </c>
      <c r="E15" s="24">
        <f t="shared" si="2"/>
        <v>487.02700900000002</v>
      </c>
      <c r="F15" s="52">
        <f t="shared" si="3"/>
        <v>6.1583466426061951E-3</v>
      </c>
      <c r="G15" s="66">
        <v>364.76452599999999</v>
      </c>
      <c r="H15" s="74">
        <f t="shared" si="4"/>
        <v>58.696047082358994</v>
      </c>
      <c r="I15" s="75">
        <f t="shared" si="5"/>
        <v>62.325440185532585</v>
      </c>
      <c r="J15" s="75">
        <f t="shared" si="6"/>
        <v>37.795748867531799</v>
      </c>
      <c r="K15" s="75">
        <f t="shared" si="7"/>
        <v>37.482870151740975</v>
      </c>
      <c r="L15" s="75">
        <f t="shared" si="8"/>
        <v>38.671809271746113</v>
      </c>
      <c r="M15" s="75">
        <f t="shared" si="9"/>
        <v>21.213176930618015</v>
      </c>
      <c r="N15" s="75">
        <f t="shared" si="10"/>
        <v>29.473175027495827</v>
      </c>
      <c r="O15" s="75">
        <f t="shared" si="11"/>
        <v>30.098932459077478</v>
      </c>
      <c r="P15" s="75">
        <f t="shared" si="12"/>
        <v>26.406963612745727</v>
      </c>
      <c r="Q15" s="75">
        <f t="shared" si="13"/>
        <v>35.167567654888863</v>
      </c>
      <c r="R15" s="75">
        <f t="shared" si="14"/>
        <v>50.99923067390467</v>
      </c>
      <c r="S15" s="76">
        <f t="shared" si="15"/>
        <v>58.696047082358994</v>
      </c>
      <c r="T15" s="69">
        <f t="shared" si="0"/>
        <v>487.02700900000008</v>
      </c>
      <c r="U15" s="83">
        <f t="shared" si="16"/>
        <v>40.585584083333337</v>
      </c>
      <c r="V15" s="83">
        <f t="shared" si="17"/>
        <v>1.3343205726027398</v>
      </c>
      <c r="W15" s="104">
        <f t="shared" si="18"/>
        <v>6.898849586041556</v>
      </c>
      <c r="X15" s="102">
        <f t="shared" si="19"/>
        <v>13.311864694192861</v>
      </c>
      <c r="Y15" s="102">
        <f t="shared" si="20"/>
        <v>25.554893537027169</v>
      </c>
      <c r="Z15" s="102">
        <f t="shared" si="21"/>
        <v>39.644093395844436</v>
      </c>
      <c r="AA15" s="102">
        <f t="shared" si="22"/>
        <v>49.846617431539684</v>
      </c>
      <c r="AB15" s="102">
        <f t="shared" si="23"/>
        <v>50.040951222695796</v>
      </c>
      <c r="AC15" s="102">
        <f t="shared" si="24"/>
        <v>52.178622925412888</v>
      </c>
      <c r="AD15" s="102">
        <f t="shared" si="25"/>
        <v>49.846617431539684</v>
      </c>
      <c r="AE15" s="102">
        <f t="shared" si="26"/>
        <v>40.518595456046882</v>
      </c>
      <c r="AF15" s="102">
        <f t="shared" si="27"/>
        <v>17.781541890783163</v>
      </c>
      <c r="AG15" s="102">
        <f t="shared" si="28"/>
        <v>10.78552540916356</v>
      </c>
      <c r="AH15" s="105">
        <f t="shared" si="29"/>
        <v>8.3563530197123068</v>
      </c>
      <c r="AI15" s="100">
        <f t="shared" si="1"/>
        <v>364.76452599999999</v>
      </c>
      <c r="AJ15" s="94">
        <f t="shared" si="30"/>
        <v>30.397043833333331</v>
      </c>
      <c r="AK15" s="94">
        <f t="shared" si="31"/>
        <v>0.99935486575342458</v>
      </c>
    </row>
    <row r="16" spans="1:37" ht="16">
      <c r="A16" s="38" t="s">
        <v>165</v>
      </c>
      <c r="B16" s="63" t="s">
        <v>145</v>
      </c>
      <c r="C16" s="66">
        <v>1939.2393209999998</v>
      </c>
      <c r="D16" s="24">
        <f>0</f>
        <v>0</v>
      </c>
      <c r="E16" s="24">
        <f t="shared" si="2"/>
        <v>1939.2393209999998</v>
      </c>
      <c r="F16" s="52">
        <f t="shared" si="3"/>
        <v>2.4521243670266889E-2</v>
      </c>
      <c r="G16" s="66">
        <v>1539.1456800000001</v>
      </c>
      <c r="H16" s="74">
        <f t="shared" si="4"/>
        <v>233.71533895644353</v>
      </c>
      <c r="I16" s="75">
        <f t="shared" si="5"/>
        <v>248.16682046974177</v>
      </c>
      <c r="J16" s="75">
        <f t="shared" si="6"/>
        <v>150.49473851779518</v>
      </c>
      <c r="K16" s="75">
        <f t="shared" si="7"/>
        <v>149.24892114595914</v>
      </c>
      <c r="L16" s="75">
        <f t="shared" si="8"/>
        <v>153.98302715893612</v>
      </c>
      <c r="M16" s="75">
        <f t="shared" si="9"/>
        <v>84.466417810484387</v>
      </c>
      <c r="N16" s="75">
        <f t="shared" si="10"/>
        <v>117.35599642695618</v>
      </c>
      <c r="O16" s="75">
        <f t="shared" si="11"/>
        <v>119.84763117062828</v>
      </c>
      <c r="P16" s="75">
        <f t="shared" si="12"/>
        <v>105.14698618296285</v>
      </c>
      <c r="Q16" s="75">
        <f t="shared" si="13"/>
        <v>140.02987259437234</v>
      </c>
      <c r="R16" s="75">
        <f t="shared" si="14"/>
        <v>203.06823160927661</v>
      </c>
      <c r="S16" s="76">
        <f t="shared" si="15"/>
        <v>233.71533895644353</v>
      </c>
      <c r="T16" s="69">
        <f t="shared" si="0"/>
        <v>1939.2393209999998</v>
      </c>
      <c r="U16" s="83">
        <f t="shared" si="16"/>
        <v>161.60327674999999</v>
      </c>
      <c r="V16" s="83">
        <f t="shared" si="17"/>
        <v>5.3129844410958897</v>
      </c>
      <c r="W16" s="104">
        <f t="shared" si="18"/>
        <v>29.110107426744808</v>
      </c>
      <c r="X16" s="102">
        <f t="shared" si="19"/>
        <v>56.170207288225896</v>
      </c>
      <c r="Y16" s="102">
        <f t="shared" si="20"/>
        <v>107.83039793287161</v>
      </c>
      <c r="Z16" s="102">
        <f t="shared" si="21"/>
        <v>167.28061732551947</v>
      </c>
      <c r="AA16" s="102">
        <f t="shared" si="22"/>
        <v>210.33077619605754</v>
      </c>
      <c r="AB16" s="102">
        <f t="shared" si="23"/>
        <v>211.15077922216304</v>
      </c>
      <c r="AC16" s="102">
        <f t="shared" si="24"/>
        <v>220.17081250932338</v>
      </c>
      <c r="AD16" s="102">
        <f t="shared" si="25"/>
        <v>210.33077619605754</v>
      </c>
      <c r="AE16" s="102">
        <f t="shared" si="26"/>
        <v>170.97063094299415</v>
      </c>
      <c r="AF16" s="102">
        <f t="shared" si="27"/>
        <v>75.030276888652111</v>
      </c>
      <c r="AG16" s="102">
        <f t="shared" si="28"/>
        <v>45.510167948854566</v>
      </c>
      <c r="AH16" s="105">
        <f t="shared" si="29"/>
        <v>35.260130122535962</v>
      </c>
      <c r="AI16" s="100">
        <f t="shared" si="1"/>
        <v>1539.1456799999999</v>
      </c>
      <c r="AJ16" s="94">
        <f t="shared" si="30"/>
        <v>128.26213999999999</v>
      </c>
      <c r="AK16" s="94">
        <f t="shared" si="31"/>
        <v>4.216837479452054</v>
      </c>
    </row>
    <row r="17" spans="1:37" ht="16">
      <c r="A17" s="38" t="s">
        <v>166</v>
      </c>
      <c r="B17" s="63" t="s">
        <v>146</v>
      </c>
      <c r="C17" s="66">
        <v>7846.3843879999995</v>
      </c>
      <c r="D17" s="24">
        <f>0</f>
        <v>0</v>
      </c>
      <c r="E17" s="24">
        <f t="shared" si="2"/>
        <v>7846.3843879999995</v>
      </c>
      <c r="F17" s="52">
        <f t="shared" si="3"/>
        <v>9.9215760234023204E-2</v>
      </c>
      <c r="G17" s="66">
        <v>1787.599324</v>
      </c>
      <c r="H17" s="74">
        <f t="shared" si="4"/>
        <v>945.63902813105483</v>
      </c>
      <c r="I17" s="75">
        <f t="shared" si="5"/>
        <v>1004.1113774184763</v>
      </c>
      <c r="J17" s="75">
        <f t="shared" si="6"/>
        <v>608.91894775176661</v>
      </c>
      <c r="K17" s="75">
        <f t="shared" si="7"/>
        <v>603.87822798560967</v>
      </c>
      <c r="L17" s="75">
        <f t="shared" si="8"/>
        <v>623.03296309700625</v>
      </c>
      <c r="M17" s="75">
        <f t="shared" si="9"/>
        <v>341.76080014544522</v>
      </c>
      <c r="N17" s="75">
        <f t="shared" si="10"/>
        <v>474.83580197199024</v>
      </c>
      <c r="O17" s="75">
        <f t="shared" si="11"/>
        <v>484.91724150430417</v>
      </c>
      <c r="P17" s="75">
        <f t="shared" si="12"/>
        <v>425.43674826365151</v>
      </c>
      <c r="Q17" s="75">
        <f t="shared" si="13"/>
        <v>566.57690171604781</v>
      </c>
      <c r="R17" s="75">
        <f t="shared" si="14"/>
        <v>821.63732188359245</v>
      </c>
      <c r="S17" s="76">
        <f t="shared" si="15"/>
        <v>945.63902813105483</v>
      </c>
      <c r="T17" s="69">
        <f t="shared" si="0"/>
        <v>7846.3843879999995</v>
      </c>
      <c r="U17" s="83">
        <f t="shared" si="16"/>
        <v>653.86536566666666</v>
      </c>
      <c r="V17" s="83">
        <f t="shared" si="17"/>
        <v>21.496943528767122</v>
      </c>
      <c r="W17" s="104">
        <f t="shared" si="18"/>
        <v>33.809150773574856</v>
      </c>
      <c r="X17" s="102">
        <f t="shared" si="19"/>
        <v>65.237375436334574</v>
      </c>
      <c r="Y17" s="102">
        <f t="shared" si="20"/>
        <v>125.23671342887586</v>
      </c>
      <c r="Z17" s="102">
        <f t="shared" si="21"/>
        <v>194.28357064251466</v>
      </c>
      <c r="AA17" s="102">
        <f t="shared" si="22"/>
        <v>244.28301896963237</v>
      </c>
      <c r="AB17" s="102">
        <f t="shared" si="23"/>
        <v>245.23538941395847</v>
      </c>
      <c r="AC17" s="102">
        <f t="shared" si="24"/>
        <v>255.71146430154502</v>
      </c>
      <c r="AD17" s="102">
        <f t="shared" si="25"/>
        <v>244.28301896963237</v>
      </c>
      <c r="AE17" s="102">
        <f t="shared" si="26"/>
        <v>198.56923764198191</v>
      </c>
      <c r="AF17" s="102">
        <f t="shared" si="27"/>
        <v>87.141895655833778</v>
      </c>
      <c r="AG17" s="102">
        <f t="shared" si="28"/>
        <v>52.856559660095904</v>
      </c>
      <c r="AH17" s="105">
        <f t="shared" si="29"/>
        <v>40.951929106020245</v>
      </c>
      <c r="AI17" s="100">
        <f t="shared" si="1"/>
        <v>1787.5993240000003</v>
      </c>
      <c r="AJ17" s="94">
        <f t="shared" si="30"/>
        <v>148.96661033333336</v>
      </c>
      <c r="AK17" s="94">
        <f t="shared" si="31"/>
        <v>4.8975323945205487</v>
      </c>
    </row>
    <row r="18" spans="1:37" ht="16">
      <c r="A18" s="38" t="s">
        <v>167</v>
      </c>
      <c r="B18" s="63" t="s">
        <v>147</v>
      </c>
      <c r="C18" s="66">
        <v>9632.496427</v>
      </c>
      <c r="D18" s="24">
        <f>0</f>
        <v>0</v>
      </c>
      <c r="E18" s="24">
        <f t="shared" si="2"/>
        <v>9632.496427</v>
      </c>
      <c r="F18" s="52">
        <f t="shared" si="3"/>
        <v>0.12180074397297259</v>
      </c>
      <c r="G18" s="66">
        <v>1240.6030049999999</v>
      </c>
      <c r="H18" s="74">
        <f t="shared" si="4"/>
        <v>1160.8996079308752</v>
      </c>
      <c r="I18" s="75">
        <f t="shared" si="5"/>
        <v>1232.6823128988824</v>
      </c>
      <c r="J18" s="75">
        <f t="shared" si="6"/>
        <v>747.53023794269563</v>
      </c>
      <c r="K18" s="75">
        <f t="shared" si="7"/>
        <v>741.34207372131573</v>
      </c>
      <c r="L18" s="75">
        <f t="shared" si="8"/>
        <v>764.85709776255942</v>
      </c>
      <c r="M18" s="75">
        <f t="shared" si="9"/>
        <v>419.55753420955932</v>
      </c>
      <c r="N18" s="75">
        <f t="shared" si="10"/>
        <v>582.92506965398945</v>
      </c>
      <c r="O18" s="75">
        <f t="shared" si="11"/>
        <v>595.30139809674927</v>
      </c>
      <c r="P18" s="75">
        <f t="shared" si="12"/>
        <v>522.28106028446609</v>
      </c>
      <c r="Q18" s="75">
        <f t="shared" si="13"/>
        <v>695.54965848310417</v>
      </c>
      <c r="R18" s="75">
        <f t="shared" si="14"/>
        <v>1008.6707680849288</v>
      </c>
      <c r="S18" s="76">
        <f t="shared" si="15"/>
        <v>1160.8996079308752</v>
      </c>
      <c r="T18" s="69">
        <f t="shared" si="0"/>
        <v>9632.496427</v>
      </c>
      <c r="U18" s="83">
        <f t="shared" si="16"/>
        <v>802.7080355833333</v>
      </c>
      <c r="V18" s="83">
        <f t="shared" si="17"/>
        <v>26.390401169863015</v>
      </c>
      <c r="W18" s="104">
        <f t="shared" si="18"/>
        <v>23.4637222575919</v>
      </c>
      <c r="X18" s="102">
        <f t="shared" si="19"/>
        <v>45.275069708311136</v>
      </c>
      <c r="Y18" s="102">
        <f t="shared" si="20"/>
        <v>86.91491484150238</v>
      </c>
      <c r="Z18" s="102">
        <f t="shared" si="21"/>
        <v>134.83378424080979</v>
      </c>
      <c r="AA18" s="102">
        <f t="shared" si="22"/>
        <v>169.53365518513584</v>
      </c>
      <c r="AB18" s="102">
        <f t="shared" si="23"/>
        <v>170.19460510788491</v>
      </c>
      <c r="AC18" s="102">
        <f t="shared" si="24"/>
        <v>177.46505425812467</v>
      </c>
      <c r="AD18" s="102">
        <f t="shared" si="25"/>
        <v>169.53365518513584</v>
      </c>
      <c r="AE18" s="102">
        <f t="shared" si="26"/>
        <v>137.8080588931806</v>
      </c>
      <c r="AF18" s="102">
        <f t="shared" si="27"/>
        <v>60.476917931539688</v>
      </c>
      <c r="AG18" s="102">
        <f t="shared" si="28"/>
        <v>36.682720712573257</v>
      </c>
      <c r="AH18" s="105">
        <f t="shared" si="29"/>
        <v>28.420846678209909</v>
      </c>
      <c r="AI18" s="100">
        <f t="shared" si="1"/>
        <v>1240.6030049999997</v>
      </c>
      <c r="AJ18" s="94">
        <f t="shared" si="30"/>
        <v>103.38358374999997</v>
      </c>
      <c r="AK18" s="94">
        <f t="shared" si="31"/>
        <v>3.3989123424657528</v>
      </c>
    </row>
    <row r="19" spans="1:37" ht="16">
      <c r="A19" s="53" t="s">
        <v>168</v>
      </c>
      <c r="B19" s="54" t="s">
        <v>148</v>
      </c>
      <c r="C19" s="66">
        <v>2183.251221</v>
      </c>
      <c r="D19" s="24">
        <f>0</f>
        <v>0</v>
      </c>
      <c r="E19" s="24">
        <f t="shared" si="2"/>
        <v>2183.251221</v>
      </c>
      <c r="F19" s="52">
        <f t="shared" si="3"/>
        <v>2.7606719090216256E-2</v>
      </c>
      <c r="G19" s="66">
        <v>1054.6850830000001</v>
      </c>
      <c r="H19" s="74">
        <f t="shared" si="4"/>
        <v>263.12342866478224</v>
      </c>
      <c r="I19" s="75">
        <f t="shared" si="5"/>
        <v>279.39332084234877</v>
      </c>
      <c r="J19" s="75">
        <f t="shared" si="6"/>
        <v>169.43129095258897</v>
      </c>
      <c r="K19" s="75">
        <f t="shared" si="7"/>
        <v>168.0287140407298</v>
      </c>
      <c r="L19" s="75">
        <f t="shared" si="8"/>
        <v>173.35850630579466</v>
      </c>
      <c r="M19" s="75">
        <f t="shared" si="9"/>
        <v>95.094714624052429</v>
      </c>
      <c r="N19" s="75">
        <f t="shared" si="10"/>
        <v>132.12274509713478</v>
      </c>
      <c r="O19" s="75">
        <f t="shared" si="11"/>
        <v>134.92789892085312</v>
      </c>
      <c r="P19" s="75">
        <f t="shared" si="12"/>
        <v>118.37749136091482</v>
      </c>
      <c r="Q19" s="75">
        <f t="shared" si="13"/>
        <v>157.64964489297188</v>
      </c>
      <c r="R19" s="75">
        <f t="shared" si="14"/>
        <v>228.6200366330464</v>
      </c>
      <c r="S19" s="76">
        <f t="shared" si="15"/>
        <v>263.12342866478224</v>
      </c>
      <c r="T19" s="69">
        <f>SUM(H19:S19)</f>
        <v>2183.251221</v>
      </c>
      <c r="U19" s="83">
        <f t="shared" si="16"/>
        <v>181.93760175</v>
      </c>
      <c r="V19" s="83">
        <f t="shared" si="17"/>
        <v>5.9815101945205482</v>
      </c>
      <c r="W19" s="104">
        <f t="shared" si="18"/>
        <v>19.947426982685137</v>
      </c>
      <c r="X19" s="102">
        <f t="shared" si="19"/>
        <v>38.490105586307941</v>
      </c>
      <c r="Y19" s="102">
        <f t="shared" si="20"/>
        <v>73.889764738678736</v>
      </c>
      <c r="Z19" s="102">
        <f t="shared" si="21"/>
        <v>114.62746773148642</v>
      </c>
      <c r="AA19" s="102">
        <f t="shared" si="22"/>
        <v>144.12718369179541</v>
      </c>
      <c r="AB19" s="102">
        <f t="shared" si="23"/>
        <v>144.68908304342037</v>
      </c>
      <c r="AC19" s="102">
        <f t="shared" si="24"/>
        <v>150.86997591129463</v>
      </c>
      <c r="AD19" s="102">
        <f t="shared" si="25"/>
        <v>144.12718369179541</v>
      </c>
      <c r="AE19" s="102">
        <f t="shared" si="26"/>
        <v>117.15601481379863</v>
      </c>
      <c r="AF19" s="102">
        <f t="shared" si="27"/>
        <v>51.413790673681412</v>
      </c>
      <c r="AG19" s="102">
        <f t="shared" si="28"/>
        <v>31.18541401518381</v>
      </c>
      <c r="AH19" s="105">
        <f t="shared" si="29"/>
        <v>24.161672119872136</v>
      </c>
      <c r="AI19" s="100">
        <f>SUM(W19:AH19)</f>
        <v>1054.6850829999998</v>
      </c>
      <c r="AJ19" s="94">
        <f t="shared" si="30"/>
        <v>87.890423583333316</v>
      </c>
      <c r="AK19" s="94">
        <f t="shared" si="31"/>
        <v>2.8895481726027392</v>
      </c>
    </row>
    <row r="20" spans="1:37" ht="16">
      <c r="A20" s="64" t="s">
        <v>134</v>
      </c>
      <c r="B20" s="63"/>
      <c r="C20" s="55">
        <f>SUM(C4:C19)</f>
        <v>70922.012785999992</v>
      </c>
      <c r="D20" s="56">
        <f>SUM(D4:D19)</f>
        <v>8162.0396819999996</v>
      </c>
      <c r="E20" s="97">
        <f>SUM(E4:E19)</f>
        <v>79084.052468000009</v>
      </c>
      <c r="F20" s="57">
        <f t="shared" si="3"/>
        <v>1</v>
      </c>
      <c r="G20" s="98">
        <f>SUM(G4:G19)</f>
        <v>35211.701449</v>
      </c>
      <c r="H20" s="77">
        <f t="shared" si="4"/>
        <v>9531.1372497730972</v>
      </c>
      <c r="I20" s="78">
        <f t="shared" si="5"/>
        <v>10120.482623426446</v>
      </c>
      <c r="J20" s="78">
        <f t="shared" si="6"/>
        <v>6137.3207877003733</v>
      </c>
      <c r="K20" s="78">
        <f t="shared" si="7"/>
        <v>6086.5151520406025</v>
      </c>
      <c r="L20" s="78">
        <f t="shared" si="8"/>
        <v>6279.5765675477323</v>
      </c>
      <c r="M20" s="78">
        <f t="shared" si="9"/>
        <v>3444.6220977324947</v>
      </c>
      <c r="N20" s="78">
        <f t="shared" si="10"/>
        <v>4785.8908791504564</v>
      </c>
      <c r="O20" s="78">
        <f t="shared" si="11"/>
        <v>4887.5021504699989</v>
      </c>
      <c r="P20" s="78">
        <f t="shared" si="12"/>
        <v>4287.995649684698</v>
      </c>
      <c r="Q20" s="78">
        <f t="shared" si="13"/>
        <v>5710.5534481582945</v>
      </c>
      <c r="R20" s="78">
        <f t="shared" si="14"/>
        <v>8281.3186125427219</v>
      </c>
      <c r="S20" s="79">
        <f t="shared" si="15"/>
        <v>9531.1372497730972</v>
      </c>
      <c r="T20" s="96">
        <f>SUM(H20:S20)</f>
        <v>79084.052468000009</v>
      </c>
      <c r="U20" s="84">
        <f>T20/12</f>
        <v>6590.3377056666677</v>
      </c>
      <c r="V20" s="84">
        <f t="shared" si="17"/>
        <v>216.66863689863015</v>
      </c>
      <c r="W20" s="106">
        <f t="shared" si="18"/>
        <v>665.96451861454455</v>
      </c>
      <c r="X20" s="107">
        <f t="shared" si="19"/>
        <v>1285.0301274675014</v>
      </c>
      <c r="Y20" s="107">
        <f t="shared" si="20"/>
        <v>2466.8826534595096</v>
      </c>
      <c r="Z20" s="107">
        <f t="shared" si="21"/>
        <v>3826.9510365455517</v>
      </c>
      <c r="AA20" s="107">
        <f t="shared" si="22"/>
        <v>4811.828141538891</v>
      </c>
      <c r="AB20" s="107">
        <f t="shared" si="23"/>
        <v>4830.5877054435268</v>
      </c>
      <c r="AC20" s="107">
        <f t="shared" si="24"/>
        <v>5036.9429083945124</v>
      </c>
      <c r="AD20" s="107">
        <f t="shared" si="25"/>
        <v>4811.828141538891</v>
      </c>
      <c r="AE20" s="107">
        <f t="shared" si="26"/>
        <v>3911.3690741164096</v>
      </c>
      <c r="AF20" s="107">
        <f t="shared" si="27"/>
        <v>1716.5000972741077</v>
      </c>
      <c r="AG20" s="107">
        <f t="shared" si="28"/>
        <v>1041.1557967072458</v>
      </c>
      <c r="AH20" s="108">
        <f t="shared" si="29"/>
        <v>806.66124789930734</v>
      </c>
      <c r="AI20" s="101">
        <f>SUM(W20:AH20)</f>
        <v>35211.701449</v>
      </c>
      <c r="AJ20" s="95">
        <f>AI20/12</f>
        <v>2934.3084540833333</v>
      </c>
      <c r="AK20" s="95">
        <f t="shared" si="31"/>
        <v>96.470414928767127</v>
      </c>
    </row>
    <row r="21" spans="1:37">
      <c r="B21" t="s">
        <v>205</v>
      </c>
    </row>
    <row r="25" spans="1:37">
      <c r="A25" s="42"/>
      <c r="B25" s="343" t="s">
        <v>201</v>
      </c>
      <c r="C25" s="337" t="s">
        <v>197</v>
      </c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9"/>
    </row>
    <row r="26" spans="1:37">
      <c r="A26" s="45"/>
      <c r="B26" s="344"/>
      <c r="C26" s="49" t="s">
        <v>185</v>
      </c>
      <c r="D26" s="49" t="s">
        <v>186</v>
      </c>
      <c r="E26" s="49" t="s">
        <v>187</v>
      </c>
      <c r="F26" s="49" t="s">
        <v>192</v>
      </c>
      <c r="G26" s="49" t="s">
        <v>188</v>
      </c>
      <c r="H26" s="49" t="s">
        <v>189</v>
      </c>
      <c r="I26" s="49" t="s">
        <v>190</v>
      </c>
      <c r="J26" s="49" t="s">
        <v>191</v>
      </c>
      <c r="K26" s="49" t="s">
        <v>193</v>
      </c>
      <c r="L26" s="49" t="s">
        <v>194</v>
      </c>
      <c r="M26" s="49" t="s">
        <v>195</v>
      </c>
      <c r="N26" s="49" t="s">
        <v>196</v>
      </c>
      <c r="O26" s="49" t="s">
        <v>181</v>
      </c>
      <c r="P26" s="41" t="s">
        <v>200</v>
      </c>
    </row>
    <row r="27" spans="1:37">
      <c r="A27" s="42"/>
      <c r="B27" s="43" t="s">
        <v>184</v>
      </c>
      <c r="C27" s="43">
        <v>9.3800000000000008</v>
      </c>
      <c r="D27" s="43">
        <v>9.9600000000000009</v>
      </c>
      <c r="E27" s="43">
        <v>6.04</v>
      </c>
      <c r="F27" s="43">
        <v>5.99</v>
      </c>
      <c r="G27" s="43">
        <v>6.18</v>
      </c>
      <c r="H27" s="43">
        <v>3.39</v>
      </c>
      <c r="I27" s="43">
        <v>4.71</v>
      </c>
      <c r="J27" s="43">
        <v>4.8099999999999996</v>
      </c>
      <c r="K27" s="43">
        <v>4.22</v>
      </c>
      <c r="L27" s="43">
        <v>5.62</v>
      </c>
      <c r="M27" s="43">
        <v>8.15</v>
      </c>
      <c r="N27" s="43">
        <v>9.3800000000000008</v>
      </c>
      <c r="O27" s="47">
        <f>SUM(C27:N27)</f>
        <v>77.83</v>
      </c>
      <c r="P27">
        <v>8760</v>
      </c>
    </row>
    <row r="28" spans="1:37">
      <c r="A28" s="45"/>
      <c r="B28" s="46"/>
      <c r="C28" s="46">
        <f>C27/$O$27</f>
        <v>0.12051908004625467</v>
      </c>
      <c r="D28" s="46">
        <f t="shared" ref="D28:O28" si="32">D27/$O$27</f>
        <v>0.12797121932416808</v>
      </c>
      <c r="E28" s="46">
        <f t="shared" si="32"/>
        <v>7.760503661827059E-2</v>
      </c>
      <c r="F28" s="46">
        <f t="shared" si="32"/>
        <v>7.6962610818450475E-2</v>
      </c>
      <c r="G28" s="46">
        <f t="shared" si="32"/>
        <v>7.9403828857766923E-2</v>
      </c>
      <c r="H28" s="46">
        <f t="shared" si="32"/>
        <v>4.3556469227804193E-2</v>
      </c>
      <c r="I28" s="46">
        <f t="shared" si="32"/>
        <v>6.0516510343055378E-2</v>
      </c>
      <c r="J28" s="46">
        <f t="shared" si="32"/>
        <v>6.1801361942695615E-2</v>
      </c>
      <c r="K28" s="46">
        <f t="shared" si="32"/>
        <v>5.4220737504818192E-2</v>
      </c>
      <c r="L28" s="46">
        <f t="shared" si="32"/>
        <v>7.2208659899781577E-2</v>
      </c>
      <c r="M28" s="46">
        <f t="shared" si="32"/>
        <v>0.10471540537067969</v>
      </c>
      <c r="N28" s="46">
        <f>N27/$O$27</f>
        <v>0.12051908004625467</v>
      </c>
      <c r="O28" s="48">
        <f t="shared" si="32"/>
        <v>1</v>
      </c>
    </row>
    <row r="29" spans="1:37">
      <c r="A29" s="42"/>
      <c r="B29" s="43" t="s">
        <v>198</v>
      </c>
      <c r="C29" s="43">
        <v>0.71</v>
      </c>
      <c r="D29" s="43">
        <v>1.37</v>
      </c>
      <c r="E29" s="43">
        <v>2.63</v>
      </c>
      <c r="F29" s="43">
        <v>4.08</v>
      </c>
      <c r="G29" s="43">
        <v>5.13</v>
      </c>
      <c r="H29" s="43">
        <v>5.15</v>
      </c>
      <c r="I29" s="43">
        <v>5.37</v>
      </c>
      <c r="J29" s="43">
        <v>5.13</v>
      </c>
      <c r="K29" s="43">
        <v>4.17</v>
      </c>
      <c r="L29" s="43">
        <v>1.83</v>
      </c>
      <c r="M29" s="43">
        <v>1.1100000000000001</v>
      </c>
      <c r="N29" s="43">
        <v>0.86</v>
      </c>
      <c r="O29" s="47">
        <f>SUM(C29:N29)</f>
        <v>37.54</v>
      </c>
    </row>
    <row r="30" spans="1:37">
      <c r="A30" s="45"/>
      <c r="B30" s="46"/>
      <c r="C30" s="46">
        <f t="shared" ref="C30:O30" si="33">C29/$O$29</f>
        <v>1.8913159296750134E-2</v>
      </c>
      <c r="D30" s="46">
        <f t="shared" si="33"/>
        <v>3.6494405966968568E-2</v>
      </c>
      <c r="E30" s="46">
        <f t="shared" si="33"/>
        <v>7.0058604155567389E-2</v>
      </c>
      <c r="F30" s="46">
        <f t="shared" si="33"/>
        <v>0.10868407032498668</v>
      </c>
      <c r="G30" s="46">
        <f t="shared" si="33"/>
        <v>0.13665423548215236</v>
      </c>
      <c r="H30" s="46">
        <f t="shared" si="33"/>
        <v>0.13718700053276506</v>
      </c>
      <c r="I30" s="46">
        <f t="shared" si="33"/>
        <v>0.14304741608950453</v>
      </c>
      <c r="J30" s="46">
        <f t="shared" si="33"/>
        <v>0.13665423548215236</v>
      </c>
      <c r="K30" s="46">
        <f t="shared" si="33"/>
        <v>0.11108151305274375</v>
      </c>
      <c r="L30" s="46">
        <f t="shared" si="33"/>
        <v>4.8748002131060203E-2</v>
      </c>
      <c r="M30" s="46">
        <f t="shared" si="33"/>
        <v>2.9568460309003734E-2</v>
      </c>
      <c r="N30" s="46">
        <f t="shared" si="33"/>
        <v>2.2908897176345231E-2</v>
      </c>
      <c r="O30" s="48">
        <f t="shared" si="33"/>
        <v>1</v>
      </c>
    </row>
    <row r="31" spans="1:37">
      <c r="A31" s="42"/>
      <c r="B31" s="43" t="s">
        <v>199</v>
      </c>
      <c r="C31" s="43">
        <v>33.65</v>
      </c>
      <c r="D31" s="43">
        <v>29.19</v>
      </c>
      <c r="E31" s="43">
        <v>31.97</v>
      </c>
      <c r="F31" s="43">
        <v>26.72</v>
      </c>
      <c r="G31" s="43">
        <v>24.4</v>
      </c>
      <c r="H31" s="43">
        <v>26.05</v>
      </c>
      <c r="I31" s="43">
        <v>26.29</v>
      </c>
      <c r="J31" s="43">
        <v>27.26</v>
      </c>
      <c r="K31" s="43">
        <v>30.09</v>
      </c>
      <c r="L31" s="43">
        <v>33.35</v>
      </c>
      <c r="M31" s="43">
        <v>33.06</v>
      </c>
      <c r="N31" s="43">
        <v>31.99</v>
      </c>
      <c r="O31" s="47">
        <f>SUM(C31:N31)</f>
        <v>354.02000000000004</v>
      </c>
      <c r="P31">
        <v>6000</v>
      </c>
    </row>
    <row r="32" spans="1:37">
      <c r="A32" s="45"/>
      <c r="B32" s="46"/>
      <c r="C32" s="46">
        <f t="shared" ref="C32:O32" si="34">C31/$O$31</f>
        <v>9.5051127054968626E-2</v>
      </c>
      <c r="D32" s="46">
        <f t="shared" si="34"/>
        <v>8.2452968758827183E-2</v>
      </c>
      <c r="E32" s="46">
        <f t="shared" si="34"/>
        <v>9.0305632450144044E-2</v>
      </c>
      <c r="F32" s="46">
        <f t="shared" si="34"/>
        <v>7.5475961810067216E-2</v>
      </c>
      <c r="G32" s="46">
        <f t="shared" si="34"/>
        <v>6.8922659736738029E-2</v>
      </c>
      <c r="H32" s="46">
        <f t="shared" si="34"/>
        <v>7.3583413366476461E-2</v>
      </c>
      <c r="I32" s="46">
        <f t="shared" si="34"/>
        <v>7.4261341167165693E-2</v>
      </c>
      <c r="J32" s="46">
        <f t="shared" si="34"/>
        <v>7.7001299361617981E-2</v>
      </c>
      <c r="K32" s="46">
        <f t="shared" si="34"/>
        <v>8.4995198011411768E-2</v>
      </c>
      <c r="L32" s="46">
        <f t="shared" si="34"/>
        <v>9.4203717304107107E-2</v>
      </c>
      <c r="M32" s="46">
        <f t="shared" si="34"/>
        <v>9.3384554544940962E-2</v>
      </c>
      <c r="N32" s="46">
        <f t="shared" si="34"/>
        <v>9.036212643353482E-2</v>
      </c>
      <c r="O32" s="48">
        <f t="shared" si="34"/>
        <v>1</v>
      </c>
    </row>
    <row r="34" spans="2:14">
      <c r="C34" s="62">
        <v>6590.3377099999998</v>
      </c>
      <c r="D34" s="62">
        <v>6590.3377099999998</v>
      </c>
      <c r="E34" s="62">
        <v>6590.3377099999998</v>
      </c>
      <c r="F34" s="62">
        <v>6590.3377099999998</v>
      </c>
      <c r="G34" s="62">
        <v>6590.3377099999998</v>
      </c>
      <c r="H34" s="62">
        <v>6590.3377099999998</v>
      </c>
      <c r="I34" s="62">
        <v>6590.3377099999998</v>
      </c>
      <c r="J34" s="62">
        <v>6590.3377099999998</v>
      </c>
      <c r="K34" s="62">
        <v>6590.3377099999998</v>
      </c>
      <c r="L34" s="62">
        <v>6590.3377099999998</v>
      </c>
      <c r="M34" s="62">
        <v>6590.3377099999998</v>
      </c>
      <c r="N34" s="62">
        <v>6590.3377099999998</v>
      </c>
    </row>
    <row r="35" spans="2:14">
      <c r="C35" s="62">
        <v>2934.30845</v>
      </c>
      <c r="D35" s="62">
        <v>2934.30845</v>
      </c>
      <c r="E35" s="62">
        <v>2934.30845</v>
      </c>
      <c r="F35" s="62">
        <v>2934.30845</v>
      </c>
      <c r="G35" s="62">
        <v>2934.30845</v>
      </c>
      <c r="H35" s="62">
        <v>2934.30845</v>
      </c>
      <c r="I35" s="62">
        <v>2934.30845</v>
      </c>
      <c r="J35" s="62">
        <v>2934.30845</v>
      </c>
      <c r="K35" s="62">
        <v>2934.30845</v>
      </c>
      <c r="L35" s="62">
        <v>2934.30845</v>
      </c>
      <c r="M35" s="62">
        <v>2934.30845</v>
      </c>
      <c r="N35" s="62">
        <v>2934.30845</v>
      </c>
    </row>
    <row r="38" spans="2:14">
      <c r="C38" s="61"/>
      <c r="D38" s="61"/>
      <c r="E38" s="61"/>
      <c r="F38" s="61"/>
      <c r="G38" s="61"/>
      <c r="H38" s="61"/>
      <c r="I38" s="61"/>
      <c r="J38" s="61"/>
      <c r="K38" s="61"/>
    </row>
    <row r="39" spans="2:14">
      <c r="C39" s="61"/>
      <c r="D39" s="61"/>
      <c r="E39" s="61"/>
      <c r="F39" s="61"/>
      <c r="G39" s="61"/>
      <c r="H39" s="61"/>
      <c r="I39" s="61"/>
      <c r="J39" s="61"/>
      <c r="K39" s="61"/>
    </row>
    <row r="40" spans="2:14">
      <c r="C40" s="61"/>
      <c r="D40" s="61"/>
      <c r="E40" s="61"/>
      <c r="F40" s="61"/>
      <c r="G40" s="61"/>
      <c r="H40" s="61"/>
      <c r="I40" s="61"/>
      <c r="J40" s="61"/>
      <c r="K40" s="61"/>
    </row>
    <row r="41" spans="2:14">
      <c r="C41" s="61"/>
      <c r="D41" s="61"/>
      <c r="E41" s="61"/>
      <c r="F41" s="61"/>
      <c r="G41" s="61"/>
      <c r="H41" s="61"/>
      <c r="I41" s="61"/>
      <c r="J41" s="61"/>
      <c r="K41" s="61"/>
    </row>
    <row r="42" spans="2:14">
      <c r="C42" s="61"/>
      <c r="D42" s="61"/>
      <c r="E42" s="61"/>
      <c r="F42" s="61"/>
      <c r="G42" s="61"/>
      <c r="H42" s="61"/>
      <c r="I42" s="61"/>
      <c r="J42" s="61"/>
      <c r="K42" s="61"/>
    </row>
    <row r="43" spans="2:14">
      <c r="C43" s="61"/>
      <c r="D43" s="61"/>
      <c r="E43" s="61"/>
      <c r="F43" s="61"/>
      <c r="G43" s="61"/>
      <c r="H43" s="61"/>
      <c r="I43" s="61"/>
      <c r="J43" s="61"/>
      <c r="K43" s="61"/>
    </row>
    <row r="44" spans="2:14">
      <c r="C44" s="61"/>
      <c r="D44" s="61"/>
      <c r="E44" s="61"/>
      <c r="F44" s="61"/>
      <c r="G44" s="61"/>
      <c r="H44" s="61"/>
      <c r="I44" s="61"/>
      <c r="J44" s="61"/>
      <c r="K44" s="61"/>
    </row>
    <row r="45" spans="2:14">
      <c r="B45" s="333" t="s">
        <v>151</v>
      </c>
      <c r="C45" s="334" t="s">
        <v>344</v>
      </c>
      <c r="D45" s="335" t="s">
        <v>345</v>
      </c>
      <c r="E45" s="335" t="s">
        <v>346</v>
      </c>
      <c r="F45" s="335" t="s">
        <v>347</v>
      </c>
      <c r="G45" s="61"/>
      <c r="H45" s="61"/>
      <c r="I45" s="61"/>
      <c r="J45" s="61"/>
      <c r="K45" s="61"/>
    </row>
    <row r="46" spans="2:14">
      <c r="B46" s="333"/>
      <c r="C46" s="334"/>
      <c r="D46" s="335"/>
      <c r="E46" s="335"/>
      <c r="F46" s="335"/>
      <c r="G46" s="61"/>
      <c r="H46" s="61"/>
      <c r="I46" s="61"/>
      <c r="J46" s="61"/>
      <c r="K46" s="61"/>
    </row>
    <row r="47" spans="2:14" ht="34.5" customHeight="1">
      <c r="B47" s="333"/>
      <c r="C47" s="334"/>
      <c r="D47" s="335"/>
      <c r="E47" s="335"/>
      <c r="F47" s="335"/>
      <c r="G47" s="61"/>
      <c r="H47" s="61"/>
      <c r="I47" s="61"/>
      <c r="J47" s="61"/>
      <c r="K47" s="61"/>
    </row>
    <row r="48" spans="2:14">
      <c r="B48" s="63" t="s">
        <v>136</v>
      </c>
      <c r="C48" s="241">
        <v>23450</v>
      </c>
      <c r="D48" s="61">
        <v>23.45</v>
      </c>
      <c r="E48" s="239">
        <v>45</v>
      </c>
      <c r="F48" s="19">
        <v>23000</v>
      </c>
      <c r="G48" s="61"/>
      <c r="H48" s="61">
        <f>D48*1000000</f>
        <v>23450000</v>
      </c>
      <c r="I48" s="61">
        <f>E48*1000000000</f>
        <v>45000000000</v>
      </c>
      <c r="J48" s="61"/>
      <c r="K48" s="61"/>
    </row>
    <row r="49" spans="2:13">
      <c r="B49" s="63" t="s">
        <v>137</v>
      </c>
      <c r="C49" s="61">
        <v>27380</v>
      </c>
      <c r="D49" s="61">
        <v>27.38</v>
      </c>
      <c r="E49" s="239">
        <v>80</v>
      </c>
      <c r="F49" s="19">
        <v>41000</v>
      </c>
      <c r="G49" s="61"/>
      <c r="H49" s="61">
        <f t="shared" ref="H49:H63" si="35">D49*1000000</f>
        <v>27380000</v>
      </c>
      <c r="I49" s="61">
        <f t="shared" ref="I49:I63" si="36">E49*1000000000</f>
        <v>80000000000</v>
      </c>
      <c r="J49" s="61"/>
      <c r="K49" s="61"/>
    </row>
    <row r="50" spans="2:13">
      <c r="B50" s="63" t="s">
        <v>88</v>
      </c>
      <c r="C50" s="61">
        <v>3890</v>
      </c>
      <c r="D50" s="237">
        <v>3.89</v>
      </c>
      <c r="E50" s="239">
        <v>0.6</v>
      </c>
      <c r="F50" s="237">
        <v>300</v>
      </c>
      <c r="G50" s="61"/>
      <c r="H50" s="61">
        <f t="shared" si="35"/>
        <v>3890000</v>
      </c>
      <c r="I50" s="61">
        <f t="shared" si="36"/>
        <v>600000000</v>
      </c>
      <c r="J50" s="61"/>
      <c r="K50" s="61"/>
    </row>
    <row r="51" spans="2:13">
      <c r="B51" s="63" t="s">
        <v>138</v>
      </c>
      <c r="C51" s="237">
        <v>21140</v>
      </c>
      <c r="D51" s="237">
        <v>21.14</v>
      </c>
      <c r="E51" s="240">
        <v>26</v>
      </c>
      <c r="F51" s="19">
        <v>13000</v>
      </c>
      <c r="G51" s="61"/>
      <c r="H51" s="61">
        <f t="shared" si="35"/>
        <v>21140000</v>
      </c>
      <c r="I51" s="61">
        <f t="shared" si="36"/>
        <v>26000000000</v>
      </c>
      <c r="J51" s="61"/>
      <c r="K51" s="241"/>
    </row>
    <row r="52" spans="2:13">
      <c r="B52" s="63" t="s">
        <v>89</v>
      </c>
      <c r="C52" s="237">
        <v>870</v>
      </c>
      <c r="D52" s="237">
        <v>870</v>
      </c>
      <c r="E52" s="240">
        <v>0.3</v>
      </c>
      <c r="F52" s="237">
        <v>200</v>
      </c>
      <c r="G52" s="61"/>
      <c r="H52" s="61">
        <f t="shared" si="35"/>
        <v>870000000</v>
      </c>
      <c r="I52" s="61">
        <f t="shared" si="36"/>
        <v>300000000</v>
      </c>
      <c r="J52" s="61"/>
      <c r="K52" s="61"/>
    </row>
    <row r="53" spans="2:13">
      <c r="B53" s="63" t="s">
        <v>90</v>
      </c>
      <c r="C53" s="237">
        <v>1960</v>
      </c>
      <c r="D53" s="237">
        <v>1.96</v>
      </c>
      <c r="E53" s="240">
        <v>0.6</v>
      </c>
      <c r="F53" s="237">
        <v>300</v>
      </c>
      <c r="G53" s="61"/>
      <c r="H53" s="61">
        <f t="shared" si="35"/>
        <v>1960000</v>
      </c>
      <c r="I53" s="61">
        <f t="shared" si="36"/>
        <v>600000000</v>
      </c>
      <c r="J53" s="61"/>
      <c r="K53" s="61"/>
      <c r="L53" s="237"/>
      <c r="M53" s="19"/>
    </row>
    <row r="54" spans="2:13">
      <c r="B54" s="63" t="s">
        <v>139</v>
      </c>
      <c r="C54" s="237">
        <v>11310</v>
      </c>
      <c r="D54" s="237">
        <v>11.31</v>
      </c>
      <c r="E54" s="240">
        <v>28</v>
      </c>
      <c r="F54" s="19">
        <v>14000</v>
      </c>
      <c r="H54" s="61">
        <f t="shared" si="35"/>
        <v>11310000</v>
      </c>
      <c r="I54" s="61">
        <f t="shared" si="36"/>
        <v>28000000000</v>
      </c>
      <c r="J54" s="61"/>
      <c r="K54" s="237"/>
      <c r="L54" s="237"/>
      <c r="M54" s="19"/>
    </row>
    <row r="55" spans="2:13">
      <c r="B55" s="63" t="s">
        <v>140</v>
      </c>
      <c r="C55" s="19">
        <v>23230</v>
      </c>
      <c r="D55" s="237">
        <v>23.23</v>
      </c>
      <c r="E55" s="240">
        <v>23</v>
      </c>
      <c r="F55" s="19">
        <v>11000</v>
      </c>
      <c r="H55" s="61">
        <f t="shared" si="35"/>
        <v>23230000</v>
      </c>
      <c r="I55" s="61">
        <f t="shared" si="36"/>
        <v>23000000000</v>
      </c>
      <c r="J55" s="61"/>
      <c r="K55" s="237"/>
      <c r="L55" s="237"/>
      <c r="M55" s="237"/>
    </row>
    <row r="56" spans="2:13">
      <c r="B56" s="63" t="s">
        <v>141</v>
      </c>
      <c r="C56" s="19">
        <v>24750</v>
      </c>
      <c r="D56" s="237">
        <v>24.75</v>
      </c>
      <c r="E56" s="240">
        <v>56</v>
      </c>
      <c r="F56" s="19">
        <v>26000</v>
      </c>
      <c r="H56" s="61">
        <f t="shared" si="35"/>
        <v>24750000</v>
      </c>
      <c r="I56" s="61">
        <f t="shared" si="36"/>
        <v>56000000000</v>
      </c>
      <c r="J56" s="61"/>
      <c r="K56" s="237"/>
      <c r="L56" s="237"/>
      <c r="M56" s="19"/>
    </row>
    <row r="57" spans="2:13">
      <c r="B57" s="63" t="s">
        <v>142</v>
      </c>
      <c r="C57" s="19">
        <v>28900</v>
      </c>
      <c r="D57" s="237">
        <v>28.9</v>
      </c>
      <c r="E57" s="240">
        <v>41</v>
      </c>
      <c r="F57" s="19">
        <v>20000</v>
      </c>
      <c r="H57" s="61">
        <f t="shared" si="35"/>
        <v>28900000</v>
      </c>
      <c r="I57" s="61">
        <f t="shared" si="36"/>
        <v>41000000000</v>
      </c>
      <c r="J57" s="61"/>
      <c r="K57" s="237"/>
      <c r="L57" s="237"/>
      <c r="M57" s="237"/>
    </row>
    <row r="58" spans="2:13">
      <c r="B58" s="63" t="s">
        <v>143</v>
      </c>
      <c r="C58" s="237">
        <v>11860</v>
      </c>
      <c r="D58" s="237">
        <v>11.86</v>
      </c>
      <c r="E58" s="240">
        <v>25</v>
      </c>
      <c r="F58" s="19">
        <v>12000</v>
      </c>
      <c r="H58" s="61">
        <f t="shared" si="35"/>
        <v>11860000</v>
      </c>
      <c r="I58" s="61">
        <f t="shared" si="36"/>
        <v>25000000000</v>
      </c>
      <c r="J58" s="61"/>
      <c r="K58" s="19"/>
      <c r="L58" s="237"/>
      <c r="M58" s="237"/>
    </row>
    <row r="59" spans="2:13">
      <c r="B59" s="63" t="s">
        <v>144</v>
      </c>
      <c r="C59" s="237">
        <v>2120</v>
      </c>
      <c r="D59" s="237">
        <v>2.12</v>
      </c>
      <c r="E59" s="240">
        <v>4.5999999999999996</v>
      </c>
      <c r="F59" s="237">
        <v>2400</v>
      </c>
      <c r="H59" s="61">
        <f t="shared" si="35"/>
        <v>2120000</v>
      </c>
      <c r="I59" s="61">
        <f t="shared" si="36"/>
        <v>4600000000</v>
      </c>
      <c r="J59" s="61"/>
      <c r="K59" s="19"/>
      <c r="L59" s="237"/>
      <c r="M59" s="19"/>
    </row>
    <row r="60" spans="2:13">
      <c r="B60" s="63" t="s">
        <v>145</v>
      </c>
      <c r="C60" s="237">
        <v>8700</v>
      </c>
      <c r="D60" s="237">
        <v>8.6999999999999993</v>
      </c>
      <c r="E60" s="240">
        <v>20</v>
      </c>
      <c r="F60" s="19">
        <v>10000</v>
      </c>
      <c r="H60" s="61">
        <f t="shared" si="35"/>
        <v>8700000</v>
      </c>
      <c r="I60" s="61">
        <f t="shared" si="36"/>
        <v>20000000000</v>
      </c>
      <c r="J60" s="61"/>
      <c r="K60" s="19"/>
      <c r="L60" s="237"/>
      <c r="M60" s="19"/>
    </row>
    <row r="61" spans="2:13">
      <c r="B61" s="63" t="s">
        <v>146</v>
      </c>
      <c r="C61" s="237">
        <v>8800</v>
      </c>
      <c r="D61" s="237">
        <v>8.8000000000000007</v>
      </c>
      <c r="E61" s="240">
        <v>15</v>
      </c>
      <c r="F61" s="237">
        <v>7400</v>
      </c>
      <c r="H61" s="61">
        <f t="shared" si="35"/>
        <v>8800000</v>
      </c>
      <c r="I61" s="61">
        <f t="shared" si="36"/>
        <v>15000000000</v>
      </c>
      <c r="J61" s="61"/>
      <c r="K61" s="237"/>
      <c r="L61" s="237"/>
      <c r="M61" s="19"/>
    </row>
    <row r="62" spans="2:13">
      <c r="B62" s="63" t="s">
        <v>147</v>
      </c>
      <c r="C62" s="237">
        <v>7620</v>
      </c>
      <c r="D62" s="237">
        <v>7.62</v>
      </c>
      <c r="E62" s="240">
        <v>23</v>
      </c>
      <c r="F62" s="237">
        <v>9000</v>
      </c>
      <c r="H62" s="61">
        <f t="shared" si="35"/>
        <v>7620000</v>
      </c>
      <c r="I62" s="61">
        <f t="shared" si="36"/>
        <v>23000000000</v>
      </c>
      <c r="J62" s="61"/>
      <c r="K62" s="237"/>
      <c r="L62" s="237"/>
      <c r="M62" s="19"/>
    </row>
    <row r="63" spans="2:13">
      <c r="B63" s="54" t="s">
        <v>148</v>
      </c>
      <c r="C63" s="237">
        <v>6040</v>
      </c>
      <c r="D63" s="237">
        <v>6.04</v>
      </c>
      <c r="E63" s="240">
        <v>15</v>
      </c>
      <c r="F63" s="237">
        <v>7500</v>
      </c>
      <c r="H63" s="61">
        <f t="shared" si="35"/>
        <v>6040000</v>
      </c>
      <c r="I63" s="61">
        <f t="shared" si="36"/>
        <v>15000000000</v>
      </c>
      <c r="J63" s="61"/>
      <c r="K63" s="237"/>
      <c r="L63" s="237"/>
      <c r="M63" s="19"/>
    </row>
    <row r="64" spans="2:13">
      <c r="H64" s="237"/>
      <c r="I64" s="61"/>
      <c r="J64" s="61"/>
      <c r="K64" s="237"/>
      <c r="L64" s="237"/>
      <c r="M64" s="237"/>
    </row>
    <row r="65" spans="8:13">
      <c r="H65" s="237"/>
      <c r="I65" s="61"/>
      <c r="J65" s="237"/>
      <c r="K65" s="237"/>
      <c r="L65" s="237"/>
      <c r="M65" s="19"/>
    </row>
    <row r="66" spans="8:13">
      <c r="H66" s="237"/>
      <c r="I66" s="61"/>
      <c r="J66" s="237"/>
      <c r="K66" s="237"/>
      <c r="L66" s="237"/>
      <c r="M66" s="237"/>
    </row>
    <row r="67" spans="8:13">
      <c r="H67" s="237"/>
      <c r="I67" s="61"/>
      <c r="J67" s="237"/>
      <c r="K67" s="237"/>
      <c r="L67" s="237"/>
      <c r="M67" s="237"/>
    </row>
    <row r="68" spans="8:13">
      <c r="I68" s="61"/>
      <c r="J68" s="237"/>
      <c r="K68" s="237"/>
      <c r="L68" s="237"/>
      <c r="M68" s="237"/>
    </row>
    <row r="69" spans="8:13">
      <c r="I69" s="61"/>
    </row>
    <row r="70" spans="8:13">
      <c r="I70" s="61"/>
    </row>
    <row r="71" spans="8:13">
      <c r="I71" s="61"/>
    </row>
    <row r="72" spans="8:13">
      <c r="I72" s="61"/>
    </row>
    <row r="73" spans="8:13">
      <c r="I73" s="61"/>
    </row>
    <row r="74" spans="8:13">
      <c r="I74" s="61"/>
    </row>
    <row r="75" spans="8:13">
      <c r="I75" s="61"/>
    </row>
    <row r="76" spans="8:13">
      <c r="I76" s="61"/>
    </row>
    <row r="77" spans="8:13">
      <c r="I77" s="61"/>
    </row>
    <row r="78" spans="8:13">
      <c r="I78" s="61"/>
    </row>
    <row r="79" spans="8:13">
      <c r="I79" s="61"/>
    </row>
    <row r="80" spans="8:13">
      <c r="I80" s="61"/>
    </row>
    <row r="81" spans="9:9">
      <c r="I81" s="61"/>
    </row>
    <row r="82" spans="9:9">
      <c r="I82" s="61"/>
    </row>
    <row r="83" spans="9:9">
      <c r="I83" s="61"/>
    </row>
    <row r="84" spans="9:9">
      <c r="I84" s="61"/>
    </row>
    <row r="85" spans="9:9">
      <c r="I85" s="61"/>
    </row>
    <row r="86" spans="9:9">
      <c r="I86" s="61"/>
    </row>
    <row r="87" spans="9:9">
      <c r="I87" s="61"/>
    </row>
    <row r="88" spans="9:9">
      <c r="I88" s="61"/>
    </row>
    <row r="89" spans="9:9">
      <c r="I89" s="61"/>
    </row>
    <row r="90" spans="9:9">
      <c r="I90" s="61"/>
    </row>
  </sheetData>
  <mergeCells count="12">
    <mergeCell ref="A1:A3"/>
    <mergeCell ref="B1:B3"/>
    <mergeCell ref="C1:F1"/>
    <mergeCell ref="W1:AK1"/>
    <mergeCell ref="B25:B26"/>
    <mergeCell ref="C25:P25"/>
    <mergeCell ref="H1:V1"/>
    <mergeCell ref="B45:B47"/>
    <mergeCell ref="C45:C47"/>
    <mergeCell ref="D45:D47"/>
    <mergeCell ref="E45:E47"/>
    <mergeCell ref="F45:F47"/>
  </mergeCells>
  <pageMargins left="0.7" right="0.7" top="0.75" bottom="0.75" header="0.3" footer="0.3"/>
  <pageSetup paperSize="9" orientation="portrait" r:id="rId1"/>
  <ignoredErrors>
    <ignoredError sqref="F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Chemical reaction</vt:lpstr>
      <vt:lpstr>Basic Info</vt:lpstr>
      <vt:lpstr>Distance</vt:lpstr>
      <vt:lpstr>Risk</vt:lpstr>
      <vt:lpstr>Demand</vt:lpstr>
      <vt:lpstr>Supply</vt:lpstr>
      <vt:lpstr>Electricity consumption</vt:lpstr>
      <vt:lpstr>Electricity generation</vt:lpstr>
      <vt:lpstr>Power generation_NEW</vt:lpstr>
      <vt:lpstr>'Electricity generation'!Print_Area</vt:lpstr>
    </vt:vector>
  </TitlesOfParts>
  <Company>uni-bremen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Ochoa Bike</dc:creator>
  <cp:lastModifiedBy>Microsoft Office User</cp:lastModifiedBy>
  <cp:lastPrinted>2016-11-23T09:40:56Z</cp:lastPrinted>
  <dcterms:created xsi:type="dcterms:W3CDTF">2016-11-17T10:58:09Z</dcterms:created>
  <dcterms:modified xsi:type="dcterms:W3CDTF">2019-07-26T12:08:06Z</dcterms:modified>
</cp:coreProperties>
</file>