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omments2.xml" ContentType="application/vnd.openxmlformats-officedocument.spreadsheetml.comments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Businesses\Gas Stations\"/>
    </mc:Choice>
  </mc:AlternateContent>
  <xr:revisionPtr revIDLastSave="0" documentId="13_ncr:1_{236132A8-E60A-4B77-8A77-C74987476A14}" xr6:coauthVersionLast="47" xr6:coauthVersionMax="47" xr10:uidLastSave="{00000000-0000-0000-0000-000000000000}"/>
  <bookViews>
    <workbookView xWindow="-108" yWindow="-108" windowWidth="23256" windowHeight="12456" tabRatio="897" xr2:uid="{00000000-000D-0000-FFFF-FFFF00000000}"/>
  </bookViews>
  <sheets>
    <sheet name="GENERAL SUMMARY" sheetId="1" r:id="rId1"/>
    <sheet name="Daily Halba" sheetId="3" r:id="rId2"/>
    <sheet name="BM Stock Halba" sheetId="4" r:id="rId3"/>
    <sheet name="ODOMETERS Halba" sheetId="2" r:id="rId4"/>
    <sheet name="Oil Stock Halba" sheetId="12" r:id="rId5"/>
    <sheet name="Kiosk And Gaz Halba" sheetId="6" r:id="rId6"/>
    <sheet name="Daily Tekrit" sheetId="8" r:id="rId7"/>
    <sheet name="BM Stock Tekrit" sheetId="9" r:id="rId8"/>
    <sheet name="ODOMETERS Tekrit" sheetId="7" r:id="rId9"/>
    <sheet name="Oil Stock Tekrit" sheetId="10" r:id="rId10"/>
    <sheet name="Kiosk and GazTekrit" sheetId="11" r:id="rId11"/>
  </sheets>
  <definedNames>
    <definedName name="Z_00901832_EFD8_4C78_9128_EC691A24DF17_.wvu.FilterData" localSheetId="2" hidden="1">'BM Stock Halba'!$H$2:$N$25</definedName>
    <definedName name="Z_0F0D7DF0_A83B_4B25_83CD_ACE985A95491_.wvu.FilterData" localSheetId="1" hidden="1">'Daily Halba'!$A$7:$U$57</definedName>
    <definedName name="Z_41E82590_99C0_49B5_B805_89CF9D29AFB6_.wvu.FilterData" localSheetId="5" hidden="1">'Kiosk And Gaz Halba'!$A$1:$D$54</definedName>
    <definedName name="Z_84CCB753_7D65_4F81_8D7C_3BC5B6117651_.wvu.FilterData" localSheetId="2" hidden="1">'BM Stock Halba'!$A$2:$E$7</definedName>
    <definedName name="Z_C9939B74_659B_4ACE_B132_E784626F1C6D_.wvu.FilterData" localSheetId="3" hidden="1">'ODOMETERS Halba'!$A$2:$M$49</definedName>
    <definedName name="Z_D087B0CA_DBBB_4AC6_BE5F_5083C0183BF7_.wvu.FilterData" localSheetId="1" hidden="1">'Daily Halba'!$AR$7:$AR$57</definedName>
  </definedNames>
  <calcPr calcId="191029"/>
  <customWorkbookViews>
    <customWorkbookView name="Table3 filter view" guid="{0F0D7DF0-A83B-4B25-83CD-ACE985A95491}" maximized="1" windowWidth="0" windowHeight="0" activeSheetId="0"/>
    <customWorkbookView name="Table5 filter view" guid="{D087B0CA-DBBB-4AC6-BE5F-5083C0183BF7}" maximized="1" windowWidth="0" windowHeight="0" activeSheetId="0"/>
    <customWorkbookView name="Table8 filter view" guid="{C9939B74-659B-4ACE-B132-E784626F1C6D}" maximized="1" windowWidth="0" windowHeight="0" activeSheetId="0"/>
    <customWorkbookView name="Table1 filter view" guid="{84CCB753-7D65-4F81-8D7C-3BC5B6117651}" maximized="1" windowWidth="0" windowHeight="0" activeSheetId="0"/>
    <customWorkbookView name="Table7 filter view" guid="{09BBE773-189B-40CB-B80B-5DD08EE839C8}" maximized="1" windowWidth="0" windowHeight="0" activeSheetId="0"/>
    <customWorkbookView name="Table2 filter view" guid="{00901832-EFD8-4C78-9128-EC691A24DF17}" maximized="1" windowWidth="0" windowHeight="0" activeSheetId="0"/>
    <customWorkbookView name="Table6 filter view" guid="{700CCC05-FFFD-48B6-B4CD-8D146513BACF}" maximized="1" windowWidth="0" windowHeight="0" activeSheetId="0"/>
    <customWorkbookView name="Table10 filter view" guid="{41E82590-99C0-49B5-B805-89CF9D29AFB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57" i="8" l="1"/>
  <c r="X257" i="8"/>
  <c r="W257" i="8"/>
  <c r="K257" i="8"/>
  <c r="M257" i="8" s="1"/>
  <c r="F257" i="8"/>
  <c r="H257" i="8" s="1"/>
  <c r="C257" i="8"/>
  <c r="C4" i="9"/>
  <c r="C3" i="9"/>
  <c r="L253" i="7"/>
  <c r="K253" i="7"/>
  <c r="J253" i="7"/>
  <c r="M253" i="7" s="1"/>
  <c r="W326" i="3"/>
  <c r="AP326" i="3" s="1"/>
  <c r="K326" i="3"/>
  <c r="M326" i="3" s="1"/>
  <c r="F326" i="3"/>
  <c r="H326" i="3" s="1"/>
  <c r="C326" i="3"/>
  <c r="L322" i="2"/>
  <c r="K322" i="2"/>
  <c r="J322" i="2"/>
  <c r="M322" i="2" s="1"/>
  <c r="I178" i="4"/>
  <c r="K184" i="4"/>
  <c r="M179" i="4"/>
  <c r="M175" i="4"/>
  <c r="M178" i="4"/>
  <c r="L179" i="4"/>
  <c r="J178" i="4"/>
  <c r="W325" i="3"/>
  <c r="T325" i="3"/>
  <c r="AI325" i="3"/>
  <c r="Y325" i="3"/>
  <c r="S325" i="3"/>
  <c r="R5" i="3"/>
  <c r="P325" i="3"/>
  <c r="P5" i="3" s="1"/>
  <c r="N325" i="3"/>
  <c r="K325" i="3"/>
  <c r="M325" i="3" s="1"/>
  <c r="F325" i="3"/>
  <c r="H325" i="3" s="1"/>
  <c r="C325" i="3"/>
  <c r="L321" i="2"/>
  <c r="K321" i="2"/>
  <c r="J321" i="2"/>
  <c r="M321" i="2" s="1"/>
  <c r="X256" i="8"/>
  <c r="X255" i="8"/>
  <c r="AH256" i="8"/>
  <c r="T256" i="8"/>
  <c r="K256" i="8"/>
  <c r="M256" i="8" s="1"/>
  <c r="F256" i="8"/>
  <c r="H256" i="8" s="1"/>
  <c r="C256" i="8"/>
  <c r="L252" i="7"/>
  <c r="K252" i="7"/>
  <c r="J252" i="7"/>
  <c r="M252" i="7" s="1"/>
  <c r="S324" i="3"/>
  <c r="M177" i="4"/>
  <c r="N177" i="4" s="1"/>
  <c r="K324" i="3"/>
  <c r="M324" i="3" s="1"/>
  <c r="F324" i="3"/>
  <c r="H324" i="3" s="1"/>
  <c r="C324" i="3"/>
  <c r="L320" i="2"/>
  <c r="K320" i="2"/>
  <c r="J320" i="2"/>
  <c r="M320" i="2" s="1"/>
  <c r="AH255" i="8"/>
  <c r="W255" i="8"/>
  <c r="T255" i="8"/>
  <c r="T5" i="8" s="1"/>
  <c r="K255" i="8"/>
  <c r="M255" i="8" s="1"/>
  <c r="F255" i="8"/>
  <c r="H255" i="8" s="1"/>
  <c r="C255" i="8"/>
  <c r="M251" i="7"/>
  <c r="L251" i="7"/>
  <c r="K251" i="7"/>
  <c r="J251" i="7"/>
  <c r="E323" i="3"/>
  <c r="W323" i="3"/>
  <c r="K323" i="3"/>
  <c r="M323" i="3" s="1"/>
  <c r="F323" i="3"/>
  <c r="H323" i="3" s="1"/>
  <c r="C323" i="3"/>
  <c r="K322" i="3"/>
  <c r="M322" i="3" s="1"/>
  <c r="F322" i="3"/>
  <c r="H322" i="3" s="1"/>
  <c r="C322" i="3"/>
  <c r="L319" i="2"/>
  <c r="K319" i="2"/>
  <c r="J319" i="2"/>
  <c r="M319" i="2" s="1"/>
  <c r="L318" i="2"/>
  <c r="K318" i="2"/>
  <c r="J318" i="2"/>
  <c r="M318" i="2" s="1"/>
  <c r="AH253" i="8"/>
  <c r="AM253" i="8" s="1"/>
  <c r="AO253" i="8" s="1"/>
  <c r="X253" i="8"/>
  <c r="T253" i="8"/>
  <c r="K254" i="8"/>
  <c r="M254" i="8" s="1"/>
  <c r="F254" i="8"/>
  <c r="H254" i="8" s="1"/>
  <c r="C254" i="8"/>
  <c r="K253" i="8"/>
  <c r="M253" i="8" s="1"/>
  <c r="F253" i="8"/>
  <c r="H253" i="8" s="1"/>
  <c r="C253" i="8"/>
  <c r="L250" i="7"/>
  <c r="K250" i="7"/>
  <c r="J250" i="7"/>
  <c r="M250" i="7" s="1"/>
  <c r="M249" i="7"/>
  <c r="L249" i="7"/>
  <c r="K249" i="7"/>
  <c r="J249" i="7"/>
  <c r="N75" i="9"/>
  <c r="M75" i="9"/>
  <c r="M176" i="4"/>
  <c r="N176" i="4" s="1"/>
  <c r="W321" i="3"/>
  <c r="AP321" i="3" s="1"/>
  <c r="K321" i="3"/>
  <c r="M321" i="3" s="1"/>
  <c r="F321" i="3"/>
  <c r="H321" i="3" s="1"/>
  <c r="C321" i="3"/>
  <c r="L317" i="2"/>
  <c r="K317" i="2"/>
  <c r="J317" i="2"/>
  <c r="M317" i="2" s="1"/>
  <c r="AG252" i="8"/>
  <c r="AH252" i="8"/>
  <c r="AJ252" i="8"/>
  <c r="X252" i="8"/>
  <c r="T252" i="8"/>
  <c r="N252" i="8"/>
  <c r="F252" i="8"/>
  <c r="H252" i="8" s="1"/>
  <c r="C252" i="8"/>
  <c r="L248" i="7"/>
  <c r="C6" i="9" s="1"/>
  <c r="B3" i="9"/>
  <c r="K248" i="7"/>
  <c r="J248" i="7"/>
  <c r="N175" i="4"/>
  <c r="M173" i="4"/>
  <c r="N173" i="4" s="1"/>
  <c r="X320" i="3"/>
  <c r="AP320" i="3" s="1"/>
  <c r="K320" i="3"/>
  <c r="M320" i="3" s="1"/>
  <c r="F320" i="3"/>
  <c r="H320" i="3" s="1"/>
  <c r="C320" i="3"/>
  <c r="L316" i="2"/>
  <c r="K316" i="2"/>
  <c r="J316" i="2"/>
  <c r="M316" i="2" s="1"/>
  <c r="AH251" i="8"/>
  <c r="W251" i="8"/>
  <c r="K251" i="8"/>
  <c r="M251" i="8" s="1"/>
  <c r="F251" i="8"/>
  <c r="H251" i="8" s="1"/>
  <c r="C251" i="8"/>
  <c r="L247" i="7"/>
  <c r="K247" i="7"/>
  <c r="J247" i="7"/>
  <c r="M247" i="7" s="1"/>
  <c r="W319" i="3"/>
  <c r="AP319" i="3" s="1"/>
  <c r="X318" i="3"/>
  <c r="AP318" i="3" s="1"/>
  <c r="M319" i="3"/>
  <c r="K319" i="3"/>
  <c r="F319" i="3"/>
  <c r="H319" i="3" s="1"/>
  <c r="C319" i="3"/>
  <c r="K318" i="3"/>
  <c r="M318" i="3" s="1"/>
  <c r="F318" i="3"/>
  <c r="H318" i="3" s="1"/>
  <c r="C318" i="3"/>
  <c r="L315" i="2"/>
  <c r="K315" i="2"/>
  <c r="J315" i="2"/>
  <c r="M315" i="2" s="1"/>
  <c r="AH249" i="8"/>
  <c r="K250" i="8"/>
  <c r="M250" i="8" s="1"/>
  <c r="F250" i="8"/>
  <c r="H250" i="8" s="1"/>
  <c r="C250" i="8"/>
  <c r="K249" i="8"/>
  <c r="M249" i="8" s="1"/>
  <c r="F249" i="8"/>
  <c r="H249" i="8" s="1"/>
  <c r="C249" i="8"/>
  <c r="B6" i="9"/>
  <c r="L246" i="7"/>
  <c r="K246" i="7"/>
  <c r="J246" i="7"/>
  <c r="M246" i="7" s="1"/>
  <c r="L245" i="7"/>
  <c r="K245" i="7"/>
  <c r="J245" i="7"/>
  <c r="M245" i="7" s="1"/>
  <c r="L314" i="2"/>
  <c r="K314" i="2"/>
  <c r="J314" i="2"/>
  <c r="S317" i="3"/>
  <c r="Y317" i="3"/>
  <c r="W317" i="3"/>
  <c r="X317" i="3"/>
  <c r="T317" i="3"/>
  <c r="T5" i="3" s="1"/>
  <c r="O317" i="3"/>
  <c r="L313" i="2"/>
  <c r="K313" i="2"/>
  <c r="J313" i="2"/>
  <c r="W248" i="8"/>
  <c r="X248" i="8"/>
  <c r="K248" i="8"/>
  <c r="M248" i="8" s="1"/>
  <c r="F248" i="8"/>
  <c r="H248" i="8" s="1"/>
  <c r="C248" i="8"/>
  <c r="K317" i="3"/>
  <c r="M317" i="3" s="1"/>
  <c r="F317" i="3"/>
  <c r="H317" i="3" s="1"/>
  <c r="L244" i="7"/>
  <c r="K244" i="7"/>
  <c r="J244" i="7"/>
  <c r="M244" i="7" s="1"/>
  <c r="M172" i="4"/>
  <c r="N172" i="4" s="1"/>
  <c r="M171" i="4"/>
  <c r="N171" i="4" s="1"/>
  <c r="M170" i="4"/>
  <c r="M57" i="9"/>
  <c r="W316" i="3"/>
  <c r="Y316" i="3"/>
  <c r="AI316" i="3"/>
  <c r="N316" i="3"/>
  <c r="O316" i="3"/>
  <c r="T316" i="3"/>
  <c r="X247" i="8"/>
  <c r="Y5" i="8"/>
  <c r="K247" i="8"/>
  <c r="M247" i="8" s="1"/>
  <c r="F247" i="8"/>
  <c r="H247" i="8" s="1"/>
  <c r="C247" i="8"/>
  <c r="K246" i="8"/>
  <c r="M246" i="8" s="1"/>
  <c r="F246" i="8"/>
  <c r="H246" i="8" s="1"/>
  <c r="C246" i="8"/>
  <c r="L243" i="7"/>
  <c r="K243" i="7"/>
  <c r="J243" i="7"/>
  <c r="M243" i="7" s="1"/>
  <c r="L242" i="7"/>
  <c r="K242" i="7"/>
  <c r="J242" i="7"/>
  <c r="M242" i="7" s="1"/>
  <c r="L312" i="2"/>
  <c r="K316" i="3" s="1"/>
  <c r="M316" i="3" s="1"/>
  <c r="K312" i="2"/>
  <c r="F316" i="3" s="1"/>
  <c r="H316" i="3" s="1"/>
  <c r="J312" i="2"/>
  <c r="C316" i="3" s="1"/>
  <c r="W315" i="3"/>
  <c r="X315" i="3"/>
  <c r="L311" i="2"/>
  <c r="K315" i="3" s="1"/>
  <c r="K311" i="2"/>
  <c r="F315" i="3" s="1"/>
  <c r="J311" i="2"/>
  <c r="C315" i="3" s="1"/>
  <c r="N170" i="4"/>
  <c r="M169" i="4"/>
  <c r="N169" i="4" s="1"/>
  <c r="W314" i="3"/>
  <c r="W5" i="3" s="1"/>
  <c r="W313" i="3"/>
  <c r="AP313" i="3" s="1"/>
  <c r="L310" i="2"/>
  <c r="K314" i="3" s="1"/>
  <c r="M314" i="3" s="1"/>
  <c r="K310" i="2"/>
  <c r="F314" i="3" s="1"/>
  <c r="H314" i="3" s="1"/>
  <c r="J310" i="2"/>
  <c r="L309" i="2"/>
  <c r="K313" i="3" s="1"/>
  <c r="M313" i="3" s="1"/>
  <c r="K309" i="2"/>
  <c r="F313" i="3" s="1"/>
  <c r="H313" i="3" s="1"/>
  <c r="J309" i="2"/>
  <c r="AH245" i="8"/>
  <c r="W245" i="8"/>
  <c r="K245" i="8"/>
  <c r="F245" i="8"/>
  <c r="C245" i="8"/>
  <c r="L241" i="7"/>
  <c r="K241" i="7"/>
  <c r="J241" i="7"/>
  <c r="M241" i="7" s="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I24" i="11"/>
  <c r="H24" i="11"/>
  <c r="G24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M4" i="11"/>
  <c r="L4" i="11"/>
  <c r="K4" i="11"/>
  <c r="B4" i="11"/>
  <c r="F87" i="10"/>
  <c r="E55" i="10"/>
  <c r="E47" i="10"/>
  <c r="E46" i="10"/>
  <c r="E45" i="10"/>
  <c r="E44" i="10"/>
  <c r="E21" i="10"/>
  <c r="E20" i="10"/>
  <c r="M240" i="7"/>
  <c r="L240" i="7"/>
  <c r="K240" i="7"/>
  <c r="J240" i="7"/>
  <c r="M239" i="7"/>
  <c r="L239" i="7"/>
  <c r="K239" i="7"/>
  <c r="J239" i="7"/>
  <c r="M238" i="7"/>
  <c r="L238" i="7"/>
  <c r="K238" i="7"/>
  <c r="J238" i="7"/>
  <c r="C238" i="7"/>
  <c r="M237" i="7"/>
  <c r="L237" i="7"/>
  <c r="K237" i="7"/>
  <c r="J237" i="7"/>
  <c r="M236" i="7"/>
  <c r="L236" i="7"/>
  <c r="K236" i="7"/>
  <c r="J236" i="7"/>
  <c r="M235" i="7"/>
  <c r="L235" i="7"/>
  <c r="K235" i="7"/>
  <c r="J235" i="7"/>
  <c r="M234" i="7"/>
  <c r="L234" i="7"/>
  <c r="K234" i="7"/>
  <c r="J234" i="7"/>
  <c r="M233" i="7"/>
  <c r="L233" i="7"/>
  <c r="K233" i="7"/>
  <c r="J233" i="7"/>
  <c r="M232" i="7"/>
  <c r="L232" i="7"/>
  <c r="K232" i="7"/>
  <c r="J232" i="7"/>
  <c r="M231" i="7"/>
  <c r="L231" i="7"/>
  <c r="K231" i="7"/>
  <c r="J231" i="7"/>
  <c r="M230" i="7"/>
  <c r="L230" i="7"/>
  <c r="K230" i="7"/>
  <c r="J230" i="7"/>
  <c r="M229" i="7"/>
  <c r="L229" i="7"/>
  <c r="K229" i="7"/>
  <c r="J229" i="7"/>
  <c r="M228" i="7"/>
  <c r="L228" i="7"/>
  <c r="K228" i="7"/>
  <c r="J228" i="7"/>
  <c r="M227" i="7"/>
  <c r="L227" i="7"/>
  <c r="K227" i="7"/>
  <c r="J227" i="7"/>
  <c r="M226" i="7"/>
  <c r="L226" i="7"/>
  <c r="K226" i="7"/>
  <c r="J226" i="7"/>
  <c r="M225" i="7"/>
  <c r="L225" i="7"/>
  <c r="K225" i="7"/>
  <c r="J225" i="7"/>
  <c r="M224" i="7"/>
  <c r="L224" i="7"/>
  <c r="K224" i="7"/>
  <c r="J224" i="7"/>
  <c r="M223" i="7"/>
  <c r="L223" i="7"/>
  <c r="K223" i="7"/>
  <c r="J223" i="7"/>
  <c r="M222" i="7"/>
  <c r="L222" i="7"/>
  <c r="K222" i="7"/>
  <c r="J222" i="7"/>
  <c r="M221" i="7"/>
  <c r="L221" i="7"/>
  <c r="K221" i="7"/>
  <c r="J221" i="7"/>
  <c r="M220" i="7"/>
  <c r="L220" i="7"/>
  <c r="K220" i="7"/>
  <c r="J220" i="7"/>
  <c r="M219" i="7"/>
  <c r="L219" i="7"/>
  <c r="K219" i="7"/>
  <c r="J219" i="7"/>
  <c r="M218" i="7"/>
  <c r="L218" i="7"/>
  <c r="K218" i="7"/>
  <c r="J218" i="7"/>
  <c r="M217" i="7"/>
  <c r="L217" i="7"/>
  <c r="K217" i="7"/>
  <c r="J217" i="7"/>
  <c r="M216" i="7"/>
  <c r="L216" i="7"/>
  <c r="K216" i="7"/>
  <c r="J216" i="7"/>
  <c r="M215" i="7"/>
  <c r="L215" i="7"/>
  <c r="K215" i="7"/>
  <c r="J215" i="7"/>
  <c r="M214" i="7"/>
  <c r="L214" i="7"/>
  <c r="K214" i="7"/>
  <c r="J214" i="7"/>
  <c r="M213" i="7"/>
  <c r="L213" i="7"/>
  <c r="K213" i="7"/>
  <c r="J213" i="7"/>
  <c r="M212" i="7"/>
  <c r="L212" i="7"/>
  <c r="K212" i="7"/>
  <c r="J212" i="7"/>
  <c r="M211" i="7"/>
  <c r="L211" i="7"/>
  <c r="K211" i="7"/>
  <c r="J211" i="7"/>
  <c r="M210" i="7"/>
  <c r="L210" i="7"/>
  <c r="K210" i="7"/>
  <c r="J210" i="7"/>
  <c r="M209" i="7"/>
  <c r="L209" i="7"/>
  <c r="K209" i="7"/>
  <c r="J209" i="7"/>
  <c r="M208" i="7"/>
  <c r="L208" i="7"/>
  <c r="K208" i="7"/>
  <c r="J208" i="7"/>
  <c r="M207" i="7"/>
  <c r="L207" i="7"/>
  <c r="K207" i="7"/>
  <c r="J207" i="7"/>
  <c r="M206" i="7"/>
  <c r="L206" i="7"/>
  <c r="K206" i="7"/>
  <c r="J206" i="7"/>
  <c r="M205" i="7"/>
  <c r="L205" i="7"/>
  <c r="K205" i="7"/>
  <c r="J205" i="7"/>
  <c r="M204" i="7"/>
  <c r="L204" i="7"/>
  <c r="K204" i="7"/>
  <c r="J204" i="7"/>
  <c r="M203" i="7"/>
  <c r="L203" i="7"/>
  <c r="K203" i="7"/>
  <c r="J203" i="7"/>
  <c r="M202" i="7"/>
  <c r="L202" i="7"/>
  <c r="K202" i="7"/>
  <c r="J202" i="7"/>
  <c r="M201" i="7"/>
  <c r="L201" i="7"/>
  <c r="K201" i="7"/>
  <c r="J201" i="7"/>
  <c r="M200" i="7"/>
  <c r="L200" i="7"/>
  <c r="K200" i="7"/>
  <c r="J200" i="7"/>
  <c r="M199" i="7"/>
  <c r="L199" i="7"/>
  <c r="K199" i="7"/>
  <c r="J199" i="7"/>
  <c r="M198" i="7"/>
  <c r="L198" i="7"/>
  <c r="K198" i="7"/>
  <c r="J198" i="7"/>
  <c r="M197" i="7"/>
  <c r="L197" i="7"/>
  <c r="K197" i="7"/>
  <c r="J197" i="7"/>
  <c r="M196" i="7"/>
  <c r="L196" i="7"/>
  <c r="K196" i="7"/>
  <c r="J196" i="7"/>
  <c r="M195" i="7"/>
  <c r="L195" i="7"/>
  <c r="K195" i="7"/>
  <c r="J195" i="7"/>
  <c r="M194" i="7"/>
  <c r="L194" i="7"/>
  <c r="K194" i="7"/>
  <c r="J194" i="7"/>
  <c r="M193" i="7"/>
  <c r="L193" i="7"/>
  <c r="K193" i="7"/>
  <c r="J193" i="7"/>
  <c r="M192" i="7"/>
  <c r="L192" i="7"/>
  <c r="K192" i="7"/>
  <c r="J192" i="7"/>
  <c r="M191" i="7"/>
  <c r="L191" i="7"/>
  <c r="K191" i="7"/>
  <c r="J191" i="7"/>
  <c r="M190" i="7"/>
  <c r="L190" i="7"/>
  <c r="K190" i="7"/>
  <c r="J190" i="7"/>
  <c r="M189" i="7"/>
  <c r="L189" i="7"/>
  <c r="K189" i="7"/>
  <c r="J189" i="7"/>
  <c r="M188" i="7"/>
  <c r="L188" i="7"/>
  <c r="K188" i="7"/>
  <c r="J188" i="7"/>
  <c r="M187" i="7"/>
  <c r="L187" i="7"/>
  <c r="K187" i="7"/>
  <c r="J187" i="7"/>
  <c r="M186" i="7"/>
  <c r="L186" i="7"/>
  <c r="K186" i="7"/>
  <c r="J186" i="7"/>
  <c r="M185" i="7"/>
  <c r="L185" i="7"/>
  <c r="K185" i="7"/>
  <c r="J185" i="7"/>
  <c r="M184" i="7"/>
  <c r="L184" i="7"/>
  <c r="K184" i="7"/>
  <c r="J184" i="7"/>
  <c r="M183" i="7"/>
  <c r="L183" i="7"/>
  <c r="K183" i="7"/>
  <c r="J183" i="7"/>
  <c r="M182" i="7"/>
  <c r="L182" i="7"/>
  <c r="K182" i="7"/>
  <c r="J182" i="7"/>
  <c r="M181" i="7"/>
  <c r="L181" i="7"/>
  <c r="K181" i="7"/>
  <c r="J181" i="7"/>
  <c r="M180" i="7"/>
  <c r="L180" i="7"/>
  <c r="K180" i="7"/>
  <c r="J180" i="7"/>
  <c r="M179" i="7"/>
  <c r="L179" i="7"/>
  <c r="K179" i="7"/>
  <c r="J179" i="7"/>
  <c r="M178" i="7"/>
  <c r="L178" i="7"/>
  <c r="K178" i="7"/>
  <c r="J178" i="7"/>
  <c r="M177" i="7"/>
  <c r="L177" i="7"/>
  <c r="K177" i="7"/>
  <c r="J177" i="7"/>
  <c r="M176" i="7"/>
  <c r="L176" i="7"/>
  <c r="K176" i="7"/>
  <c r="J176" i="7"/>
  <c r="M175" i="7"/>
  <c r="L175" i="7"/>
  <c r="K175" i="7"/>
  <c r="J175" i="7"/>
  <c r="M174" i="7"/>
  <c r="L174" i="7"/>
  <c r="K174" i="7"/>
  <c r="J174" i="7"/>
  <c r="M173" i="7"/>
  <c r="L173" i="7"/>
  <c r="K173" i="7"/>
  <c r="J173" i="7"/>
  <c r="M172" i="7"/>
  <c r="L172" i="7"/>
  <c r="K172" i="7"/>
  <c r="J172" i="7"/>
  <c r="M171" i="7"/>
  <c r="L171" i="7"/>
  <c r="K171" i="7"/>
  <c r="J171" i="7"/>
  <c r="M170" i="7"/>
  <c r="L170" i="7"/>
  <c r="K170" i="7"/>
  <c r="J170" i="7"/>
  <c r="M169" i="7"/>
  <c r="L169" i="7"/>
  <c r="K169" i="7"/>
  <c r="J169" i="7"/>
  <c r="M168" i="7"/>
  <c r="L168" i="7"/>
  <c r="K168" i="7"/>
  <c r="J168" i="7"/>
  <c r="M167" i="7"/>
  <c r="L167" i="7"/>
  <c r="K167" i="7"/>
  <c r="J167" i="7"/>
  <c r="M166" i="7"/>
  <c r="L166" i="7"/>
  <c r="K166" i="7"/>
  <c r="J166" i="7"/>
  <c r="M165" i="7"/>
  <c r="L165" i="7"/>
  <c r="K165" i="7"/>
  <c r="J165" i="7"/>
  <c r="M164" i="7"/>
  <c r="L164" i="7"/>
  <c r="K164" i="7"/>
  <c r="J164" i="7"/>
  <c r="M163" i="7"/>
  <c r="L163" i="7"/>
  <c r="K163" i="7"/>
  <c r="J163" i="7"/>
  <c r="M162" i="7"/>
  <c r="L162" i="7"/>
  <c r="K162" i="7"/>
  <c r="J162" i="7"/>
  <c r="M161" i="7"/>
  <c r="L161" i="7"/>
  <c r="K161" i="7"/>
  <c r="J161" i="7"/>
  <c r="M160" i="7"/>
  <c r="L160" i="7"/>
  <c r="K160" i="7"/>
  <c r="J160" i="7"/>
  <c r="M159" i="7"/>
  <c r="L159" i="7"/>
  <c r="K159" i="7"/>
  <c r="J159" i="7"/>
  <c r="M158" i="7"/>
  <c r="L158" i="7"/>
  <c r="K158" i="7"/>
  <c r="J158" i="7"/>
  <c r="M157" i="7"/>
  <c r="L157" i="7"/>
  <c r="K157" i="7"/>
  <c r="J157" i="7"/>
  <c r="M156" i="7"/>
  <c r="L156" i="7"/>
  <c r="K156" i="7"/>
  <c r="J156" i="7"/>
  <c r="M155" i="7"/>
  <c r="L155" i="7"/>
  <c r="K155" i="7"/>
  <c r="J155" i="7"/>
  <c r="M154" i="7"/>
  <c r="L154" i="7"/>
  <c r="K154" i="7"/>
  <c r="J154" i="7"/>
  <c r="M153" i="7"/>
  <c r="L153" i="7"/>
  <c r="K153" i="7"/>
  <c r="J153" i="7"/>
  <c r="M152" i="7"/>
  <c r="L152" i="7"/>
  <c r="K152" i="7"/>
  <c r="J152" i="7"/>
  <c r="M151" i="7"/>
  <c r="L151" i="7"/>
  <c r="K151" i="7"/>
  <c r="J151" i="7"/>
  <c r="M150" i="7"/>
  <c r="L150" i="7"/>
  <c r="K150" i="7"/>
  <c r="J150" i="7"/>
  <c r="M149" i="7"/>
  <c r="L149" i="7"/>
  <c r="K149" i="7"/>
  <c r="J149" i="7"/>
  <c r="M148" i="7"/>
  <c r="L148" i="7"/>
  <c r="K148" i="7"/>
  <c r="J148" i="7"/>
  <c r="M147" i="7"/>
  <c r="L147" i="7"/>
  <c r="K147" i="7"/>
  <c r="J147" i="7"/>
  <c r="M146" i="7"/>
  <c r="L146" i="7"/>
  <c r="K146" i="7"/>
  <c r="J146" i="7"/>
  <c r="M145" i="7"/>
  <c r="L145" i="7"/>
  <c r="K145" i="7"/>
  <c r="J145" i="7"/>
  <c r="M144" i="7"/>
  <c r="L144" i="7"/>
  <c r="K144" i="7"/>
  <c r="J144" i="7"/>
  <c r="M143" i="7"/>
  <c r="L143" i="7"/>
  <c r="K143" i="7"/>
  <c r="J143" i="7"/>
  <c r="M142" i="7"/>
  <c r="L142" i="7"/>
  <c r="K142" i="7"/>
  <c r="J142" i="7"/>
  <c r="M141" i="7"/>
  <c r="L141" i="7"/>
  <c r="K141" i="7"/>
  <c r="J141" i="7"/>
  <c r="M140" i="7"/>
  <c r="L140" i="7"/>
  <c r="K140" i="7"/>
  <c r="J140" i="7"/>
  <c r="M139" i="7"/>
  <c r="L139" i="7"/>
  <c r="K139" i="7"/>
  <c r="J139" i="7"/>
  <c r="M138" i="7"/>
  <c r="L138" i="7"/>
  <c r="K138" i="7"/>
  <c r="J138" i="7"/>
  <c r="M137" i="7"/>
  <c r="L137" i="7"/>
  <c r="K137" i="7"/>
  <c r="J137" i="7"/>
  <c r="M136" i="7"/>
  <c r="L136" i="7"/>
  <c r="K136" i="7"/>
  <c r="J136" i="7"/>
  <c r="M135" i="7"/>
  <c r="L135" i="7"/>
  <c r="K135" i="7"/>
  <c r="J135" i="7"/>
  <c r="M134" i="7"/>
  <c r="L134" i="7"/>
  <c r="K134" i="7"/>
  <c r="J134" i="7"/>
  <c r="M133" i="7"/>
  <c r="L133" i="7"/>
  <c r="K133" i="7"/>
  <c r="J133" i="7"/>
  <c r="M132" i="7"/>
  <c r="L132" i="7"/>
  <c r="K132" i="7"/>
  <c r="J132" i="7"/>
  <c r="M131" i="7"/>
  <c r="L131" i="7"/>
  <c r="K131" i="7"/>
  <c r="J131" i="7"/>
  <c r="M130" i="7"/>
  <c r="L130" i="7"/>
  <c r="K130" i="7"/>
  <c r="J130" i="7"/>
  <c r="M129" i="7"/>
  <c r="L129" i="7"/>
  <c r="K129" i="7"/>
  <c r="J129" i="7"/>
  <c r="M128" i="7"/>
  <c r="L128" i="7"/>
  <c r="K128" i="7"/>
  <c r="J128" i="7"/>
  <c r="M127" i="7"/>
  <c r="L127" i="7"/>
  <c r="K127" i="7"/>
  <c r="J127" i="7"/>
  <c r="M126" i="7"/>
  <c r="L126" i="7"/>
  <c r="K126" i="7"/>
  <c r="J126" i="7"/>
  <c r="M125" i="7"/>
  <c r="L125" i="7"/>
  <c r="K125" i="7"/>
  <c r="J125" i="7"/>
  <c r="M124" i="7"/>
  <c r="L124" i="7"/>
  <c r="K124" i="7"/>
  <c r="J124" i="7"/>
  <c r="M123" i="7"/>
  <c r="L123" i="7"/>
  <c r="K123" i="7"/>
  <c r="J123" i="7"/>
  <c r="M122" i="7"/>
  <c r="L122" i="7"/>
  <c r="K122" i="7"/>
  <c r="J122" i="7"/>
  <c r="M121" i="7"/>
  <c r="L121" i="7"/>
  <c r="K121" i="7"/>
  <c r="J121" i="7"/>
  <c r="M120" i="7"/>
  <c r="L120" i="7"/>
  <c r="K120" i="7"/>
  <c r="J120" i="7"/>
  <c r="M119" i="7"/>
  <c r="L119" i="7"/>
  <c r="K119" i="7"/>
  <c r="J119" i="7"/>
  <c r="M118" i="7"/>
  <c r="L118" i="7"/>
  <c r="K118" i="7"/>
  <c r="J118" i="7"/>
  <c r="M117" i="7"/>
  <c r="L117" i="7"/>
  <c r="K117" i="7"/>
  <c r="J117" i="7"/>
  <c r="M116" i="7"/>
  <c r="L116" i="7"/>
  <c r="K116" i="7"/>
  <c r="J116" i="7"/>
  <c r="M115" i="7"/>
  <c r="L115" i="7"/>
  <c r="K115" i="7"/>
  <c r="J115" i="7"/>
  <c r="M114" i="7"/>
  <c r="L114" i="7"/>
  <c r="K114" i="7"/>
  <c r="J114" i="7"/>
  <c r="M113" i="7"/>
  <c r="L113" i="7"/>
  <c r="K113" i="7"/>
  <c r="J113" i="7"/>
  <c r="M112" i="7"/>
  <c r="L112" i="7"/>
  <c r="K112" i="7"/>
  <c r="J112" i="7"/>
  <c r="M111" i="7"/>
  <c r="L111" i="7"/>
  <c r="K111" i="7"/>
  <c r="J111" i="7"/>
  <c r="M110" i="7"/>
  <c r="L110" i="7"/>
  <c r="K110" i="7"/>
  <c r="J110" i="7"/>
  <c r="M109" i="7"/>
  <c r="L109" i="7"/>
  <c r="K109" i="7"/>
  <c r="J109" i="7"/>
  <c r="M108" i="7"/>
  <c r="L108" i="7"/>
  <c r="K108" i="7"/>
  <c r="J108" i="7"/>
  <c r="M107" i="7"/>
  <c r="L107" i="7"/>
  <c r="K107" i="7"/>
  <c r="J107" i="7"/>
  <c r="M106" i="7"/>
  <c r="L106" i="7"/>
  <c r="K106" i="7"/>
  <c r="J106" i="7"/>
  <c r="M105" i="7"/>
  <c r="L105" i="7"/>
  <c r="K105" i="7"/>
  <c r="J105" i="7"/>
  <c r="M104" i="7"/>
  <c r="L104" i="7"/>
  <c r="K104" i="7"/>
  <c r="J104" i="7"/>
  <c r="M103" i="7"/>
  <c r="L103" i="7"/>
  <c r="K103" i="7"/>
  <c r="J103" i="7"/>
  <c r="M102" i="7"/>
  <c r="L102" i="7"/>
  <c r="K102" i="7"/>
  <c r="J102" i="7"/>
  <c r="M101" i="7"/>
  <c r="L101" i="7"/>
  <c r="K101" i="7"/>
  <c r="J101" i="7"/>
  <c r="M100" i="7"/>
  <c r="L100" i="7"/>
  <c r="K100" i="7"/>
  <c r="J100" i="7"/>
  <c r="M99" i="7"/>
  <c r="L99" i="7"/>
  <c r="K99" i="7"/>
  <c r="J99" i="7"/>
  <c r="M98" i="7"/>
  <c r="L98" i="7"/>
  <c r="K98" i="7"/>
  <c r="J98" i="7"/>
  <c r="M97" i="7"/>
  <c r="L97" i="7"/>
  <c r="K97" i="7"/>
  <c r="J97" i="7"/>
  <c r="M96" i="7"/>
  <c r="L96" i="7"/>
  <c r="K96" i="7"/>
  <c r="J96" i="7"/>
  <c r="M95" i="7"/>
  <c r="L95" i="7"/>
  <c r="K95" i="7"/>
  <c r="J95" i="7"/>
  <c r="M94" i="7"/>
  <c r="L94" i="7"/>
  <c r="K94" i="7"/>
  <c r="J94" i="7"/>
  <c r="M93" i="7"/>
  <c r="L93" i="7"/>
  <c r="K93" i="7"/>
  <c r="J93" i="7"/>
  <c r="M92" i="7"/>
  <c r="L92" i="7"/>
  <c r="K92" i="7"/>
  <c r="J92" i="7"/>
  <c r="M91" i="7"/>
  <c r="L91" i="7"/>
  <c r="K91" i="7"/>
  <c r="J91" i="7"/>
  <c r="M90" i="7"/>
  <c r="L90" i="7"/>
  <c r="K90" i="7"/>
  <c r="J90" i="7"/>
  <c r="M89" i="7"/>
  <c r="L89" i="7"/>
  <c r="K89" i="7"/>
  <c r="J89" i="7"/>
  <c r="M88" i="7"/>
  <c r="L88" i="7"/>
  <c r="K88" i="7"/>
  <c r="J88" i="7"/>
  <c r="M87" i="7"/>
  <c r="L87" i="7"/>
  <c r="K87" i="7"/>
  <c r="J87" i="7"/>
  <c r="M86" i="7"/>
  <c r="L86" i="7"/>
  <c r="K86" i="7"/>
  <c r="J86" i="7"/>
  <c r="M85" i="7"/>
  <c r="L85" i="7"/>
  <c r="K85" i="7"/>
  <c r="J85" i="7"/>
  <c r="M84" i="7"/>
  <c r="L84" i="7"/>
  <c r="K84" i="7"/>
  <c r="J84" i="7"/>
  <c r="M83" i="7"/>
  <c r="L83" i="7"/>
  <c r="K83" i="7"/>
  <c r="J83" i="7"/>
  <c r="M82" i="7"/>
  <c r="L82" i="7"/>
  <c r="K82" i="7"/>
  <c r="J82" i="7"/>
  <c r="M81" i="7"/>
  <c r="L81" i="7"/>
  <c r="K81" i="7"/>
  <c r="J81" i="7"/>
  <c r="M80" i="7"/>
  <c r="L80" i="7"/>
  <c r="K80" i="7"/>
  <c r="J80" i="7"/>
  <c r="M79" i="7"/>
  <c r="L79" i="7"/>
  <c r="K79" i="7"/>
  <c r="J79" i="7"/>
  <c r="M78" i="7"/>
  <c r="L78" i="7"/>
  <c r="K78" i="7"/>
  <c r="J78" i="7"/>
  <c r="M77" i="7"/>
  <c r="L77" i="7"/>
  <c r="K77" i="7"/>
  <c r="J77" i="7"/>
  <c r="M76" i="7"/>
  <c r="L76" i="7"/>
  <c r="K76" i="7"/>
  <c r="J76" i="7"/>
  <c r="M75" i="7"/>
  <c r="L75" i="7"/>
  <c r="K75" i="7"/>
  <c r="J75" i="7"/>
  <c r="M74" i="7"/>
  <c r="L74" i="7"/>
  <c r="K74" i="7"/>
  <c r="J74" i="7"/>
  <c r="M73" i="7"/>
  <c r="L73" i="7"/>
  <c r="K73" i="7"/>
  <c r="J73" i="7"/>
  <c r="M72" i="7"/>
  <c r="L72" i="7"/>
  <c r="K72" i="7"/>
  <c r="J72" i="7"/>
  <c r="M71" i="7"/>
  <c r="L71" i="7"/>
  <c r="K71" i="7"/>
  <c r="J71" i="7"/>
  <c r="M70" i="7"/>
  <c r="L70" i="7"/>
  <c r="K70" i="7"/>
  <c r="J70" i="7"/>
  <c r="M69" i="7"/>
  <c r="L69" i="7"/>
  <c r="K69" i="7"/>
  <c r="J69" i="7"/>
  <c r="M68" i="7"/>
  <c r="L68" i="7"/>
  <c r="K68" i="7"/>
  <c r="J68" i="7"/>
  <c r="M67" i="7"/>
  <c r="L67" i="7"/>
  <c r="K67" i="7"/>
  <c r="J67" i="7"/>
  <c r="M66" i="7"/>
  <c r="L66" i="7"/>
  <c r="K66" i="7"/>
  <c r="J66" i="7"/>
  <c r="M65" i="7"/>
  <c r="L65" i="7"/>
  <c r="K65" i="7"/>
  <c r="J65" i="7"/>
  <c r="M64" i="7"/>
  <c r="L64" i="7"/>
  <c r="K64" i="7"/>
  <c r="J64" i="7"/>
  <c r="M63" i="7"/>
  <c r="L63" i="7"/>
  <c r="K63" i="7"/>
  <c r="J63" i="7"/>
  <c r="M62" i="7"/>
  <c r="L62" i="7"/>
  <c r="K62" i="7"/>
  <c r="J62" i="7"/>
  <c r="M61" i="7"/>
  <c r="L61" i="7"/>
  <c r="K61" i="7"/>
  <c r="J61" i="7"/>
  <c r="M60" i="7"/>
  <c r="L60" i="7"/>
  <c r="K60" i="7"/>
  <c r="J60" i="7"/>
  <c r="M59" i="7"/>
  <c r="L59" i="7"/>
  <c r="K59" i="7"/>
  <c r="J59" i="7"/>
  <c r="M58" i="7"/>
  <c r="L58" i="7"/>
  <c r="K58" i="7"/>
  <c r="J58" i="7"/>
  <c r="M57" i="7"/>
  <c r="L57" i="7"/>
  <c r="K57" i="7"/>
  <c r="J57" i="7"/>
  <c r="M56" i="7"/>
  <c r="L56" i="7"/>
  <c r="K56" i="7"/>
  <c r="J56" i="7"/>
  <c r="M55" i="7"/>
  <c r="L55" i="7"/>
  <c r="K55" i="7"/>
  <c r="J55" i="7"/>
  <c r="M54" i="7"/>
  <c r="L54" i="7"/>
  <c r="K54" i="7"/>
  <c r="J54" i="7"/>
  <c r="M53" i="7"/>
  <c r="L53" i="7"/>
  <c r="K53" i="7"/>
  <c r="J53" i="7"/>
  <c r="M52" i="7"/>
  <c r="L52" i="7"/>
  <c r="K52" i="7"/>
  <c r="J52" i="7"/>
  <c r="M51" i="7"/>
  <c r="L51" i="7"/>
  <c r="K51" i="7"/>
  <c r="J51" i="7"/>
  <c r="M50" i="7"/>
  <c r="L50" i="7"/>
  <c r="K50" i="7"/>
  <c r="J50" i="7"/>
  <c r="M49" i="7"/>
  <c r="L49" i="7"/>
  <c r="K49" i="7"/>
  <c r="J49" i="7"/>
  <c r="M48" i="7"/>
  <c r="L48" i="7"/>
  <c r="K48" i="7"/>
  <c r="J48" i="7"/>
  <c r="M47" i="7"/>
  <c r="L47" i="7"/>
  <c r="K47" i="7"/>
  <c r="J47" i="7"/>
  <c r="M46" i="7"/>
  <c r="L46" i="7"/>
  <c r="K46" i="7"/>
  <c r="J46" i="7"/>
  <c r="M45" i="7"/>
  <c r="L45" i="7"/>
  <c r="K45" i="7"/>
  <c r="J45" i="7"/>
  <c r="M44" i="7"/>
  <c r="L44" i="7"/>
  <c r="K44" i="7"/>
  <c r="J44" i="7"/>
  <c r="M43" i="7"/>
  <c r="L43" i="7"/>
  <c r="K43" i="7"/>
  <c r="J43" i="7"/>
  <c r="M42" i="7"/>
  <c r="L42" i="7"/>
  <c r="K42" i="7"/>
  <c r="J42" i="7"/>
  <c r="M41" i="7"/>
  <c r="L41" i="7"/>
  <c r="K41" i="7"/>
  <c r="J41" i="7"/>
  <c r="M40" i="7"/>
  <c r="L40" i="7"/>
  <c r="K40" i="7"/>
  <c r="J40" i="7"/>
  <c r="M39" i="7"/>
  <c r="L39" i="7"/>
  <c r="K39" i="7"/>
  <c r="J39" i="7"/>
  <c r="M38" i="7"/>
  <c r="L38" i="7"/>
  <c r="K38" i="7"/>
  <c r="J38" i="7"/>
  <c r="M37" i="7"/>
  <c r="L37" i="7"/>
  <c r="K37" i="7"/>
  <c r="J37" i="7"/>
  <c r="M36" i="7"/>
  <c r="L36" i="7"/>
  <c r="K36" i="7"/>
  <c r="J36" i="7"/>
  <c r="M35" i="7"/>
  <c r="L35" i="7"/>
  <c r="K35" i="7"/>
  <c r="J35" i="7"/>
  <c r="M34" i="7"/>
  <c r="L34" i="7"/>
  <c r="K34" i="7"/>
  <c r="J34" i="7"/>
  <c r="M33" i="7"/>
  <c r="L33" i="7"/>
  <c r="K33" i="7"/>
  <c r="J33" i="7"/>
  <c r="M32" i="7"/>
  <c r="L32" i="7"/>
  <c r="K32" i="7"/>
  <c r="J32" i="7"/>
  <c r="M31" i="7"/>
  <c r="L31" i="7"/>
  <c r="K31" i="7"/>
  <c r="J31" i="7"/>
  <c r="M30" i="7"/>
  <c r="L30" i="7"/>
  <c r="K30" i="7"/>
  <c r="J30" i="7"/>
  <c r="M29" i="7"/>
  <c r="L29" i="7"/>
  <c r="K29" i="7"/>
  <c r="J29" i="7"/>
  <c r="M28" i="7"/>
  <c r="L28" i="7"/>
  <c r="K28" i="7"/>
  <c r="J28" i="7"/>
  <c r="M27" i="7"/>
  <c r="L27" i="7"/>
  <c r="K27" i="7"/>
  <c r="J27" i="7"/>
  <c r="M26" i="7"/>
  <c r="L26" i="7"/>
  <c r="K26" i="7"/>
  <c r="J26" i="7"/>
  <c r="M25" i="7"/>
  <c r="L25" i="7"/>
  <c r="K25" i="7"/>
  <c r="J25" i="7"/>
  <c r="M24" i="7"/>
  <c r="L24" i="7"/>
  <c r="K24" i="7"/>
  <c r="J24" i="7"/>
  <c r="M23" i="7"/>
  <c r="L23" i="7"/>
  <c r="K23" i="7"/>
  <c r="J23" i="7"/>
  <c r="C23" i="7"/>
  <c r="M22" i="7"/>
  <c r="L22" i="7"/>
  <c r="K22" i="7"/>
  <c r="J22" i="7"/>
  <c r="M21" i="7"/>
  <c r="L21" i="7"/>
  <c r="K21" i="7"/>
  <c r="J21" i="7"/>
  <c r="M20" i="7"/>
  <c r="L20" i="7"/>
  <c r="K20" i="7"/>
  <c r="J20" i="7"/>
  <c r="M19" i="7"/>
  <c r="L19" i="7"/>
  <c r="K19" i="7"/>
  <c r="J19" i="7"/>
  <c r="M18" i="7"/>
  <c r="L18" i="7"/>
  <c r="K18" i="7"/>
  <c r="J18" i="7"/>
  <c r="M17" i="7"/>
  <c r="L17" i="7"/>
  <c r="K17" i="7"/>
  <c r="J17" i="7"/>
  <c r="M16" i="7"/>
  <c r="L16" i="7"/>
  <c r="K16" i="7"/>
  <c r="J16" i="7"/>
  <c r="M15" i="7"/>
  <c r="L15" i="7"/>
  <c r="K15" i="7"/>
  <c r="J15" i="7"/>
  <c r="M14" i="7"/>
  <c r="L14" i="7"/>
  <c r="K14" i="7"/>
  <c r="J14" i="7"/>
  <c r="M13" i="7"/>
  <c r="L13" i="7"/>
  <c r="K13" i="7"/>
  <c r="J13" i="7"/>
  <c r="M12" i="7"/>
  <c r="L12" i="7"/>
  <c r="K12" i="7"/>
  <c r="J12" i="7"/>
  <c r="M11" i="7"/>
  <c r="L11" i="7"/>
  <c r="K11" i="7"/>
  <c r="J11" i="7"/>
  <c r="M10" i="7"/>
  <c r="L10" i="7"/>
  <c r="K10" i="7"/>
  <c r="J10" i="7"/>
  <c r="M9" i="7"/>
  <c r="L9" i="7"/>
  <c r="K9" i="7"/>
  <c r="J9" i="7"/>
  <c r="M8" i="7"/>
  <c r="L8" i="7"/>
  <c r="K8" i="7"/>
  <c r="J8" i="7"/>
  <c r="M7" i="7"/>
  <c r="L7" i="7"/>
  <c r="K7" i="7"/>
  <c r="J7" i="7"/>
  <c r="M6" i="7"/>
  <c r="L6" i="7"/>
  <c r="K6" i="7"/>
  <c r="J6" i="7"/>
  <c r="M5" i="7"/>
  <c r="L5" i="7"/>
  <c r="K5" i="7"/>
  <c r="J5" i="7"/>
  <c r="M4" i="7"/>
  <c r="L4" i="7"/>
  <c r="K4" i="7"/>
  <c r="J4" i="7"/>
  <c r="M67" i="9"/>
  <c r="N67" i="9" s="1"/>
  <c r="M63" i="9"/>
  <c r="N63" i="9" s="1"/>
  <c r="M62" i="9"/>
  <c r="N62" i="9" s="1"/>
  <c r="M58" i="9"/>
  <c r="N58" i="9" s="1"/>
  <c r="N57" i="9"/>
  <c r="M56" i="9"/>
  <c r="J56" i="9"/>
  <c r="I56" i="9"/>
  <c r="N56" i="9" s="1"/>
  <c r="M54" i="9"/>
  <c r="N54" i="9" s="1"/>
  <c r="M53" i="9"/>
  <c r="N53" i="9" s="1"/>
  <c r="M52" i="9"/>
  <c r="N52" i="9" s="1"/>
  <c r="M51" i="9"/>
  <c r="N51" i="9" s="1"/>
  <c r="M50" i="9"/>
  <c r="N50" i="9" s="1"/>
  <c r="M47" i="9"/>
  <c r="N47" i="9" s="1"/>
  <c r="M45" i="9"/>
  <c r="N45" i="9" s="1"/>
  <c r="M41" i="9"/>
  <c r="N41" i="9" s="1"/>
  <c r="M40" i="9"/>
  <c r="N40" i="9" s="1"/>
  <c r="M39" i="9"/>
  <c r="N39" i="9" s="1"/>
  <c r="M38" i="9"/>
  <c r="N38" i="9" s="1"/>
  <c r="M37" i="9"/>
  <c r="N37" i="9" s="1"/>
  <c r="M35" i="9"/>
  <c r="N35" i="9" s="1"/>
  <c r="M34" i="9"/>
  <c r="N34" i="9" s="1"/>
  <c r="M33" i="9"/>
  <c r="N33" i="9" s="1"/>
  <c r="M32" i="9"/>
  <c r="N32" i="9" s="1"/>
  <c r="M31" i="9"/>
  <c r="N31" i="9" s="1"/>
  <c r="M30" i="9"/>
  <c r="P30" i="9" s="1"/>
  <c r="M29" i="9"/>
  <c r="N29" i="9" s="1"/>
  <c r="M28" i="9"/>
  <c r="N28" i="9" s="1"/>
  <c r="M27" i="9"/>
  <c r="N27" i="9" s="1"/>
  <c r="M26" i="9"/>
  <c r="L26" i="9"/>
  <c r="L78" i="9" s="1"/>
  <c r="M25" i="9"/>
  <c r="N25" i="9" s="1"/>
  <c r="M24" i="9"/>
  <c r="N24" i="9" s="1"/>
  <c r="M21" i="9"/>
  <c r="N21" i="9" s="1"/>
  <c r="M20" i="9"/>
  <c r="N20" i="9" s="1"/>
  <c r="P19" i="9"/>
  <c r="M18" i="9"/>
  <c r="N18" i="9" s="1"/>
  <c r="P16" i="9"/>
  <c r="J15" i="9"/>
  <c r="J78" i="9" s="1"/>
  <c r="D4" i="9" s="1"/>
  <c r="I15" i="9"/>
  <c r="I78" i="9" s="1"/>
  <c r="D3" i="9" s="1"/>
  <c r="M14" i="9"/>
  <c r="N14" i="9" s="1"/>
  <c r="M13" i="9"/>
  <c r="N13" i="9" s="1"/>
  <c r="M12" i="9"/>
  <c r="N12" i="9" s="1"/>
  <c r="M11" i="9"/>
  <c r="N11" i="9" s="1"/>
  <c r="P9" i="9"/>
  <c r="M8" i="9"/>
  <c r="N8" i="9" s="1"/>
  <c r="P4" i="9"/>
  <c r="B4" i="9"/>
  <c r="B5" i="9" s="1"/>
  <c r="B7" i="9" s="1"/>
  <c r="M3" i="9"/>
  <c r="N3" i="9" s="1"/>
  <c r="AM272" i="8"/>
  <c r="AD272" i="8"/>
  <c r="AO272" i="8" s="1"/>
  <c r="AR272" i="8" s="1"/>
  <c r="AM271" i="8"/>
  <c r="AD271" i="8"/>
  <c r="AO271" i="8" s="1"/>
  <c r="K271" i="8"/>
  <c r="M271" i="8" s="1"/>
  <c r="H271" i="8"/>
  <c r="C271" i="8"/>
  <c r="AM270" i="8"/>
  <c r="AD270" i="8"/>
  <c r="AO270" i="8" s="1"/>
  <c r="K270" i="8"/>
  <c r="M270" i="8" s="1"/>
  <c r="H270" i="8"/>
  <c r="C270" i="8"/>
  <c r="AM269" i="8"/>
  <c r="AD269" i="8"/>
  <c r="AO269" i="8" s="1"/>
  <c r="K269" i="8"/>
  <c r="M269" i="8" s="1"/>
  <c r="H269" i="8"/>
  <c r="C269" i="8"/>
  <c r="AM268" i="8"/>
  <c r="AD268" i="8"/>
  <c r="AO268" i="8" s="1"/>
  <c r="K268" i="8"/>
  <c r="M268" i="8" s="1"/>
  <c r="H268" i="8"/>
  <c r="C268" i="8"/>
  <c r="AM267" i="8"/>
  <c r="AD267" i="8"/>
  <c r="AO267" i="8" s="1"/>
  <c r="K267" i="8"/>
  <c r="M267" i="8" s="1"/>
  <c r="H267" i="8"/>
  <c r="C267" i="8"/>
  <c r="AM266" i="8"/>
  <c r="AD266" i="8"/>
  <c r="AO266" i="8" s="1"/>
  <c r="K266" i="8"/>
  <c r="M266" i="8" s="1"/>
  <c r="H266" i="8"/>
  <c r="C266" i="8"/>
  <c r="AM265" i="8"/>
  <c r="AD265" i="8"/>
  <c r="AO265" i="8" s="1"/>
  <c r="K265" i="8"/>
  <c r="M265" i="8" s="1"/>
  <c r="H265" i="8"/>
  <c r="C265" i="8"/>
  <c r="AM264" i="8"/>
  <c r="AD264" i="8"/>
  <c r="AO264" i="8" s="1"/>
  <c r="K264" i="8"/>
  <c r="M264" i="8" s="1"/>
  <c r="H264" i="8"/>
  <c r="C264" i="8"/>
  <c r="AO263" i="8"/>
  <c r="AM263" i="8"/>
  <c r="AD263" i="8"/>
  <c r="K263" i="8"/>
  <c r="M263" i="8" s="1"/>
  <c r="H263" i="8"/>
  <c r="C263" i="8"/>
  <c r="AM262" i="8"/>
  <c r="AD262" i="8"/>
  <c r="AO262" i="8" s="1"/>
  <c r="K262" i="8"/>
  <c r="M262" i="8" s="1"/>
  <c r="H262" i="8"/>
  <c r="C262" i="8"/>
  <c r="AM261" i="8"/>
  <c r="AD261" i="8"/>
  <c r="AO261" i="8" s="1"/>
  <c r="K261" i="8"/>
  <c r="M261" i="8" s="1"/>
  <c r="H261" i="8"/>
  <c r="C261" i="8"/>
  <c r="AM260" i="8"/>
  <c r="AD260" i="8"/>
  <c r="AO260" i="8" s="1"/>
  <c r="K260" i="8"/>
  <c r="M260" i="8" s="1"/>
  <c r="H260" i="8"/>
  <c r="C260" i="8"/>
  <c r="AM259" i="8"/>
  <c r="AD259" i="8"/>
  <c r="AO259" i="8" s="1"/>
  <c r="K259" i="8"/>
  <c r="M259" i="8" s="1"/>
  <c r="H259" i="8"/>
  <c r="C259" i="8"/>
  <c r="AM258" i="8"/>
  <c r="AD258" i="8"/>
  <c r="AO258" i="8" s="1"/>
  <c r="K258" i="8"/>
  <c r="M258" i="8" s="1"/>
  <c r="H258" i="8"/>
  <c r="C258" i="8"/>
  <c r="AM257" i="8"/>
  <c r="AD257" i="8"/>
  <c r="AM256" i="8"/>
  <c r="AD256" i="8"/>
  <c r="AO256" i="8" s="1"/>
  <c r="AM255" i="8"/>
  <c r="AD255" i="8"/>
  <c r="AM254" i="8"/>
  <c r="AD254" i="8"/>
  <c r="AO254" i="8" s="1"/>
  <c r="AD253" i="8"/>
  <c r="AM252" i="8"/>
  <c r="AO252" i="8" s="1"/>
  <c r="AD252" i="8"/>
  <c r="AM251" i="8"/>
  <c r="AD251" i="8"/>
  <c r="AM250" i="8"/>
  <c r="AO250" i="8" s="1"/>
  <c r="AD250" i="8"/>
  <c r="AM249" i="8"/>
  <c r="AD249" i="8"/>
  <c r="AM248" i="8"/>
  <c r="AO248" i="8" s="1"/>
  <c r="AD248" i="8"/>
  <c r="AM247" i="8"/>
  <c r="AD247" i="8"/>
  <c r="AM246" i="8"/>
  <c r="AO246" i="8" s="1"/>
  <c r="AD246" i="8"/>
  <c r="AM245" i="8"/>
  <c r="AD245" i="8"/>
  <c r="AO245" i="8" s="1"/>
  <c r="AM244" i="8"/>
  <c r="AD244" i="8"/>
  <c r="X244" i="8"/>
  <c r="W244" i="8"/>
  <c r="AO244" i="8" s="1"/>
  <c r="N244" i="8"/>
  <c r="K244" i="8"/>
  <c r="M244" i="8" s="1"/>
  <c r="F244" i="8"/>
  <c r="H244" i="8" s="1"/>
  <c r="C244" i="8"/>
  <c r="AM243" i="8"/>
  <c r="AD243" i="8"/>
  <c r="AO243" i="8" s="1"/>
  <c r="K243" i="8"/>
  <c r="M243" i="8" s="1"/>
  <c r="F243" i="8"/>
  <c r="H243" i="8" s="1"/>
  <c r="C243" i="8"/>
  <c r="AO242" i="8"/>
  <c r="AM242" i="8"/>
  <c r="AD242" i="8"/>
  <c r="K242" i="8"/>
  <c r="M242" i="8" s="1"/>
  <c r="F242" i="8"/>
  <c r="H242" i="8" s="1"/>
  <c r="C242" i="8"/>
  <c r="AM241" i="8"/>
  <c r="AD241" i="8"/>
  <c r="X241" i="8"/>
  <c r="W241" i="8"/>
  <c r="AO241" i="8" s="1"/>
  <c r="T241" i="8"/>
  <c r="K241" i="8"/>
  <c r="M241" i="8" s="1"/>
  <c r="F241" i="8"/>
  <c r="H241" i="8" s="1"/>
  <c r="C241" i="8"/>
  <c r="AH240" i="8"/>
  <c r="AM240" i="8" s="1"/>
  <c r="AD240" i="8"/>
  <c r="W240" i="8"/>
  <c r="AO240" i="8" s="1"/>
  <c r="K240" i="8"/>
  <c r="M240" i="8" s="1"/>
  <c r="F240" i="8"/>
  <c r="H240" i="8" s="1"/>
  <c r="C240" i="8"/>
  <c r="AH239" i="8"/>
  <c r="AM239" i="8" s="1"/>
  <c r="AD239" i="8"/>
  <c r="W239" i="8"/>
  <c r="AO239" i="8" s="1"/>
  <c r="K239" i="8"/>
  <c r="M239" i="8" s="1"/>
  <c r="F239" i="8"/>
  <c r="H239" i="8" s="1"/>
  <c r="C239" i="8"/>
  <c r="AJ238" i="8"/>
  <c r="AH238" i="8"/>
  <c r="AM238" i="8" s="1"/>
  <c r="AD238" i="8"/>
  <c r="AO238" i="8" s="1"/>
  <c r="K238" i="8"/>
  <c r="M238" i="8" s="1"/>
  <c r="F238" i="8"/>
  <c r="H238" i="8" s="1"/>
  <c r="C238" i="8"/>
  <c r="AH237" i="8"/>
  <c r="AM237" i="8" s="1"/>
  <c r="AD237" i="8"/>
  <c r="W237" i="8"/>
  <c r="AO237" i="8" s="1"/>
  <c r="N237" i="8"/>
  <c r="K237" i="8"/>
  <c r="M237" i="8" s="1"/>
  <c r="F237" i="8"/>
  <c r="H237" i="8" s="1"/>
  <c r="C237" i="8"/>
  <c r="AM236" i="8"/>
  <c r="AD236" i="8"/>
  <c r="AO236" i="8" s="1"/>
  <c r="K236" i="8"/>
  <c r="M236" i="8" s="1"/>
  <c r="H236" i="8"/>
  <c r="F236" i="8"/>
  <c r="C236" i="8"/>
  <c r="AM235" i="8"/>
  <c r="AD235" i="8"/>
  <c r="X235" i="8"/>
  <c r="AO235" i="8" s="1"/>
  <c r="K235" i="8"/>
  <c r="M235" i="8" s="1"/>
  <c r="F235" i="8"/>
  <c r="H235" i="8" s="1"/>
  <c r="C235" i="8"/>
  <c r="AM234" i="8"/>
  <c r="AD234" i="8"/>
  <c r="W234" i="8"/>
  <c r="AO234" i="8" s="1"/>
  <c r="N234" i="8"/>
  <c r="K234" i="8"/>
  <c r="M234" i="8" s="1"/>
  <c r="H234" i="8"/>
  <c r="F234" i="8"/>
  <c r="C234" i="8"/>
  <c r="AH233" i="8"/>
  <c r="AM233" i="8" s="1"/>
  <c r="AD233" i="8"/>
  <c r="X233" i="8"/>
  <c r="W233" i="8"/>
  <c r="AO233" i="8" s="1"/>
  <c r="K233" i="8"/>
  <c r="M233" i="8" s="1"/>
  <c r="F233" i="8"/>
  <c r="H233" i="8" s="1"/>
  <c r="C233" i="8"/>
  <c r="AM232" i="8"/>
  <c r="AD232" i="8"/>
  <c r="X232" i="8"/>
  <c r="W232" i="8"/>
  <c r="AO232" i="8" s="1"/>
  <c r="T232" i="8"/>
  <c r="N232" i="8"/>
  <c r="K232" i="8"/>
  <c r="M232" i="8" s="1"/>
  <c r="F232" i="8"/>
  <c r="H232" i="8" s="1"/>
  <c r="C232" i="8"/>
  <c r="AM231" i="8"/>
  <c r="AD231" i="8"/>
  <c r="X231" i="8"/>
  <c r="W231" i="8"/>
  <c r="AO231" i="8" s="1"/>
  <c r="K231" i="8"/>
  <c r="M231" i="8" s="1"/>
  <c r="F231" i="8"/>
  <c r="H231" i="8" s="1"/>
  <c r="C231" i="8"/>
  <c r="AM230" i="8"/>
  <c r="AD230" i="8"/>
  <c r="AO230" i="8" s="1"/>
  <c r="K230" i="8"/>
  <c r="M230" i="8" s="1"/>
  <c r="F230" i="8"/>
  <c r="H230" i="8" s="1"/>
  <c r="C230" i="8"/>
  <c r="AM229" i="8"/>
  <c r="AD229" i="8"/>
  <c r="AO229" i="8" s="1"/>
  <c r="K229" i="8"/>
  <c r="M229" i="8" s="1"/>
  <c r="F229" i="8"/>
  <c r="H229" i="8" s="1"/>
  <c r="C229" i="8"/>
  <c r="AM228" i="8"/>
  <c r="AD228" i="8"/>
  <c r="AO228" i="8" s="1"/>
  <c r="K228" i="8"/>
  <c r="M228" i="8" s="1"/>
  <c r="F228" i="8"/>
  <c r="H228" i="8" s="1"/>
  <c r="C228" i="8"/>
  <c r="AM227" i="8"/>
  <c r="AD227" i="8"/>
  <c r="X227" i="8"/>
  <c r="AO227" i="8" s="1"/>
  <c r="T227" i="8"/>
  <c r="K227" i="8"/>
  <c r="M227" i="8" s="1"/>
  <c r="F227" i="8"/>
  <c r="H227" i="8" s="1"/>
  <c r="C227" i="8"/>
  <c r="AG226" i="8"/>
  <c r="AM226" i="8" s="1"/>
  <c r="AD226" i="8"/>
  <c r="W226" i="8"/>
  <c r="AO226" i="8" s="1"/>
  <c r="K226" i="8"/>
  <c r="M226" i="8" s="1"/>
  <c r="F226" i="8"/>
  <c r="H226" i="8" s="1"/>
  <c r="C226" i="8"/>
  <c r="AM225" i="8"/>
  <c r="AD225" i="8"/>
  <c r="W225" i="8"/>
  <c r="AO225" i="8" s="1"/>
  <c r="M225" i="8"/>
  <c r="K225" i="8"/>
  <c r="H225" i="8"/>
  <c r="F225" i="8"/>
  <c r="C225" i="8"/>
  <c r="AM224" i="8"/>
  <c r="AD224" i="8"/>
  <c r="X224" i="8"/>
  <c r="W224" i="8"/>
  <c r="AO224" i="8" s="1"/>
  <c r="T224" i="8"/>
  <c r="N224" i="8"/>
  <c r="K224" i="8"/>
  <c r="M224" i="8" s="1"/>
  <c r="F224" i="8"/>
  <c r="H224" i="8" s="1"/>
  <c r="C224" i="8"/>
  <c r="AH223" i="8"/>
  <c r="AM223" i="8" s="1"/>
  <c r="AD223" i="8"/>
  <c r="X223" i="8"/>
  <c r="W223" i="8"/>
  <c r="AO223" i="8" s="1"/>
  <c r="T223" i="8"/>
  <c r="S223" i="8"/>
  <c r="K223" i="8"/>
  <c r="M223" i="8" s="1"/>
  <c r="F223" i="8"/>
  <c r="H223" i="8" s="1"/>
  <c r="C223" i="8"/>
  <c r="AM222" i="8"/>
  <c r="AD222" i="8"/>
  <c r="X222" i="8"/>
  <c r="W222" i="8"/>
  <c r="AO222" i="8" s="1"/>
  <c r="T222" i="8"/>
  <c r="N222" i="8"/>
  <c r="K222" i="8"/>
  <c r="M222" i="8" s="1"/>
  <c r="F222" i="8"/>
  <c r="H222" i="8" s="1"/>
  <c r="C222" i="8"/>
  <c r="AM221" i="8"/>
  <c r="AD221" i="8"/>
  <c r="AO221" i="8" s="1"/>
  <c r="K221" i="8"/>
  <c r="M221" i="8" s="1"/>
  <c r="F221" i="8"/>
  <c r="H221" i="8" s="1"/>
  <c r="C221" i="8"/>
  <c r="AM220" i="8"/>
  <c r="AD220" i="8"/>
  <c r="AO220" i="8" s="1"/>
  <c r="N220" i="8"/>
  <c r="K220" i="8"/>
  <c r="M220" i="8" s="1"/>
  <c r="F220" i="8"/>
  <c r="H220" i="8" s="1"/>
  <c r="C220" i="8"/>
  <c r="AM219" i="8"/>
  <c r="AD219" i="8"/>
  <c r="W219" i="8"/>
  <c r="AO219" i="8" s="1"/>
  <c r="S219" i="8"/>
  <c r="K219" i="8"/>
  <c r="M219" i="8" s="1"/>
  <c r="F219" i="8"/>
  <c r="H219" i="8" s="1"/>
  <c r="C219" i="8"/>
  <c r="AM218" i="8"/>
  <c r="AD218" i="8"/>
  <c r="W218" i="8"/>
  <c r="AO218" i="8" s="1"/>
  <c r="N218" i="8"/>
  <c r="K218" i="8"/>
  <c r="M218" i="8" s="1"/>
  <c r="H218" i="8"/>
  <c r="F218" i="8"/>
  <c r="C218" i="8"/>
  <c r="AJ217" i="8"/>
  <c r="AH217" i="8"/>
  <c r="AM217" i="8" s="1"/>
  <c r="AD217" i="8"/>
  <c r="X217" i="8"/>
  <c r="W217" i="8"/>
  <c r="AO217" i="8" s="1"/>
  <c r="T217" i="8"/>
  <c r="K217" i="8"/>
  <c r="M217" i="8" s="1"/>
  <c r="F217" i="8"/>
  <c r="H217" i="8" s="1"/>
  <c r="C217" i="8"/>
  <c r="AH216" i="8"/>
  <c r="AM216" i="8" s="1"/>
  <c r="AD216" i="8"/>
  <c r="W216" i="8"/>
  <c r="AO216" i="8" s="1"/>
  <c r="N216" i="8"/>
  <c r="K216" i="8"/>
  <c r="M216" i="8" s="1"/>
  <c r="F216" i="8"/>
  <c r="H216" i="8" s="1"/>
  <c r="C216" i="8"/>
  <c r="AM215" i="8"/>
  <c r="AD215" i="8"/>
  <c r="W215" i="8"/>
  <c r="AO215" i="8" s="1"/>
  <c r="N215" i="8"/>
  <c r="K215" i="8"/>
  <c r="M215" i="8" s="1"/>
  <c r="F215" i="8"/>
  <c r="H215" i="8" s="1"/>
  <c r="C215" i="8"/>
  <c r="AM214" i="8"/>
  <c r="AD214" i="8"/>
  <c r="X214" i="8"/>
  <c r="W214" i="8"/>
  <c r="AO214" i="8" s="1"/>
  <c r="T214" i="8"/>
  <c r="N214" i="8"/>
  <c r="K214" i="8"/>
  <c r="M214" i="8" s="1"/>
  <c r="F214" i="8"/>
  <c r="H214" i="8" s="1"/>
  <c r="C214" i="8"/>
  <c r="AM213" i="8"/>
  <c r="AD213" i="8"/>
  <c r="X213" i="8"/>
  <c r="W213" i="8"/>
  <c r="AO213" i="8" s="1"/>
  <c r="T213" i="8"/>
  <c r="K213" i="8"/>
  <c r="M213" i="8" s="1"/>
  <c r="F213" i="8"/>
  <c r="H213" i="8" s="1"/>
  <c r="C213" i="8"/>
  <c r="AM212" i="8"/>
  <c r="AD212" i="8"/>
  <c r="X212" i="8"/>
  <c r="W212" i="8"/>
  <c r="AO212" i="8" s="1"/>
  <c r="T212" i="8"/>
  <c r="K212" i="8"/>
  <c r="M212" i="8" s="1"/>
  <c r="F212" i="8"/>
  <c r="H212" i="8" s="1"/>
  <c r="C212" i="8"/>
  <c r="AH211" i="8"/>
  <c r="AM211" i="8" s="1"/>
  <c r="AD211" i="8"/>
  <c r="W211" i="8"/>
  <c r="AO211" i="8" s="1"/>
  <c r="N211" i="8"/>
  <c r="K211" i="8"/>
  <c r="M211" i="8" s="1"/>
  <c r="F211" i="8"/>
  <c r="H211" i="8" s="1"/>
  <c r="C211" i="8"/>
  <c r="AJ210" i="8"/>
  <c r="AM210" i="8" s="1"/>
  <c r="AD210" i="8"/>
  <c r="W210" i="8"/>
  <c r="AO210" i="8" s="1"/>
  <c r="K210" i="8"/>
  <c r="M210" i="8" s="1"/>
  <c r="F210" i="8"/>
  <c r="H210" i="8" s="1"/>
  <c r="C210" i="8"/>
  <c r="AM209" i="8"/>
  <c r="AD209" i="8"/>
  <c r="AO209" i="8" s="1"/>
  <c r="K209" i="8"/>
  <c r="M209" i="8" s="1"/>
  <c r="F209" i="8"/>
  <c r="H209" i="8" s="1"/>
  <c r="C209" i="8"/>
  <c r="AH208" i="8"/>
  <c r="AM208" i="8" s="1"/>
  <c r="AD208" i="8"/>
  <c r="W208" i="8"/>
  <c r="AO208" i="8" s="1"/>
  <c r="N208" i="8"/>
  <c r="M208" i="8"/>
  <c r="K208" i="8"/>
  <c r="F208" i="8"/>
  <c r="H208" i="8" s="1"/>
  <c r="C208" i="8"/>
  <c r="AM207" i="8"/>
  <c r="AD207" i="8"/>
  <c r="X207" i="8"/>
  <c r="W207" i="8"/>
  <c r="AO207" i="8" s="1"/>
  <c r="T207" i="8"/>
  <c r="N207" i="8"/>
  <c r="K207" i="8"/>
  <c r="M207" i="8" s="1"/>
  <c r="F207" i="8"/>
  <c r="H207" i="8" s="1"/>
  <c r="C207" i="8"/>
  <c r="AM206" i="8"/>
  <c r="AD206" i="8"/>
  <c r="X206" i="8"/>
  <c r="AO206" i="8" s="1"/>
  <c r="T206" i="8"/>
  <c r="N206" i="8"/>
  <c r="K206" i="8"/>
  <c r="M206" i="8" s="1"/>
  <c r="F206" i="8"/>
  <c r="H206" i="8" s="1"/>
  <c r="C206" i="8"/>
  <c r="AM205" i="8"/>
  <c r="AD205" i="8"/>
  <c r="AO205" i="8" s="1"/>
  <c r="N205" i="8"/>
  <c r="K205" i="8"/>
  <c r="M205" i="8" s="1"/>
  <c r="F205" i="8"/>
  <c r="H205" i="8" s="1"/>
  <c r="C205" i="8"/>
  <c r="AJ204" i="8"/>
  <c r="AM204" i="8" s="1"/>
  <c r="AD204" i="8"/>
  <c r="AO204" i="8" s="1"/>
  <c r="N204" i="8"/>
  <c r="K204" i="8"/>
  <c r="M204" i="8" s="1"/>
  <c r="F204" i="8"/>
  <c r="H204" i="8" s="1"/>
  <c r="C204" i="8"/>
  <c r="AM203" i="8"/>
  <c r="AD203" i="8"/>
  <c r="X203" i="8"/>
  <c r="AO203" i="8" s="1"/>
  <c r="T203" i="8"/>
  <c r="K203" i="8"/>
  <c r="M203" i="8" s="1"/>
  <c r="F203" i="8"/>
  <c r="H203" i="8" s="1"/>
  <c r="C203" i="8"/>
  <c r="AM202" i="8"/>
  <c r="AD202" i="8"/>
  <c r="X202" i="8"/>
  <c r="AO202" i="8" s="1"/>
  <c r="T202" i="8"/>
  <c r="N202" i="8"/>
  <c r="K202" i="8"/>
  <c r="M202" i="8" s="1"/>
  <c r="F202" i="8"/>
  <c r="H202" i="8" s="1"/>
  <c r="C202" i="8"/>
  <c r="AH201" i="8"/>
  <c r="AM201" i="8" s="1"/>
  <c r="AD201" i="8"/>
  <c r="W201" i="8"/>
  <c r="AO201" i="8" s="1"/>
  <c r="K201" i="8"/>
  <c r="M201" i="8" s="1"/>
  <c r="F201" i="8"/>
  <c r="H201" i="8" s="1"/>
  <c r="C201" i="8"/>
  <c r="AM200" i="8"/>
  <c r="AD200" i="8"/>
  <c r="AO200" i="8" s="1"/>
  <c r="K200" i="8"/>
  <c r="M200" i="8" s="1"/>
  <c r="F200" i="8"/>
  <c r="H200" i="8" s="1"/>
  <c r="C200" i="8"/>
  <c r="AJ199" i="8"/>
  <c r="AM199" i="8" s="1"/>
  <c r="AD199" i="8"/>
  <c r="X199" i="8"/>
  <c r="W199" i="8"/>
  <c r="AO199" i="8" s="1"/>
  <c r="T199" i="8"/>
  <c r="N199" i="8"/>
  <c r="K199" i="8"/>
  <c r="M199" i="8" s="1"/>
  <c r="F199" i="8"/>
  <c r="H199" i="8" s="1"/>
  <c r="C199" i="8"/>
  <c r="AM198" i="8"/>
  <c r="AD198" i="8"/>
  <c r="W198" i="8"/>
  <c r="AO198" i="8" s="1"/>
  <c r="K198" i="8"/>
  <c r="M198" i="8" s="1"/>
  <c r="F198" i="8"/>
  <c r="H198" i="8" s="1"/>
  <c r="C198" i="8"/>
  <c r="AM197" i="8"/>
  <c r="AD197" i="8"/>
  <c r="W197" i="8"/>
  <c r="AO197" i="8" s="1"/>
  <c r="K197" i="8"/>
  <c r="M197" i="8" s="1"/>
  <c r="F197" i="8"/>
  <c r="H197" i="8" s="1"/>
  <c r="C197" i="8"/>
  <c r="AM196" i="8"/>
  <c r="AD196" i="8"/>
  <c r="AO196" i="8" s="1"/>
  <c r="K196" i="8"/>
  <c r="M196" i="8" s="1"/>
  <c r="F196" i="8"/>
  <c r="H196" i="8" s="1"/>
  <c r="C196" i="8"/>
  <c r="AM195" i="8"/>
  <c r="AD195" i="8"/>
  <c r="AO195" i="8" s="1"/>
  <c r="K195" i="8"/>
  <c r="M195" i="8" s="1"/>
  <c r="F195" i="8"/>
  <c r="H195" i="8" s="1"/>
  <c r="C195" i="8"/>
  <c r="AM194" i="8"/>
  <c r="AD194" i="8"/>
  <c r="AO194" i="8" s="1"/>
  <c r="K194" i="8"/>
  <c r="M194" i="8" s="1"/>
  <c r="F194" i="8"/>
  <c r="H194" i="8" s="1"/>
  <c r="C194" i="8"/>
  <c r="AM193" i="8"/>
  <c r="AD193" i="8"/>
  <c r="AO193" i="8" s="1"/>
  <c r="K193" i="8"/>
  <c r="M193" i="8" s="1"/>
  <c r="F193" i="8"/>
  <c r="H193" i="8" s="1"/>
  <c r="C193" i="8"/>
  <c r="AM192" i="8"/>
  <c r="AD192" i="8"/>
  <c r="W192" i="8"/>
  <c r="AO192" i="8" s="1"/>
  <c r="N192" i="8"/>
  <c r="K192" i="8"/>
  <c r="M192" i="8" s="1"/>
  <c r="F192" i="8"/>
  <c r="H192" i="8" s="1"/>
  <c r="C192" i="8"/>
  <c r="AM191" i="8"/>
  <c r="AD191" i="8"/>
  <c r="AO191" i="8" s="1"/>
  <c r="N191" i="8"/>
  <c r="K191" i="8"/>
  <c r="M191" i="8" s="1"/>
  <c r="F191" i="8"/>
  <c r="H191" i="8" s="1"/>
  <c r="C191" i="8"/>
  <c r="AJ190" i="8"/>
  <c r="AM190" i="8" s="1"/>
  <c r="AD190" i="8"/>
  <c r="W190" i="8"/>
  <c r="AO190" i="8" s="1"/>
  <c r="N190" i="8"/>
  <c r="K190" i="8"/>
  <c r="M190" i="8" s="1"/>
  <c r="H190" i="8"/>
  <c r="F190" i="8"/>
  <c r="C190" i="8"/>
  <c r="AF189" i="8"/>
  <c r="AM189" i="8" s="1"/>
  <c r="AD189" i="8"/>
  <c r="X189" i="8"/>
  <c r="AO189" i="8" s="1"/>
  <c r="N189" i="8"/>
  <c r="K189" i="8"/>
  <c r="M189" i="8" s="1"/>
  <c r="F189" i="8"/>
  <c r="H189" i="8" s="1"/>
  <c r="C189" i="8"/>
  <c r="AM188" i="8"/>
  <c r="AD188" i="8"/>
  <c r="AO188" i="8" s="1"/>
  <c r="N188" i="8"/>
  <c r="K188" i="8"/>
  <c r="M188" i="8" s="1"/>
  <c r="F188" i="8"/>
  <c r="H188" i="8" s="1"/>
  <c r="C188" i="8"/>
  <c r="AM187" i="8"/>
  <c r="AD187" i="8"/>
  <c r="AO187" i="8" s="1"/>
  <c r="K187" i="8"/>
  <c r="M187" i="8" s="1"/>
  <c r="F187" i="8"/>
  <c r="H187" i="8" s="1"/>
  <c r="C187" i="8"/>
  <c r="AM186" i="8"/>
  <c r="AD186" i="8"/>
  <c r="X186" i="8"/>
  <c r="AO186" i="8" s="1"/>
  <c r="T186" i="8"/>
  <c r="N186" i="8"/>
  <c r="K186" i="8"/>
  <c r="M186" i="8" s="1"/>
  <c r="F186" i="8"/>
  <c r="H186" i="8" s="1"/>
  <c r="C186" i="8"/>
  <c r="AM185" i="8"/>
  <c r="AD185" i="8"/>
  <c r="X185" i="8"/>
  <c r="AO185" i="8" s="1"/>
  <c r="K185" i="8"/>
  <c r="M185" i="8" s="1"/>
  <c r="F185" i="8"/>
  <c r="H185" i="8" s="1"/>
  <c r="C185" i="8"/>
  <c r="AJ184" i="8"/>
  <c r="AM184" i="8" s="1"/>
  <c r="AD184" i="8"/>
  <c r="AO184" i="8" s="1"/>
  <c r="N184" i="8"/>
  <c r="K184" i="8"/>
  <c r="M184" i="8" s="1"/>
  <c r="F184" i="8"/>
  <c r="H184" i="8" s="1"/>
  <c r="C184" i="8"/>
  <c r="AM183" i="8"/>
  <c r="AD183" i="8"/>
  <c r="X183" i="8"/>
  <c r="AO183" i="8" s="1"/>
  <c r="K183" i="8"/>
  <c r="M183" i="8" s="1"/>
  <c r="F183" i="8"/>
  <c r="H183" i="8" s="1"/>
  <c r="C183" i="8"/>
  <c r="AH182" i="8"/>
  <c r="AM182" i="8" s="1"/>
  <c r="AD182" i="8"/>
  <c r="AO182" i="8" s="1"/>
  <c r="K182" i="8"/>
  <c r="M182" i="8" s="1"/>
  <c r="F182" i="8"/>
  <c r="H182" i="8" s="1"/>
  <c r="C182" i="8"/>
  <c r="AJ181" i="8"/>
  <c r="AM181" i="8" s="1"/>
  <c r="AD181" i="8"/>
  <c r="X181" i="8"/>
  <c r="K181" i="8"/>
  <c r="M181" i="8" s="1"/>
  <c r="F181" i="8"/>
  <c r="H181" i="8" s="1"/>
  <c r="C181" i="8"/>
  <c r="AG180" i="8"/>
  <c r="AM180" i="8" s="1"/>
  <c r="AD180" i="8"/>
  <c r="X180" i="8"/>
  <c r="AO180" i="8" s="1"/>
  <c r="T180" i="8"/>
  <c r="K180" i="8"/>
  <c r="M180" i="8" s="1"/>
  <c r="F180" i="8"/>
  <c r="H180" i="8" s="1"/>
  <c r="C180" i="8"/>
  <c r="AM179" i="8"/>
  <c r="AD179" i="8"/>
  <c r="X179" i="8"/>
  <c r="W179" i="8"/>
  <c r="AO179" i="8" s="1"/>
  <c r="T179" i="8"/>
  <c r="K179" i="8"/>
  <c r="M179" i="8" s="1"/>
  <c r="F179" i="8"/>
  <c r="H179" i="8" s="1"/>
  <c r="C179" i="8"/>
  <c r="AM178" i="8"/>
  <c r="AD178" i="8"/>
  <c r="X178" i="8"/>
  <c r="W178" i="8"/>
  <c r="AO178" i="8" s="1"/>
  <c r="T178" i="8"/>
  <c r="K178" i="8"/>
  <c r="M178" i="8" s="1"/>
  <c r="F178" i="8"/>
  <c r="H178" i="8" s="1"/>
  <c r="C178" i="8"/>
  <c r="AM177" i="8"/>
  <c r="AD177" i="8"/>
  <c r="X177" i="8"/>
  <c r="AO177" i="8" s="1"/>
  <c r="S177" i="8"/>
  <c r="K177" i="8"/>
  <c r="M177" i="8" s="1"/>
  <c r="F177" i="8"/>
  <c r="H177" i="8" s="1"/>
  <c r="C177" i="8"/>
  <c r="AM176" i="8"/>
  <c r="AD176" i="8"/>
  <c r="W176" i="8"/>
  <c r="AO176" i="8" s="1"/>
  <c r="N176" i="8"/>
  <c r="K176" i="8"/>
  <c r="M176" i="8" s="1"/>
  <c r="F176" i="8"/>
  <c r="H176" i="8" s="1"/>
  <c r="C176" i="8"/>
  <c r="AM175" i="8"/>
  <c r="AD175" i="8"/>
  <c r="X175" i="8"/>
  <c r="W175" i="8"/>
  <c r="AO175" i="8" s="1"/>
  <c r="T175" i="8"/>
  <c r="N175" i="8"/>
  <c r="K175" i="8"/>
  <c r="M175" i="8" s="1"/>
  <c r="F175" i="8"/>
  <c r="H175" i="8" s="1"/>
  <c r="C175" i="8"/>
  <c r="AM174" i="8"/>
  <c r="AD174" i="8"/>
  <c r="W174" i="8"/>
  <c r="AO174" i="8" s="1"/>
  <c r="K174" i="8"/>
  <c r="M174" i="8" s="1"/>
  <c r="F174" i="8"/>
  <c r="H174" i="8" s="1"/>
  <c r="C174" i="8"/>
  <c r="AM173" i="8"/>
  <c r="AD173" i="8"/>
  <c r="AO173" i="8" s="1"/>
  <c r="K173" i="8"/>
  <c r="M173" i="8" s="1"/>
  <c r="F173" i="8"/>
  <c r="H173" i="8" s="1"/>
  <c r="C173" i="8"/>
  <c r="AM172" i="8"/>
  <c r="AD172" i="8"/>
  <c r="W172" i="8"/>
  <c r="AO172" i="8" s="1"/>
  <c r="N172" i="8"/>
  <c r="K172" i="8"/>
  <c r="M172" i="8" s="1"/>
  <c r="F172" i="8"/>
  <c r="H172" i="8" s="1"/>
  <c r="C172" i="8"/>
  <c r="AH171" i="8"/>
  <c r="AM171" i="8" s="1"/>
  <c r="AD171" i="8"/>
  <c r="X171" i="8"/>
  <c r="W171" i="8"/>
  <c r="AO171" i="8" s="1"/>
  <c r="T171" i="8"/>
  <c r="K171" i="8"/>
  <c r="M171" i="8" s="1"/>
  <c r="F171" i="8"/>
  <c r="H171" i="8" s="1"/>
  <c r="C171" i="8"/>
  <c r="AM170" i="8"/>
  <c r="AD170" i="8"/>
  <c r="AO170" i="8" s="1"/>
  <c r="N170" i="8"/>
  <c r="M170" i="8"/>
  <c r="K170" i="8"/>
  <c r="F170" i="8"/>
  <c r="H170" i="8" s="1"/>
  <c r="C170" i="8"/>
  <c r="AH169" i="8"/>
  <c r="AG169" i="8"/>
  <c r="AM169" i="8" s="1"/>
  <c r="AD169" i="8"/>
  <c r="W169" i="8"/>
  <c r="AO169" i="8" s="1"/>
  <c r="K169" i="8"/>
  <c r="M169" i="8" s="1"/>
  <c r="F169" i="8"/>
  <c r="H169" i="8" s="1"/>
  <c r="C169" i="8"/>
  <c r="AH168" i="8"/>
  <c r="AM168" i="8" s="1"/>
  <c r="AD168" i="8"/>
  <c r="AO168" i="8" s="1"/>
  <c r="K168" i="8"/>
  <c r="M168" i="8" s="1"/>
  <c r="F168" i="8"/>
  <c r="H168" i="8" s="1"/>
  <c r="C168" i="8"/>
  <c r="AJ167" i="8"/>
  <c r="AG167" i="8"/>
  <c r="AM167" i="8" s="1"/>
  <c r="AD167" i="8"/>
  <c r="AO167" i="8" s="1"/>
  <c r="K167" i="8"/>
  <c r="M167" i="8" s="1"/>
  <c r="F167" i="8"/>
  <c r="H167" i="8" s="1"/>
  <c r="C167" i="8"/>
  <c r="AM166" i="8"/>
  <c r="AD166" i="8"/>
  <c r="AO166" i="8" s="1"/>
  <c r="N166" i="8"/>
  <c r="K166" i="8"/>
  <c r="M166" i="8" s="1"/>
  <c r="F166" i="8"/>
  <c r="H166" i="8" s="1"/>
  <c r="C166" i="8"/>
  <c r="AM165" i="8"/>
  <c r="AD165" i="8"/>
  <c r="AO165" i="8" s="1"/>
  <c r="O165" i="8"/>
  <c r="N165" i="8"/>
  <c r="K165" i="8"/>
  <c r="M165" i="8" s="1"/>
  <c r="F165" i="8"/>
  <c r="H165" i="8" s="1"/>
  <c r="E165" i="8"/>
  <c r="J165" i="8" s="1"/>
  <c r="U165" i="8" s="1"/>
  <c r="AR165" i="8" s="1"/>
  <c r="C165" i="8"/>
  <c r="I165" i="8" s="1"/>
  <c r="AM164" i="8"/>
  <c r="AD164" i="8"/>
  <c r="X164" i="8"/>
  <c r="AO164" i="8" s="1"/>
  <c r="O164" i="8"/>
  <c r="N164" i="8"/>
  <c r="K164" i="8"/>
  <c r="M164" i="8" s="1"/>
  <c r="F164" i="8"/>
  <c r="H164" i="8" s="1"/>
  <c r="C164" i="8"/>
  <c r="AM163" i="8"/>
  <c r="AD163" i="8"/>
  <c r="AO163" i="8" s="1"/>
  <c r="N163" i="8"/>
  <c r="K163" i="8"/>
  <c r="M163" i="8" s="1"/>
  <c r="F163" i="8"/>
  <c r="H163" i="8" s="1"/>
  <c r="C163" i="8"/>
  <c r="AM162" i="8"/>
  <c r="AD162" i="8"/>
  <c r="W162" i="8"/>
  <c r="AO162" i="8" s="1"/>
  <c r="N162" i="8"/>
  <c r="K162" i="8"/>
  <c r="M162" i="8" s="1"/>
  <c r="F162" i="8"/>
  <c r="H162" i="8" s="1"/>
  <c r="C162" i="8"/>
  <c r="AJ161" i="8"/>
  <c r="AM161" i="8" s="1"/>
  <c r="AD161" i="8"/>
  <c r="AO161" i="8" s="1"/>
  <c r="N161" i="8"/>
  <c r="K161" i="8"/>
  <c r="M161" i="8" s="1"/>
  <c r="F161" i="8"/>
  <c r="H161" i="8" s="1"/>
  <c r="C161" i="8"/>
  <c r="AM160" i="8"/>
  <c r="AD160" i="8"/>
  <c r="X160" i="8"/>
  <c r="AO160" i="8" s="1"/>
  <c r="T160" i="8"/>
  <c r="K160" i="8"/>
  <c r="M160" i="8" s="1"/>
  <c r="F160" i="8"/>
  <c r="H160" i="8" s="1"/>
  <c r="C160" i="8"/>
  <c r="AH159" i="8"/>
  <c r="AM159" i="8" s="1"/>
  <c r="AD159" i="8"/>
  <c r="W159" i="8"/>
  <c r="AO159" i="8" s="1"/>
  <c r="K159" i="8"/>
  <c r="M159" i="8" s="1"/>
  <c r="F159" i="8"/>
  <c r="H159" i="8" s="1"/>
  <c r="C159" i="8"/>
  <c r="AO158" i="8"/>
  <c r="AM158" i="8"/>
  <c r="AD158" i="8"/>
  <c r="N158" i="8"/>
  <c r="K158" i="8"/>
  <c r="M158" i="8" s="1"/>
  <c r="F158" i="8"/>
  <c r="H158" i="8" s="1"/>
  <c r="C158" i="8"/>
  <c r="AM157" i="8"/>
  <c r="AD157" i="8"/>
  <c r="W157" i="8"/>
  <c r="AO157" i="8" s="1"/>
  <c r="K157" i="8"/>
  <c r="M157" i="8" s="1"/>
  <c r="F157" i="8"/>
  <c r="H157" i="8" s="1"/>
  <c r="C157" i="8"/>
  <c r="AH156" i="8"/>
  <c r="AM156" i="8" s="1"/>
  <c r="AD156" i="8"/>
  <c r="AO156" i="8" s="1"/>
  <c r="K156" i="8"/>
  <c r="M156" i="8" s="1"/>
  <c r="F156" i="8"/>
  <c r="H156" i="8" s="1"/>
  <c r="C156" i="8"/>
  <c r="AM155" i="8"/>
  <c r="AD155" i="8"/>
  <c r="AO155" i="8" s="1"/>
  <c r="K155" i="8"/>
  <c r="M155" i="8" s="1"/>
  <c r="F155" i="8"/>
  <c r="H155" i="8" s="1"/>
  <c r="C155" i="8"/>
  <c r="AM154" i="8"/>
  <c r="AD154" i="8"/>
  <c r="AO154" i="8" s="1"/>
  <c r="K154" i="8"/>
  <c r="M154" i="8" s="1"/>
  <c r="F154" i="8"/>
  <c r="H154" i="8" s="1"/>
  <c r="C154" i="8"/>
  <c r="AJ153" i="8"/>
  <c r="AH153" i="8"/>
  <c r="AM153" i="8" s="1"/>
  <c r="AD153" i="8"/>
  <c r="X153" i="8"/>
  <c r="W153" i="8"/>
  <c r="AO153" i="8" s="1"/>
  <c r="O153" i="8"/>
  <c r="K153" i="8"/>
  <c r="M153" i="8" s="1"/>
  <c r="H153" i="8"/>
  <c r="F153" i="8"/>
  <c r="C153" i="8"/>
  <c r="AH152" i="8"/>
  <c r="AM152" i="8" s="1"/>
  <c r="AD152" i="8"/>
  <c r="W152" i="8"/>
  <c r="AO152" i="8" s="1"/>
  <c r="T152" i="8"/>
  <c r="O152" i="8"/>
  <c r="K152" i="8"/>
  <c r="M152" i="8" s="1"/>
  <c r="H152" i="8"/>
  <c r="F152" i="8"/>
  <c r="C152" i="8"/>
  <c r="AM151" i="8"/>
  <c r="AD151" i="8"/>
  <c r="X151" i="8"/>
  <c r="AO151" i="8" s="1"/>
  <c r="K151" i="8"/>
  <c r="M151" i="8" s="1"/>
  <c r="F151" i="8"/>
  <c r="H151" i="8" s="1"/>
  <c r="E151" i="8"/>
  <c r="J151" i="8" s="1"/>
  <c r="U151" i="8" s="1"/>
  <c r="AR151" i="8" s="1"/>
  <c r="C151" i="8"/>
  <c r="I151" i="8" s="1"/>
  <c r="AM150" i="8"/>
  <c r="AD150" i="8"/>
  <c r="AO150" i="8" s="1"/>
  <c r="K150" i="8"/>
  <c r="M150" i="8" s="1"/>
  <c r="H150" i="8"/>
  <c r="F150" i="8"/>
  <c r="C150" i="8"/>
  <c r="AH149" i="8"/>
  <c r="AM149" i="8" s="1"/>
  <c r="AD149" i="8"/>
  <c r="W149" i="8"/>
  <c r="AO149" i="8" s="1"/>
  <c r="K149" i="8"/>
  <c r="M149" i="8" s="1"/>
  <c r="F149" i="8"/>
  <c r="H149" i="8" s="1"/>
  <c r="C149" i="8"/>
  <c r="AM148" i="8"/>
  <c r="AD148" i="8"/>
  <c r="W148" i="8"/>
  <c r="AO148" i="8" s="1"/>
  <c r="K148" i="8"/>
  <c r="M148" i="8" s="1"/>
  <c r="F148" i="8"/>
  <c r="H148" i="8" s="1"/>
  <c r="C148" i="8"/>
  <c r="AM147" i="8"/>
  <c r="AD147" i="8"/>
  <c r="AO147" i="8" s="1"/>
  <c r="M147" i="8"/>
  <c r="K147" i="8"/>
  <c r="H147" i="8"/>
  <c r="F147" i="8"/>
  <c r="C147" i="8"/>
  <c r="AH146" i="8"/>
  <c r="AG146" i="8"/>
  <c r="AM146" i="8" s="1"/>
  <c r="AD146" i="8"/>
  <c r="W146" i="8"/>
  <c r="AO146" i="8" s="1"/>
  <c r="O146" i="8"/>
  <c r="K146" i="8"/>
  <c r="M146" i="8" s="1"/>
  <c r="H146" i="8"/>
  <c r="F146" i="8"/>
  <c r="C146" i="8"/>
  <c r="AH145" i="8"/>
  <c r="AM145" i="8" s="1"/>
  <c r="AD145" i="8"/>
  <c r="AO145" i="8" s="1"/>
  <c r="K145" i="8"/>
  <c r="M145" i="8" s="1"/>
  <c r="F145" i="8"/>
  <c r="H145" i="8" s="1"/>
  <c r="C145" i="8"/>
  <c r="AG144" i="8"/>
  <c r="AM144" i="8" s="1"/>
  <c r="AD144" i="8"/>
  <c r="X144" i="8"/>
  <c r="W144" i="8"/>
  <c r="AO144" i="8" s="1"/>
  <c r="K144" i="8"/>
  <c r="M144" i="8" s="1"/>
  <c r="F144" i="8"/>
  <c r="H144" i="8" s="1"/>
  <c r="C144" i="8"/>
  <c r="AH143" i="8"/>
  <c r="AM143" i="8" s="1"/>
  <c r="AD143" i="8"/>
  <c r="W143" i="8"/>
  <c r="AO143" i="8" s="1"/>
  <c r="K143" i="8"/>
  <c r="M143" i="8" s="1"/>
  <c r="F143" i="8"/>
  <c r="H143" i="8" s="1"/>
  <c r="C143" i="8"/>
  <c r="AH142" i="8"/>
  <c r="AM142" i="8" s="1"/>
  <c r="AD142" i="8"/>
  <c r="AO142" i="8" s="1"/>
  <c r="N142" i="8"/>
  <c r="K142" i="8"/>
  <c r="M142" i="8" s="1"/>
  <c r="F142" i="8"/>
  <c r="H142" i="8" s="1"/>
  <c r="C142" i="8"/>
  <c r="AH141" i="8"/>
  <c r="AM141" i="8" s="1"/>
  <c r="AD141" i="8"/>
  <c r="X141" i="8"/>
  <c r="W141" i="8"/>
  <c r="AO141" i="8" s="1"/>
  <c r="T141" i="8"/>
  <c r="O141" i="8"/>
  <c r="K141" i="8"/>
  <c r="M141" i="8" s="1"/>
  <c r="H141" i="8"/>
  <c r="F141" i="8"/>
  <c r="C141" i="8"/>
  <c r="AH140" i="8"/>
  <c r="AM140" i="8" s="1"/>
  <c r="AD140" i="8"/>
  <c r="AO140" i="8" s="1"/>
  <c r="K140" i="8"/>
  <c r="M140" i="8" s="1"/>
  <c r="F140" i="8"/>
  <c r="H140" i="8" s="1"/>
  <c r="C140" i="8"/>
  <c r="AH139" i="8"/>
  <c r="AM139" i="8" s="1"/>
  <c r="AD139" i="8"/>
  <c r="X139" i="8"/>
  <c r="AO139" i="8" s="1"/>
  <c r="T139" i="8"/>
  <c r="N139" i="8"/>
  <c r="K139" i="8"/>
  <c r="M139" i="8" s="1"/>
  <c r="F139" i="8"/>
  <c r="H139" i="8" s="1"/>
  <c r="C139" i="8"/>
  <c r="AM138" i="8"/>
  <c r="AD138" i="8"/>
  <c r="AO138" i="8" s="1"/>
  <c r="K138" i="8"/>
  <c r="M138" i="8" s="1"/>
  <c r="F138" i="8"/>
  <c r="H138" i="8" s="1"/>
  <c r="C138" i="8"/>
  <c r="AM137" i="8"/>
  <c r="AD137" i="8"/>
  <c r="AO137" i="8" s="1"/>
  <c r="K137" i="8"/>
  <c r="M137" i="8" s="1"/>
  <c r="F137" i="8"/>
  <c r="H137" i="8" s="1"/>
  <c r="C137" i="8"/>
  <c r="AM136" i="8"/>
  <c r="AD136" i="8"/>
  <c r="W136" i="8"/>
  <c r="AO136" i="8" s="1"/>
  <c r="M136" i="8"/>
  <c r="K136" i="8"/>
  <c r="F136" i="8"/>
  <c r="H136" i="8" s="1"/>
  <c r="C136" i="8"/>
  <c r="AH135" i="8"/>
  <c r="AM135" i="8" s="1"/>
  <c r="AD135" i="8"/>
  <c r="AO135" i="8" s="1"/>
  <c r="O135" i="8"/>
  <c r="K135" i="8"/>
  <c r="M135" i="8" s="1"/>
  <c r="F135" i="8"/>
  <c r="H135" i="8" s="1"/>
  <c r="C135" i="8"/>
  <c r="AH134" i="8"/>
  <c r="AM134" i="8" s="1"/>
  <c r="AD134" i="8"/>
  <c r="AO134" i="8" s="1"/>
  <c r="K134" i="8"/>
  <c r="M134" i="8" s="1"/>
  <c r="F134" i="8"/>
  <c r="H134" i="8" s="1"/>
  <c r="C134" i="8"/>
  <c r="AM133" i="8"/>
  <c r="AD133" i="8"/>
  <c r="AO133" i="8" s="1"/>
  <c r="K133" i="8"/>
  <c r="M133" i="8" s="1"/>
  <c r="F133" i="8"/>
  <c r="H133" i="8" s="1"/>
  <c r="C133" i="8"/>
  <c r="AH132" i="8"/>
  <c r="AM132" i="8" s="1"/>
  <c r="AD132" i="8"/>
  <c r="W132" i="8"/>
  <c r="AO132" i="8" s="1"/>
  <c r="N132" i="8"/>
  <c r="K132" i="8"/>
  <c r="M132" i="8" s="1"/>
  <c r="F132" i="8"/>
  <c r="H132" i="8" s="1"/>
  <c r="C132" i="8"/>
  <c r="AH131" i="8"/>
  <c r="AM131" i="8" s="1"/>
  <c r="AD131" i="8"/>
  <c r="X131" i="8"/>
  <c r="W131" i="8"/>
  <c r="AO131" i="8" s="1"/>
  <c r="N131" i="8"/>
  <c r="K131" i="8"/>
  <c r="M131" i="8" s="1"/>
  <c r="F131" i="8"/>
  <c r="H131" i="8" s="1"/>
  <c r="C131" i="8"/>
  <c r="AJ130" i="8"/>
  <c r="AM130" i="8" s="1"/>
  <c r="AD130" i="8"/>
  <c r="W130" i="8"/>
  <c r="AO130" i="8" s="1"/>
  <c r="K130" i="8"/>
  <c r="M130" i="8" s="1"/>
  <c r="F130" i="8"/>
  <c r="H130" i="8" s="1"/>
  <c r="C130" i="8"/>
  <c r="AM129" i="8"/>
  <c r="AH129" i="8"/>
  <c r="AD129" i="8"/>
  <c r="W129" i="8"/>
  <c r="AO129" i="8" s="1"/>
  <c r="N129" i="8"/>
  <c r="K129" i="8"/>
  <c r="M129" i="8" s="1"/>
  <c r="F129" i="8"/>
  <c r="H129" i="8" s="1"/>
  <c r="C129" i="8"/>
  <c r="AH128" i="8"/>
  <c r="AM128" i="8" s="1"/>
  <c r="AD128" i="8"/>
  <c r="W128" i="8"/>
  <c r="AO128" i="8" s="1"/>
  <c r="S128" i="8"/>
  <c r="K128" i="8"/>
  <c r="M128" i="8" s="1"/>
  <c r="F128" i="8"/>
  <c r="H128" i="8" s="1"/>
  <c r="C128" i="8"/>
  <c r="AH127" i="8"/>
  <c r="AM127" i="8" s="1"/>
  <c r="AD127" i="8"/>
  <c r="X127" i="8"/>
  <c r="W127" i="8"/>
  <c r="AO127" i="8" s="1"/>
  <c r="T127" i="8"/>
  <c r="K127" i="8"/>
  <c r="M127" i="8" s="1"/>
  <c r="F127" i="8"/>
  <c r="H127" i="8" s="1"/>
  <c r="C127" i="8"/>
  <c r="AH126" i="8"/>
  <c r="AM126" i="8" s="1"/>
  <c r="AD126" i="8"/>
  <c r="X126" i="8"/>
  <c r="W126" i="8"/>
  <c r="AO126" i="8" s="1"/>
  <c r="K126" i="8"/>
  <c r="M126" i="8" s="1"/>
  <c r="F126" i="8"/>
  <c r="H126" i="8" s="1"/>
  <c r="C126" i="8"/>
  <c r="AH125" i="8"/>
  <c r="AM125" i="8" s="1"/>
  <c r="AD125" i="8"/>
  <c r="AO125" i="8" s="1"/>
  <c r="K125" i="8"/>
  <c r="M125" i="8" s="1"/>
  <c r="F125" i="8"/>
  <c r="H125" i="8" s="1"/>
  <c r="C125" i="8"/>
  <c r="AH124" i="8"/>
  <c r="AM124" i="8" s="1"/>
  <c r="AD124" i="8"/>
  <c r="AO124" i="8" s="1"/>
  <c r="S124" i="8"/>
  <c r="K124" i="8"/>
  <c r="M124" i="8" s="1"/>
  <c r="F124" i="8"/>
  <c r="H124" i="8" s="1"/>
  <c r="C124" i="8"/>
  <c r="AH123" i="8"/>
  <c r="AM123" i="8" s="1"/>
  <c r="AD123" i="8"/>
  <c r="AO123" i="8" s="1"/>
  <c r="K123" i="8"/>
  <c r="M123" i="8" s="1"/>
  <c r="F123" i="8"/>
  <c r="H123" i="8" s="1"/>
  <c r="C123" i="8"/>
  <c r="AJ122" i="8"/>
  <c r="AM122" i="8" s="1"/>
  <c r="AD122" i="8"/>
  <c r="AO122" i="8" s="1"/>
  <c r="O122" i="8"/>
  <c r="N122" i="8"/>
  <c r="K122" i="8"/>
  <c r="M122" i="8" s="1"/>
  <c r="F122" i="8"/>
  <c r="H122" i="8" s="1"/>
  <c r="C122" i="8"/>
  <c r="AH121" i="8"/>
  <c r="AM121" i="8" s="1"/>
  <c r="AD121" i="8"/>
  <c r="X121" i="8"/>
  <c r="W121" i="8"/>
  <c r="AO121" i="8" s="1"/>
  <c r="T121" i="8"/>
  <c r="N121" i="8"/>
  <c r="K121" i="8"/>
  <c r="M121" i="8" s="1"/>
  <c r="F121" i="8"/>
  <c r="H121" i="8" s="1"/>
  <c r="C121" i="8"/>
  <c r="AM120" i="8"/>
  <c r="AD120" i="8"/>
  <c r="AO120" i="8" s="1"/>
  <c r="K120" i="8"/>
  <c r="M120" i="8" s="1"/>
  <c r="F120" i="8"/>
  <c r="H120" i="8" s="1"/>
  <c r="C120" i="8"/>
  <c r="AJ119" i="8"/>
  <c r="AM119" i="8" s="1"/>
  <c r="AD119" i="8"/>
  <c r="AO119" i="8" s="1"/>
  <c r="N119" i="8"/>
  <c r="K119" i="8"/>
  <c r="M119" i="8" s="1"/>
  <c r="F119" i="8"/>
  <c r="H119" i="8" s="1"/>
  <c r="C119" i="8"/>
  <c r="AJ118" i="8"/>
  <c r="AM118" i="8" s="1"/>
  <c r="AD118" i="8"/>
  <c r="AO118" i="8" s="1"/>
  <c r="K118" i="8"/>
  <c r="M118" i="8" s="1"/>
  <c r="F118" i="8"/>
  <c r="H118" i="8" s="1"/>
  <c r="C118" i="8"/>
  <c r="AM117" i="8"/>
  <c r="AD117" i="8"/>
  <c r="AO117" i="8" s="1"/>
  <c r="K117" i="8"/>
  <c r="M117" i="8" s="1"/>
  <c r="F117" i="8"/>
  <c r="H117" i="8" s="1"/>
  <c r="C117" i="8"/>
  <c r="AH116" i="8"/>
  <c r="AM116" i="8" s="1"/>
  <c r="AD116" i="8"/>
  <c r="AO116" i="8" s="1"/>
  <c r="K116" i="8"/>
  <c r="M116" i="8" s="1"/>
  <c r="F116" i="8"/>
  <c r="H116" i="8" s="1"/>
  <c r="C116" i="8"/>
  <c r="AJ115" i="8"/>
  <c r="AH115" i="8"/>
  <c r="AM115" i="8" s="1"/>
  <c r="AD115" i="8"/>
  <c r="AO115" i="8" s="1"/>
  <c r="K115" i="8"/>
  <c r="M115" i="8" s="1"/>
  <c r="F115" i="8"/>
  <c r="H115" i="8" s="1"/>
  <c r="C115" i="8"/>
  <c r="AM114" i="8"/>
  <c r="AD114" i="8"/>
  <c r="X114" i="8"/>
  <c r="AO114" i="8" s="1"/>
  <c r="T114" i="8"/>
  <c r="N114" i="8"/>
  <c r="K114" i="8"/>
  <c r="M114" i="8" s="1"/>
  <c r="F114" i="8"/>
  <c r="H114" i="8" s="1"/>
  <c r="C114" i="8"/>
  <c r="AM113" i="8"/>
  <c r="AD113" i="8"/>
  <c r="AO113" i="8" s="1"/>
  <c r="K113" i="8"/>
  <c r="M113" i="8" s="1"/>
  <c r="F113" i="8"/>
  <c r="H113" i="8" s="1"/>
  <c r="C113" i="8"/>
  <c r="AM112" i="8"/>
  <c r="AJ112" i="8"/>
  <c r="AD112" i="8"/>
  <c r="W112" i="8"/>
  <c r="AO112" i="8" s="1"/>
  <c r="K112" i="8"/>
  <c r="M112" i="8" s="1"/>
  <c r="F112" i="8"/>
  <c r="H112" i="8" s="1"/>
  <c r="C112" i="8"/>
  <c r="AH111" i="8"/>
  <c r="AM111" i="8" s="1"/>
  <c r="AD111" i="8"/>
  <c r="AO111" i="8" s="1"/>
  <c r="N111" i="8"/>
  <c r="K111" i="8"/>
  <c r="M111" i="8" s="1"/>
  <c r="H111" i="8"/>
  <c r="F111" i="8"/>
  <c r="C111" i="8"/>
  <c r="AM110" i="8"/>
  <c r="AD110" i="8"/>
  <c r="AO110" i="8" s="1"/>
  <c r="S110" i="8"/>
  <c r="N110" i="8"/>
  <c r="K110" i="8"/>
  <c r="M110" i="8" s="1"/>
  <c r="F110" i="8"/>
  <c r="H110" i="8" s="1"/>
  <c r="C110" i="8"/>
  <c r="AM109" i="8"/>
  <c r="AD109" i="8"/>
  <c r="W109" i="8"/>
  <c r="AO109" i="8" s="1"/>
  <c r="N109" i="8"/>
  <c r="K109" i="8"/>
  <c r="M109" i="8" s="1"/>
  <c r="F109" i="8"/>
  <c r="H109" i="8" s="1"/>
  <c r="C109" i="8"/>
  <c r="AM108" i="8"/>
  <c r="AD108" i="8"/>
  <c r="X108" i="8"/>
  <c r="W108" i="8"/>
  <c r="AO108" i="8" s="1"/>
  <c r="K108" i="8"/>
  <c r="M108" i="8" s="1"/>
  <c r="H108" i="8"/>
  <c r="F108" i="8"/>
  <c r="C108" i="8"/>
  <c r="AJ107" i="8"/>
  <c r="AM107" i="8" s="1"/>
  <c r="AD107" i="8"/>
  <c r="X107" i="8"/>
  <c r="W107" i="8"/>
  <c r="AO107" i="8" s="1"/>
  <c r="K107" i="8"/>
  <c r="M107" i="8" s="1"/>
  <c r="F107" i="8"/>
  <c r="H107" i="8" s="1"/>
  <c r="C107" i="8"/>
  <c r="AM106" i="8"/>
  <c r="AD106" i="8"/>
  <c r="W106" i="8"/>
  <c r="AO106" i="8" s="1"/>
  <c r="S106" i="8"/>
  <c r="N106" i="8"/>
  <c r="K106" i="8"/>
  <c r="M106" i="8" s="1"/>
  <c r="F106" i="8"/>
  <c r="H106" i="8" s="1"/>
  <c r="C106" i="8"/>
  <c r="AM105" i="8"/>
  <c r="AD105" i="8"/>
  <c r="AO105" i="8" s="1"/>
  <c r="K105" i="8"/>
  <c r="M105" i="8" s="1"/>
  <c r="F105" i="8"/>
  <c r="H105" i="8" s="1"/>
  <c r="E105" i="8"/>
  <c r="J105" i="8" s="1"/>
  <c r="U105" i="8" s="1"/>
  <c r="AR105" i="8" s="1"/>
  <c r="C105" i="8"/>
  <c r="I105" i="8" s="1"/>
  <c r="AM104" i="8"/>
  <c r="AD104" i="8"/>
  <c r="X104" i="8"/>
  <c r="W104" i="8"/>
  <c r="AO104" i="8" s="1"/>
  <c r="K104" i="8"/>
  <c r="M104" i="8" s="1"/>
  <c r="F104" i="8"/>
  <c r="H104" i="8" s="1"/>
  <c r="C104" i="8"/>
  <c r="AM103" i="8"/>
  <c r="AD103" i="8"/>
  <c r="AO103" i="8" s="1"/>
  <c r="K103" i="8"/>
  <c r="M103" i="8" s="1"/>
  <c r="F103" i="8"/>
  <c r="H103" i="8" s="1"/>
  <c r="C103" i="8"/>
  <c r="AH102" i="8"/>
  <c r="AM102" i="8" s="1"/>
  <c r="AD102" i="8"/>
  <c r="W102" i="8"/>
  <c r="AO102" i="8" s="1"/>
  <c r="K102" i="8"/>
  <c r="M102" i="8" s="1"/>
  <c r="F102" i="8"/>
  <c r="H102" i="8" s="1"/>
  <c r="C102" i="8"/>
  <c r="AM101" i="8"/>
  <c r="AD101" i="8"/>
  <c r="AO101" i="8" s="1"/>
  <c r="K101" i="8"/>
  <c r="M101" i="8" s="1"/>
  <c r="F101" i="8"/>
  <c r="H101" i="8" s="1"/>
  <c r="C101" i="8"/>
  <c r="AM100" i="8"/>
  <c r="AD100" i="8"/>
  <c r="W100" i="8"/>
  <c r="AO100" i="8" s="1"/>
  <c r="K100" i="8"/>
  <c r="M100" i="8" s="1"/>
  <c r="F100" i="8"/>
  <c r="H100" i="8" s="1"/>
  <c r="C100" i="8"/>
  <c r="AJ99" i="8"/>
  <c r="AM99" i="8" s="1"/>
  <c r="AD99" i="8"/>
  <c r="W99" i="8"/>
  <c r="AO99" i="8" s="1"/>
  <c r="K99" i="8"/>
  <c r="M99" i="8" s="1"/>
  <c r="F99" i="8"/>
  <c r="H99" i="8" s="1"/>
  <c r="C99" i="8"/>
  <c r="AH98" i="8"/>
  <c r="AM98" i="8" s="1"/>
  <c r="AD98" i="8"/>
  <c r="AO98" i="8" s="1"/>
  <c r="S98" i="8"/>
  <c r="K98" i="8"/>
  <c r="M98" i="8" s="1"/>
  <c r="F98" i="8"/>
  <c r="H98" i="8" s="1"/>
  <c r="C98" i="8"/>
  <c r="AM97" i="8"/>
  <c r="AD97" i="8"/>
  <c r="X97" i="8"/>
  <c r="AO97" i="8" s="1"/>
  <c r="N97" i="8"/>
  <c r="K97" i="8"/>
  <c r="M97" i="8" s="1"/>
  <c r="F97" i="8"/>
  <c r="H97" i="8" s="1"/>
  <c r="C97" i="8"/>
  <c r="AM96" i="8"/>
  <c r="AD96" i="8"/>
  <c r="W96" i="8"/>
  <c r="AO96" i="8" s="1"/>
  <c r="S96" i="8"/>
  <c r="K96" i="8"/>
  <c r="M96" i="8" s="1"/>
  <c r="F96" i="8"/>
  <c r="H96" i="8" s="1"/>
  <c r="C96" i="8"/>
  <c r="AH95" i="8"/>
  <c r="AM95" i="8" s="1"/>
  <c r="AD95" i="8"/>
  <c r="X95" i="8"/>
  <c r="W95" i="8"/>
  <c r="AO95" i="8" s="1"/>
  <c r="S95" i="8"/>
  <c r="N95" i="8"/>
  <c r="K95" i="8"/>
  <c r="M95" i="8" s="1"/>
  <c r="F95" i="8"/>
  <c r="H95" i="8" s="1"/>
  <c r="C95" i="8"/>
  <c r="AJ94" i="8"/>
  <c r="AM94" i="8" s="1"/>
  <c r="AD94" i="8"/>
  <c r="AO94" i="8" s="1"/>
  <c r="N94" i="8"/>
  <c r="K94" i="8"/>
  <c r="M94" i="8" s="1"/>
  <c r="F94" i="8"/>
  <c r="H94" i="8" s="1"/>
  <c r="C94" i="8"/>
  <c r="AM93" i="8"/>
  <c r="AD93" i="8"/>
  <c r="W93" i="8"/>
  <c r="AO93" i="8" s="1"/>
  <c r="N93" i="8"/>
  <c r="K93" i="8"/>
  <c r="M93" i="8" s="1"/>
  <c r="F93" i="8"/>
  <c r="H93" i="8" s="1"/>
  <c r="C93" i="8"/>
  <c r="AH92" i="8"/>
  <c r="AM92" i="8" s="1"/>
  <c r="AD92" i="8"/>
  <c r="X92" i="8"/>
  <c r="AO92" i="8" s="1"/>
  <c r="N92" i="8"/>
  <c r="K92" i="8"/>
  <c r="M92" i="8" s="1"/>
  <c r="F92" i="8"/>
  <c r="H92" i="8" s="1"/>
  <c r="C92" i="8"/>
  <c r="AM91" i="8"/>
  <c r="AD91" i="8"/>
  <c r="AO91" i="8" s="1"/>
  <c r="K91" i="8"/>
  <c r="M91" i="8" s="1"/>
  <c r="F91" i="8"/>
  <c r="H91" i="8" s="1"/>
  <c r="C91" i="8"/>
  <c r="AM90" i="8"/>
  <c r="AD90" i="8"/>
  <c r="W90" i="8"/>
  <c r="AO90" i="8" s="1"/>
  <c r="S90" i="8"/>
  <c r="K90" i="8"/>
  <c r="M90" i="8" s="1"/>
  <c r="F90" i="8"/>
  <c r="H90" i="8" s="1"/>
  <c r="C90" i="8"/>
  <c r="AM89" i="8"/>
  <c r="AD89" i="8"/>
  <c r="W89" i="8"/>
  <c r="AO89" i="8" s="1"/>
  <c r="S89" i="8"/>
  <c r="K89" i="8"/>
  <c r="M89" i="8" s="1"/>
  <c r="F89" i="8"/>
  <c r="H89" i="8" s="1"/>
  <c r="C89" i="8"/>
  <c r="AJ88" i="8"/>
  <c r="AM88" i="8" s="1"/>
  <c r="AD88" i="8"/>
  <c r="W88" i="8"/>
  <c r="AO88" i="8" s="1"/>
  <c r="K88" i="8"/>
  <c r="M88" i="8" s="1"/>
  <c r="F88" i="8"/>
  <c r="H88" i="8" s="1"/>
  <c r="C88" i="8"/>
  <c r="AH87" i="8"/>
  <c r="AM87" i="8" s="1"/>
  <c r="AD87" i="8"/>
  <c r="W87" i="8"/>
  <c r="AO87" i="8" s="1"/>
  <c r="N87" i="8"/>
  <c r="K87" i="8"/>
  <c r="M87" i="8" s="1"/>
  <c r="F87" i="8"/>
  <c r="H87" i="8" s="1"/>
  <c r="C87" i="8"/>
  <c r="AM86" i="8"/>
  <c r="AD86" i="8"/>
  <c r="AO86" i="8" s="1"/>
  <c r="N86" i="8"/>
  <c r="K86" i="8"/>
  <c r="M86" i="8" s="1"/>
  <c r="F86" i="8"/>
  <c r="H86" i="8" s="1"/>
  <c r="C86" i="8"/>
  <c r="AF85" i="8"/>
  <c r="AM85" i="8" s="1"/>
  <c r="AD85" i="8"/>
  <c r="AO85" i="8" s="1"/>
  <c r="S85" i="8"/>
  <c r="K85" i="8"/>
  <c r="M85" i="8" s="1"/>
  <c r="F85" i="8"/>
  <c r="H85" i="8" s="1"/>
  <c r="C85" i="8"/>
  <c r="AM84" i="8"/>
  <c r="AD84" i="8"/>
  <c r="AO84" i="8" s="1"/>
  <c r="K84" i="8"/>
  <c r="M84" i="8" s="1"/>
  <c r="F84" i="8"/>
  <c r="H84" i="8" s="1"/>
  <c r="C84" i="8"/>
  <c r="AM83" i="8"/>
  <c r="AD83" i="8"/>
  <c r="AO83" i="8" s="1"/>
  <c r="K83" i="8"/>
  <c r="M83" i="8" s="1"/>
  <c r="F83" i="8"/>
  <c r="H83" i="8" s="1"/>
  <c r="C83" i="8"/>
  <c r="AM82" i="8"/>
  <c r="AD82" i="8"/>
  <c r="AO82" i="8" s="1"/>
  <c r="N82" i="8"/>
  <c r="K82" i="8"/>
  <c r="M82" i="8" s="1"/>
  <c r="F82" i="8"/>
  <c r="H82" i="8" s="1"/>
  <c r="C82" i="8"/>
  <c r="AM81" i="8"/>
  <c r="AD81" i="8"/>
  <c r="W81" i="8"/>
  <c r="AO81" i="8" s="1"/>
  <c r="K81" i="8"/>
  <c r="M81" i="8" s="1"/>
  <c r="F81" i="8"/>
  <c r="H81" i="8" s="1"/>
  <c r="C81" i="8"/>
  <c r="AM80" i="8"/>
  <c r="AD80" i="8"/>
  <c r="AO80" i="8" s="1"/>
  <c r="K80" i="8"/>
  <c r="M80" i="8" s="1"/>
  <c r="F80" i="8"/>
  <c r="H80" i="8" s="1"/>
  <c r="C80" i="8"/>
  <c r="AO79" i="8"/>
  <c r="AM79" i="8"/>
  <c r="AD79" i="8"/>
  <c r="N79" i="8"/>
  <c r="K79" i="8"/>
  <c r="M79" i="8" s="1"/>
  <c r="F79" i="8"/>
  <c r="H79" i="8" s="1"/>
  <c r="C79" i="8"/>
  <c r="AM78" i="8"/>
  <c r="AD78" i="8"/>
  <c r="AO78" i="8" s="1"/>
  <c r="K78" i="8"/>
  <c r="M78" i="8" s="1"/>
  <c r="F78" i="8"/>
  <c r="H78" i="8" s="1"/>
  <c r="C78" i="8"/>
  <c r="AH77" i="8"/>
  <c r="AM77" i="8" s="1"/>
  <c r="AD77" i="8"/>
  <c r="AO77" i="8" s="1"/>
  <c r="S77" i="8"/>
  <c r="K77" i="8"/>
  <c r="M77" i="8" s="1"/>
  <c r="F77" i="8"/>
  <c r="H77" i="8" s="1"/>
  <c r="C77" i="8"/>
  <c r="AM76" i="8"/>
  <c r="AD76" i="8"/>
  <c r="AO76" i="8" s="1"/>
  <c r="K76" i="8"/>
  <c r="M76" i="8" s="1"/>
  <c r="F76" i="8"/>
  <c r="H76" i="8" s="1"/>
  <c r="C76" i="8"/>
  <c r="AM75" i="8"/>
  <c r="AD75" i="8"/>
  <c r="AO75" i="8" s="1"/>
  <c r="K75" i="8"/>
  <c r="M75" i="8" s="1"/>
  <c r="F75" i="8"/>
  <c r="H75" i="8" s="1"/>
  <c r="E75" i="8"/>
  <c r="J75" i="8" s="1"/>
  <c r="U75" i="8" s="1"/>
  <c r="AR75" i="8" s="1"/>
  <c r="C75" i="8"/>
  <c r="I75" i="8" s="1"/>
  <c r="AM74" i="8"/>
  <c r="AD74" i="8"/>
  <c r="AO74" i="8" s="1"/>
  <c r="K74" i="8"/>
  <c r="M74" i="8" s="1"/>
  <c r="F74" i="8"/>
  <c r="H74" i="8" s="1"/>
  <c r="C74" i="8"/>
  <c r="AM73" i="8"/>
  <c r="AD73" i="8"/>
  <c r="AO73" i="8" s="1"/>
  <c r="K73" i="8"/>
  <c r="M73" i="8" s="1"/>
  <c r="F73" i="8"/>
  <c r="H73" i="8" s="1"/>
  <c r="C73" i="8"/>
  <c r="AM72" i="8"/>
  <c r="AD72" i="8"/>
  <c r="X72" i="8"/>
  <c r="AO72" i="8" s="1"/>
  <c r="K72" i="8"/>
  <c r="M72" i="8" s="1"/>
  <c r="F72" i="8"/>
  <c r="H72" i="8" s="1"/>
  <c r="C72" i="8"/>
  <c r="AM71" i="8"/>
  <c r="AD71" i="8"/>
  <c r="AO71" i="8" s="1"/>
  <c r="K71" i="8"/>
  <c r="M71" i="8" s="1"/>
  <c r="F71" i="8"/>
  <c r="H71" i="8" s="1"/>
  <c r="C71" i="8"/>
  <c r="AM70" i="8"/>
  <c r="AD70" i="8"/>
  <c r="AO70" i="8" s="1"/>
  <c r="K70" i="8"/>
  <c r="M70" i="8" s="1"/>
  <c r="F70" i="8"/>
  <c r="H70" i="8" s="1"/>
  <c r="C70" i="8"/>
  <c r="AM69" i="8"/>
  <c r="AD69" i="8"/>
  <c r="AO69" i="8" s="1"/>
  <c r="N69" i="8"/>
  <c r="K69" i="8"/>
  <c r="M69" i="8" s="1"/>
  <c r="F69" i="8"/>
  <c r="H69" i="8" s="1"/>
  <c r="C69" i="8"/>
  <c r="AM68" i="8"/>
  <c r="AD68" i="8"/>
  <c r="AO68" i="8" s="1"/>
  <c r="K68" i="8"/>
  <c r="M68" i="8" s="1"/>
  <c r="F68" i="8"/>
  <c r="H68" i="8" s="1"/>
  <c r="C68" i="8"/>
  <c r="AM67" i="8"/>
  <c r="AD67" i="8"/>
  <c r="X67" i="8"/>
  <c r="W67" i="8"/>
  <c r="AO67" i="8" s="1"/>
  <c r="T67" i="8"/>
  <c r="K67" i="8"/>
  <c r="M67" i="8" s="1"/>
  <c r="F67" i="8"/>
  <c r="H67" i="8" s="1"/>
  <c r="C67" i="8"/>
  <c r="AM66" i="8"/>
  <c r="AD66" i="8"/>
  <c r="X66" i="8"/>
  <c r="AO66" i="8" s="1"/>
  <c r="K66" i="8"/>
  <c r="M66" i="8" s="1"/>
  <c r="H66" i="8"/>
  <c r="F66" i="8"/>
  <c r="C66" i="8"/>
  <c r="AM65" i="8"/>
  <c r="AD65" i="8"/>
  <c r="AO65" i="8" s="1"/>
  <c r="K65" i="8"/>
  <c r="M65" i="8" s="1"/>
  <c r="F65" i="8"/>
  <c r="H65" i="8" s="1"/>
  <c r="C65" i="8"/>
  <c r="AM64" i="8"/>
  <c r="AD64" i="8"/>
  <c r="AO64" i="8" s="1"/>
  <c r="K64" i="8"/>
  <c r="M64" i="8" s="1"/>
  <c r="F64" i="8"/>
  <c r="H64" i="8" s="1"/>
  <c r="C64" i="8"/>
  <c r="AM63" i="8"/>
  <c r="AD63" i="8"/>
  <c r="AO63" i="8" s="1"/>
  <c r="S63" i="8"/>
  <c r="K63" i="8"/>
  <c r="M63" i="8" s="1"/>
  <c r="F63" i="8"/>
  <c r="H63" i="8" s="1"/>
  <c r="C63" i="8"/>
  <c r="AM62" i="8"/>
  <c r="AD62" i="8"/>
  <c r="W62" i="8"/>
  <c r="AO62" i="8" s="1"/>
  <c r="K62" i="8"/>
  <c r="M62" i="8" s="1"/>
  <c r="F62" i="8"/>
  <c r="H62" i="8" s="1"/>
  <c r="C62" i="8"/>
  <c r="AH61" i="8"/>
  <c r="AM61" i="8" s="1"/>
  <c r="AD61" i="8"/>
  <c r="W61" i="8"/>
  <c r="AO61" i="8" s="1"/>
  <c r="K61" i="8"/>
  <c r="M61" i="8" s="1"/>
  <c r="F61" i="8"/>
  <c r="H61" i="8" s="1"/>
  <c r="C61" i="8"/>
  <c r="AH60" i="8"/>
  <c r="AM60" i="8" s="1"/>
  <c r="AD60" i="8"/>
  <c r="X60" i="8"/>
  <c r="W60" i="8"/>
  <c r="AO60" i="8" s="1"/>
  <c r="T60" i="8"/>
  <c r="N60" i="8"/>
  <c r="K60" i="8"/>
  <c r="M60" i="8" s="1"/>
  <c r="F60" i="8"/>
  <c r="H60" i="8" s="1"/>
  <c r="C60" i="8"/>
  <c r="AH59" i="8"/>
  <c r="AM59" i="8" s="1"/>
  <c r="AD59" i="8"/>
  <c r="X59" i="8"/>
  <c r="AO59" i="8" s="1"/>
  <c r="N59" i="8"/>
  <c r="K59" i="8"/>
  <c r="M59" i="8" s="1"/>
  <c r="F59" i="8"/>
  <c r="H59" i="8" s="1"/>
  <c r="C59" i="8"/>
  <c r="AM58" i="8"/>
  <c r="AD58" i="8"/>
  <c r="AO58" i="8" s="1"/>
  <c r="K58" i="8"/>
  <c r="M58" i="8" s="1"/>
  <c r="F58" i="8"/>
  <c r="H58" i="8" s="1"/>
  <c r="C58" i="8"/>
  <c r="AM57" i="8"/>
  <c r="AD57" i="8"/>
  <c r="X57" i="8"/>
  <c r="W57" i="8"/>
  <c r="AO57" i="8" s="1"/>
  <c r="T57" i="8"/>
  <c r="K57" i="8"/>
  <c r="M57" i="8" s="1"/>
  <c r="F57" i="8"/>
  <c r="H57" i="8" s="1"/>
  <c r="C57" i="8"/>
  <c r="AL56" i="8"/>
  <c r="AM56" i="8" s="1"/>
  <c r="AD56" i="8"/>
  <c r="W56" i="8"/>
  <c r="AO56" i="8" s="1"/>
  <c r="K56" i="8"/>
  <c r="M56" i="8" s="1"/>
  <c r="F56" i="8"/>
  <c r="H56" i="8" s="1"/>
  <c r="C56" i="8"/>
  <c r="AJ55" i="8"/>
  <c r="AM55" i="8" s="1"/>
  <c r="AD55" i="8"/>
  <c r="X55" i="8"/>
  <c r="W55" i="8"/>
  <c r="AO55" i="8" s="1"/>
  <c r="N55" i="8"/>
  <c r="K55" i="8"/>
  <c r="M55" i="8" s="1"/>
  <c r="F55" i="8"/>
  <c r="H55" i="8" s="1"/>
  <c r="C55" i="8"/>
  <c r="AM54" i="8"/>
  <c r="AD54" i="8"/>
  <c r="AO54" i="8" s="1"/>
  <c r="K54" i="8"/>
  <c r="M54" i="8" s="1"/>
  <c r="F54" i="8"/>
  <c r="H54" i="8" s="1"/>
  <c r="C54" i="8"/>
  <c r="AH53" i="8"/>
  <c r="AM53" i="8" s="1"/>
  <c r="AD53" i="8"/>
  <c r="AO53" i="8" s="1"/>
  <c r="S53" i="8"/>
  <c r="K53" i="8"/>
  <c r="M53" i="8" s="1"/>
  <c r="F53" i="8"/>
  <c r="H53" i="8" s="1"/>
  <c r="C53" i="8"/>
  <c r="AJ52" i="8"/>
  <c r="AM52" i="8" s="1"/>
  <c r="AD52" i="8"/>
  <c r="W52" i="8"/>
  <c r="AO52" i="8" s="1"/>
  <c r="S52" i="8"/>
  <c r="K52" i="8"/>
  <c r="M52" i="8" s="1"/>
  <c r="F52" i="8"/>
  <c r="H52" i="8" s="1"/>
  <c r="C52" i="8"/>
  <c r="AM51" i="8"/>
  <c r="AD51" i="8"/>
  <c r="X51" i="8"/>
  <c r="W51" i="8"/>
  <c r="AO51" i="8" s="1"/>
  <c r="T51" i="8"/>
  <c r="N51" i="8"/>
  <c r="K51" i="8"/>
  <c r="M51" i="8" s="1"/>
  <c r="F51" i="8"/>
  <c r="H51" i="8" s="1"/>
  <c r="C51" i="8"/>
  <c r="AM50" i="8"/>
  <c r="AD50" i="8"/>
  <c r="W50" i="8"/>
  <c r="AO50" i="8" s="1"/>
  <c r="N50" i="8"/>
  <c r="K50" i="8"/>
  <c r="M50" i="8" s="1"/>
  <c r="F50" i="8"/>
  <c r="H50" i="8" s="1"/>
  <c r="C50" i="8"/>
  <c r="AM49" i="8"/>
  <c r="AD49" i="8"/>
  <c r="AO49" i="8" s="1"/>
  <c r="K49" i="8"/>
  <c r="M49" i="8" s="1"/>
  <c r="F49" i="8"/>
  <c r="H49" i="8" s="1"/>
  <c r="C49" i="8"/>
  <c r="AH48" i="8"/>
  <c r="AM48" i="8" s="1"/>
  <c r="AD48" i="8"/>
  <c r="AO48" i="8" s="1"/>
  <c r="K48" i="8"/>
  <c r="M48" i="8" s="1"/>
  <c r="F48" i="8"/>
  <c r="H48" i="8" s="1"/>
  <c r="C48" i="8"/>
  <c r="AM47" i="8"/>
  <c r="AD47" i="8"/>
  <c r="W47" i="8"/>
  <c r="AO47" i="8" s="1"/>
  <c r="K47" i="8"/>
  <c r="M47" i="8" s="1"/>
  <c r="F47" i="8"/>
  <c r="H47" i="8" s="1"/>
  <c r="C47" i="8"/>
  <c r="AH46" i="8"/>
  <c r="AM46" i="8" s="1"/>
  <c r="AD46" i="8"/>
  <c r="W46" i="8"/>
  <c r="AO46" i="8" s="1"/>
  <c r="K46" i="8"/>
  <c r="M46" i="8" s="1"/>
  <c r="F46" i="8"/>
  <c r="H46" i="8" s="1"/>
  <c r="C46" i="8"/>
  <c r="AJ45" i="8"/>
  <c r="AM45" i="8" s="1"/>
  <c r="AD45" i="8"/>
  <c r="W45" i="8"/>
  <c r="AO45" i="8" s="1"/>
  <c r="M45" i="8"/>
  <c r="K45" i="8"/>
  <c r="F45" i="8"/>
  <c r="H45" i="8" s="1"/>
  <c r="C45" i="8"/>
  <c r="AM44" i="8"/>
  <c r="AD44" i="8"/>
  <c r="AO44" i="8" s="1"/>
  <c r="K44" i="8"/>
  <c r="M44" i="8" s="1"/>
  <c r="F44" i="8"/>
  <c r="H44" i="8" s="1"/>
  <c r="C44" i="8"/>
  <c r="AH43" i="8"/>
  <c r="AM43" i="8" s="1"/>
  <c r="AD43" i="8"/>
  <c r="W43" i="8"/>
  <c r="AO43" i="8" s="1"/>
  <c r="K43" i="8"/>
  <c r="M43" i="8" s="1"/>
  <c r="F43" i="8"/>
  <c r="H43" i="8" s="1"/>
  <c r="C43" i="8"/>
  <c r="AM42" i="8"/>
  <c r="AD42" i="8"/>
  <c r="AO42" i="8" s="1"/>
  <c r="K42" i="8"/>
  <c r="M42" i="8" s="1"/>
  <c r="F42" i="8"/>
  <c r="H42" i="8" s="1"/>
  <c r="C42" i="8"/>
  <c r="AH41" i="8"/>
  <c r="AM41" i="8" s="1"/>
  <c r="AD41" i="8"/>
  <c r="W41" i="8"/>
  <c r="AO41" i="8" s="1"/>
  <c r="K41" i="8"/>
  <c r="M41" i="8" s="1"/>
  <c r="F41" i="8"/>
  <c r="H41" i="8" s="1"/>
  <c r="C41" i="8"/>
  <c r="AM40" i="8"/>
  <c r="AD40" i="8"/>
  <c r="AO40" i="8" s="1"/>
  <c r="K40" i="8"/>
  <c r="M40" i="8" s="1"/>
  <c r="F40" i="8"/>
  <c r="H40" i="8" s="1"/>
  <c r="C40" i="8"/>
  <c r="AM39" i="8"/>
  <c r="AD39" i="8"/>
  <c r="W39" i="8"/>
  <c r="AO39" i="8" s="1"/>
  <c r="M39" i="8"/>
  <c r="K39" i="8"/>
  <c r="H39" i="8"/>
  <c r="F39" i="8"/>
  <c r="C39" i="8"/>
  <c r="AM38" i="8"/>
  <c r="AD38" i="8"/>
  <c r="AO38" i="8" s="1"/>
  <c r="K38" i="8"/>
  <c r="M38" i="8" s="1"/>
  <c r="F38" i="8"/>
  <c r="H38" i="8" s="1"/>
  <c r="C38" i="8"/>
  <c r="AM37" i="8"/>
  <c r="AD37" i="8"/>
  <c r="AO37" i="8" s="1"/>
  <c r="K37" i="8"/>
  <c r="M37" i="8" s="1"/>
  <c r="F37" i="8"/>
  <c r="H37" i="8" s="1"/>
  <c r="C37" i="8"/>
  <c r="AJ36" i="8"/>
  <c r="AH36" i="8"/>
  <c r="AM36" i="8" s="1"/>
  <c r="AD36" i="8"/>
  <c r="W36" i="8"/>
  <c r="AO36" i="8" s="1"/>
  <c r="K36" i="8"/>
  <c r="M36" i="8" s="1"/>
  <c r="F36" i="8"/>
  <c r="H36" i="8" s="1"/>
  <c r="C36" i="8"/>
  <c r="AH35" i="8"/>
  <c r="AM35" i="8" s="1"/>
  <c r="AD35" i="8"/>
  <c r="AO35" i="8" s="1"/>
  <c r="K35" i="8"/>
  <c r="M35" i="8" s="1"/>
  <c r="F35" i="8"/>
  <c r="H35" i="8" s="1"/>
  <c r="C35" i="8"/>
  <c r="AM34" i="8"/>
  <c r="AD34" i="8"/>
  <c r="AO34" i="8" s="1"/>
  <c r="K34" i="8"/>
  <c r="M34" i="8" s="1"/>
  <c r="F34" i="8"/>
  <c r="H34" i="8" s="1"/>
  <c r="C34" i="8"/>
  <c r="AH33" i="8"/>
  <c r="AM33" i="8" s="1"/>
  <c r="AD33" i="8"/>
  <c r="AO33" i="8" s="1"/>
  <c r="K33" i="8"/>
  <c r="M33" i="8" s="1"/>
  <c r="F33" i="8"/>
  <c r="H33" i="8" s="1"/>
  <c r="C33" i="8"/>
  <c r="AM32" i="8"/>
  <c r="AD32" i="8"/>
  <c r="W32" i="8"/>
  <c r="AO32" i="8" s="1"/>
  <c r="K32" i="8"/>
  <c r="M32" i="8" s="1"/>
  <c r="F32" i="8"/>
  <c r="H32" i="8" s="1"/>
  <c r="C32" i="8"/>
  <c r="AH31" i="8"/>
  <c r="AM31" i="8" s="1"/>
  <c r="AD31" i="8"/>
  <c r="W31" i="8"/>
  <c r="AO31" i="8" s="1"/>
  <c r="K31" i="8"/>
  <c r="M31" i="8" s="1"/>
  <c r="F31" i="8"/>
  <c r="H31" i="8" s="1"/>
  <c r="C31" i="8"/>
  <c r="AM30" i="8"/>
  <c r="AD30" i="8"/>
  <c r="AO30" i="8" s="1"/>
  <c r="K30" i="8"/>
  <c r="M30" i="8" s="1"/>
  <c r="F30" i="8"/>
  <c r="H30" i="8" s="1"/>
  <c r="C30" i="8"/>
  <c r="AM29" i="8"/>
  <c r="AD29" i="8"/>
  <c r="AO29" i="8" s="1"/>
  <c r="K29" i="8"/>
  <c r="M29" i="8" s="1"/>
  <c r="F29" i="8"/>
  <c r="H29" i="8" s="1"/>
  <c r="C29" i="8"/>
  <c r="AM28" i="8"/>
  <c r="AD28" i="8"/>
  <c r="AO28" i="8" s="1"/>
  <c r="K28" i="8"/>
  <c r="M28" i="8" s="1"/>
  <c r="F28" i="8"/>
  <c r="H28" i="8" s="1"/>
  <c r="C28" i="8"/>
  <c r="AM27" i="8"/>
  <c r="AD27" i="8"/>
  <c r="AO27" i="8" s="1"/>
  <c r="K27" i="8"/>
  <c r="M27" i="8" s="1"/>
  <c r="F27" i="8"/>
  <c r="H27" i="8" s="1"/>
  <c r="C27" i="8"/>
  <c r="AM26" i="8"/>
  <c r="AD26" i="8"/>
  <c r="AO26" i="8" s="1"/>
  <c r="K26" i="8"/>
  <c r="M26" i="8" s="1"/>
  <c r="H26" i="8"/>
  <c r="F26" i="8"/>
  <c r="C26" i="8"/>
  <c r="AH25" i="8"/>
  <c r="AM25" i="8" s="1"/>
  <c r="AD25" i="8"/>
  <c r="AO25" i="8" s="1"/>
  <c r="K25" i="8"/>
  <c r="M25" i="8" s="1"/>
  <c r="F25" i="8"/>
  <c r="H25" i="8" s="1"/>
  <c r="C25" i="8"/>
  <c r="AL24" i="8"/>
  <c r="AH24" i="8"/>
  <c r="AM24" i="8" s="1"/>
  <c r="AD24" i="8"/>
  <c r="X24" i="8"/>
  <c r="AO24" i="8" s="1"/>
  <c r="T24" i="8"/>
  <c r="K24" i="8"/>
  <c r="M24" i="8" s="1"/>
  <c r="F24" i="8"/>
  <c r="H24" i="8" s="1"/>
  <c r="C24" i="8"/>
  <c r="AJ23" i="8"/>
  <c r="AH23" i="8"/>
  <c r="AM23" i="8" s="1"/>
  <c r="AD23" i="8"/>
  <c r="X23" i="8"/>
  <c r="AO23" i="8" s="1"/>
  <c r="K23" i="8"/>
  <c r="M23" i="8" s="1"/>
  <c r="F23" i="8"/>
  <c r="H23" i="8" s="1"/>
  <c r="C23" i="8"/>
  <c r="AJ22" i="8"/>
  <c r="AH22" i="8"/>
  <c r="AM22" i="8" s="1"/>
  <c r="AD22" i="8"/>
  <c r="AO22" i="8" s="1"/>
  <c r="O22" i="8"/>
  <c r="K22" i="8"/>
  <c r="M22" i="8" s="1"/>
  <c r="F22" i="8"/>
  <c r="H22" i="8" s="1"/>
  <c r="C22" i="8"/>
  <c r="AM21" i="8"/>
  <c r="AD21" i="8"/>
  <c r="AO21" i="8" s="1"/>
  <c r="K21" i="8"/>
  <c r="M21" i="8" s="1"/>
  <c r="F21" i="8"/>
  <c r="H21" i="8" s="1"/>
  <c r="C21" i="8"/>
  <c r="AM20" i="8"/>
  <c r="AD20" i="8"/>
  <c r="AO20" i="8" s="1"/>
  <c r="K20" i="8"/>
  <c r="M20" i="8" s="1"/>
  <c r="F20" i="8"/>
  <c r="H20" i="8" s="1"/>
  <c r="C20" i="8"/>
  <c r="AL19" i="8"/>
  <c r="AM19" i="8" s="1"/>
  <c r="AD19" i="8"/>
  <c r="AO19" i="8" s="1"/>
  <c r="K19" i="8"/>
  <c r="M19" i="8" s="1"/>
  <c r="F19" i="8"/>
  <c r="H19" i="8" s="1"/>
  <c r="C19" i="8"/>
  <c r="AL18" i="8"/>
  <c r="AJ18" i="8"/>
  <c r="AM18" i="8" s="1"/>
  <c r="AD18" i="8"/>
  <c r="X18" i="8"/>
  <c r="AO18" i="8" s="1"/>
  <c r="T18" i="8"/>
  <c r="K18" i="8"/>
  <c r="M18" i="8" s="1"/>
  <c r="F18" i="8"/>
  <c r="H18" i="8" s="1"/>
  <c r="C18" i="8"/>
  <c r="AH17" i="8"/>
  <c r="AM17" i="8" s="1"/>
  <c r="AD17" i="8"/>
  <c r="AO17" i="8" s="1"/>
  <c r="K17" i="8"/>
  <c r="M17" i="8" s="1"/>
  <c r="F17" i="8"/>
  <c r="H17" i="8" s="1"/>
  <c r="C17" i="8"/>
  <c r="AM16" i="8"/>
  <c r="AD16" i="8"/>
  <c r="AO16" i="8" s="1"/>
  <c r="K16" i="8"/>
  <c r="M16" i="8" s="1"/>
  <c r="F16" i="8"/>
  <c r="H16" i="8" s="1"/>
  <c r="C16" i="8"/>
  <c r="AM15" i="8"/>
  <c r="AD15" i="8"/>
  <c r="AO15" i="8" s="1"/>
  <c r="K15" i="8"/>
  <c r="M15" i="8" s="1"/>
  <c r="F15" i="8"/>
  <c r="H15" i="8" s="1"/>
  <c r="C15" i="8"/>
  <c r="AM14" i="8"/>
  <c r="AD14" i="8"/>
  <c r="AO14" i="8" s="1"/>
  <c r="K14" i="8"/>
  <c r="M14" i="8" s="1"/>
  <c r="F14" i="8"/>
  <c r="H14" i="8" s="1"/>
  <c r="C14" i="8"/>
  <c r="AM13" i="8"/>
  <c r="AD13" i="8"/>
  <c r="AO13" i="8" s="1"/>
  <c r="K13" i="8"/>
  <c r="M13" i="8" s="1"/>
  <c r="F13" i="8"/>
  <c r="H13" i="8" s="1"/>
  <c r="C13" i="8"/>
  <c r="AM12" i="8"/>
  <c r="AD12" i="8"/>
  <c r="X12" i="8"/>
  <c r="AO12" i="8" s="1"/>
  <c r="S12" i="8"/>
  <c r="K12" i="8"/>
  <c r="M12" i="8" s="1"/>
  <c r="F12" i="8"/>
  <c r="H12" i="8" s="1"/>
  <c r="C12" i="8"/>
  <c r="AM11" i="8"/>
  <c r="AD11" i="8"/>
  <c r="W11" i="8"/>
  <c r="AO11" i="8" s="1"/>
  <c r="K11" i="8"/>
  <c r="M11" i="8" s="1"/>
  <c r="F11" i="8"/>
  <c r="H11" i="8" s="1"/>
  <c r="C11" i="8"/>
  <c r="AL10" i="8"/>
  <c r="AJ10" i="8"/>
  <c r="AH10" i="8"/>
  <c r="AM10" i="8" s="1"/>
  <c r="AD10" i="8"/>
  <c r="AO10" i="8" s="1"/>
  <c r="K10" i="8"/>
  <c r="M10" i="8" s="1"/>
  <c r="F10" i="8"/>
  <c r="H10" i="8" s="1"/>
  <c r="C10" i="8"/>
  <c r="AM9" i="8"/>
  <c r="AD9" i="8"/>
  <c r="X9" i="8"/>
  <c r="AO9" i="8" s="1"/>
  <c r="K9" i="8"/>
  <c r="M9" i="8" s="1"/>
  <c r="F9" i="8"/>
  <c r="H9" i="8" s="1"/>
  <c r="C9" i="8"/>
  <c r="AL8" i="8"/>
  <c r="AM8" i="8" s="1"/>
  <c r="AD8" i="8"/>
  <c r="AO8" i="8" s="1"/>
  <c r="K8" i="8"/>
  <c r="M8" i="8" s="1"/>
  <c r="F8" i="8"/>
  <c r="H8" i="8" s="1"/>
  <c r="C8" i="8"/>
  <c r="AQ5" i="8"/>
  <c r="AP5" i="8"/>
  <c r="AN5" i="8"/>
  <c r="AL5" i="8"/>
  <c r="AK5" i="8"/>
  <c r="AJ5" i="8"/>
  <c r="AI5" i="8"/>
  <c r="AG5" i="8"/>
  <c r="AF5" i="8"/>
  <c r="AE5" i="8"/>
  <c r="AD5" i="8"/>
  <c r="AC5" i="8"/>
  <c r="AB5" i="8"/>
  <c r="AA5" i="8"/>
  <c r="Z5" i="8"/>
  <c r="S5" i="8"/>
  <c r="R5" i="8"/>
  <c r="Q5" i="8"/>
  <c r="P5" i="8"/>
  <c r="O5" i="8"/>
  <c r="N5" i="8"/>
  <c r="L5" i="8"/>
  <c r="G5" i="8"/>
  <c r="D5" i="8"/>
  <c r="I116" i="6"/>
  <c r="H116" i="6"/>
  <c r="G116" i="6"/>
  <c r="H53" i="6"/>
  <c r="M4" i="6"/>
  <c r="K4" i="6"/>
  <c r="O60" i="12"/>
  <c r="N60" i="12"/>
  <c r="L60" i="12" a="1"/>
  <c r="K60" i="12" a="1"/>
  <c r="J60" i="12" a="1"/>
  <c r="I60" i="12" a="1"/>
  <c r="H60" i="12" a="1"/>
  <c r="G60" i="12" a="1"/>
  <c r="N59" i="12"/>
  <c r="O58" i="12"/>
  <c r="N58" i="12"/>
  <c r="O57" i="12"/>
  <c r="N57" i="12"/>
  <c r="O56" i="12"/>
  <c r="N56" i="12"/>
  <c r="O55" i="12"/>
  <c r="N55" i="12"/>
  <c r="O54" i="12"/>
  <c r="N54" i="12"/>
  <c r="O53" i="12"/>
  <c r="N53" i="12"/>
  <c r="O52" i="12"/>
  <c r="N52" i="12"/>
  <c r="O51" i="12"/>
  <c r="N51" i="12"/>
  <c r="O50" i="12"/>
  <c r="N50" i="12"/>
  <c r="B50" i="12"/>
  <c r="O49" i="12"/>
  <c r="N49" i="12"/>
  <c r="H49" i="12"/>
  <c r="B49" i="12"/>
  <c r="O48" i="12"/>
  <c r="N48" i="12"/>
  <c r="B48" i="12"/>
  <c r="O47" i="12"/>
  <c r="N47" i="12"/>
  <c r="H47" i="12"/>
  <c r="B47" i="12"/>
  <c r="O46" i="12"/>
  <c r="N46" i="12"/>
  <c r="H46" i="12"/>
  <c r="B46" i="12"/>
  <c r="O45" i="12"/>
  <c r="N45" i="12"/>
  <c r="O44" i="12"/>
  <c r="N44" i="12"/>
  <c r="O43" i="12"/>
  <c r="N43" i="12"/>
  <c r="O42" i="12"/>
  <c r="N42" i="12"/>
  <c r="O41" i="12"/>
  <c r="N41" i="12"/>
  <c r="O40" i="12"/>
  <c r="N40" i="12"/>
  <c r="O39" i="12"/>
  <c r="N39" i="12"/>
  <c r="O38" i="12"/>
  <c r="N38" i="12"/>
  <c r="O37" i="12"/>
  <c r="N37" i="12"/>
  <c r="O36" i="12"/>
  <c r="N36" i="12"/>
  <c r="O35" i="12"/>
  <c r="N35" i="12"/>
  <c r="O34" i="12"/>
  <c r="N34" i="12"/>
  <c r="O33" i="12"/>
  <c r="N33" i="12"/>
  <c r="O32" i="12"/>
  <c r="N32" i="12"/>
  <c r="O31" i="12"/>
  <c r="N31" i="12"/>
  <c r="O30" i="12"/>
  <c r="N30" i="12"/>
  <c r="O29" i="12"/>
  <c r="N29" i="12"/>
  <c r="I29" i="12"/>
  <c r="B29" i="12"/>
  <c r="O28" i="12"/>
  <c r="N28" i="12"/>
  <c r="I28" i="12"/>
  <c r="B28" i="12"/>
  <c r="O27" i="12"/>
  <c r="N27" i="12"/>
  <c r="I27" i="12"/>
  <c r="B27" i="12"/>
  <c r="O26" i="12"/>
  <c r="N26" i="12"/>
  <c r="H26" i="12"/>
  <c r="O25" i="12"/>
  <c r="N25" i="12"/>
  <c r="O24" i="12"/>
  <c r="N24" i="12"/>
  <c r="O23" i="12"/>
  <c r="N23" i="12"/>
  <c r="O22" i="12"/>
  <c r="N22" i="12"/>
  <c r="H22" i="12"/>
  <c r="O21" i="12"/>
  <c r="N21" i="12"/>
  <c r="O20" i="12"/>
  <c r="N20" i="12"/>
  <c r="H20" i="12"/>
  <c r="O19" i="12"/>
  <c r="N19" i="12"/>
  <c r="H19" i="12"/>
  <c r="O18" i="12"/>
  <c r="N18" i="12"/>
  <c r="O17" i="12"/>
  <c r="N17" i="12"/>
  <c r="O16" i="12"/>
  <c r="N16" i="12"/>
  <c r="O15" i="12"/>
  <c r="N15" i="12"/>
  <c r="O14" i="12"/>
  <c r="N14" i="12"/>
  <c r="O13" i="12"/>
  <c r="N13" i="12"/>
  <c r="O12" i="12"/>
  <c r="N12" i="12"/>
  <c r="O11" i="12"/>
  <c r="N11" i="12"/>
  <c r="H11" i="12"/>
  <c r="B11" i="12"/>
  <c r="O10" i="12"/>
  <c r="N10" i="12"/>
  <c r="H10" i="12"/>
  <c r="B10" i="12"/>
  <c r="O9" i="12"/>
  <c r="N9" i="12"/>
  <c r="O8" i="12"/>
  <c r="N8" i="12"/>
  <c r="H8" i="12"/>
  <c r="O7" i="12"/>
  <c r="N7" i="12"/>
  <c r="O6" i="12"/>
  <c r="N6" i="12"/>
  <c r="O5" i="12"/>
  <c r="N5" i="12"/>
  <c r="L308" i="2"/>
  <c r="K308" i="2"/>
  <c r="J308" i="2"/>
  <c r="M308" i="2" s="1"/>
  <c r="L307" i="2"/>
  <c r="K307" i="2"/>
  <c r="J307" i="2"/>
  <c r="M307" i="2" s="1"/>
  <c r="L306" i="2"/>
  <c r="K306" i="2"/>
  <c r="J306" i="2"/>
  <c r="M306" i="2" s="1"/>
  <c r="L305" i="2"/>
  <c r="K305" i="2"/>
  <c r="J305" i="2"/>
  <c r="M305" i="2" s="1"/>
  <c r="L304" i="2"/>
  <c r="K304" i="2"/>
  <c r="J304" i="2"/>
  <c r="M304" i="2" s="1"/>
  <c r="L303" i="2"/>
  <c r="K303" i="2"/>
  <c r="J303" i="2"/>
  <c r="M303" i="2" s="1"/>
  <c r="L302" i="2"/>
  <c r="K302" i="2"/>
  <c r="J302" i="2"/>
  <c r="M302" i="2" s="1"/>
  <c r="L301" i="2"/>
  <c r="K301" i="2"/>
  <c r="J301" i="2"/>
  <c r="M301" i="2" s="1"/>
  <c r="L300" i="2"/>
  <c r="K300" i="2"/>
  <c r="J300" i="2"/>
  <c r="M300" i="2" s="1"/>
  <c r="L299" i="2"/>
  <c r="K299" i="2"/>
  <c r="J299" i="2"/>
  <c r="M299" i="2" s="1"/>
  <c r="L298" i="2"/>
  <c r="K298" i="2"/>
  <c r="J298" i="2"/>
  <c r="M298" i="2" s="1"/>
  <c r="L297" i="2"/>
  <c r="K297" i="2"/>
  <c r="J297" i="2"/>
  <c r="M297" i="2" s="1"/>
  <c r="L296" i="2"/>
  <c r="K296" i="2"/>
  <c r="J296" i="2"/>
  <c r="M296" i="2" s="1"/>
  <c r="L295" i="2"/>
  <c r="K295" i="2"/>
  <c r="J295" i="2"/>
  <c r="M295" i="2" s="1"/>
  <c r="L294" i="2"/>
  <c r="K294" i="2"/>
  <c r="J294" i="2"/>
  <c r="M294" i="2" s="1"/>
  <c r="L293" i="2"/>
  <c r="K293" i="2"/>
  <c r="J293" i="2"/>
  <c r="M293" i="2" s="1"/>
  <c r="L292" i="2"/>
  <c r="K292" i="2"/>
  <c r="J292" i="2"/>
  <c r="M292" i="2" s="1"/>
  <c r="L291" i="2"/>
  <c r="K291" i="2"/>
  <c r="J291" i="2"/>
  <c r="M291" i="2" s="1"/>
  <c r="L290" i="2"/>
  <c r="K290" i="2"/>
  <c r="J290" i="2"/>
  <c r="M290" i="2" s="1"/>
  <c r="L289" i="2"/>
  <c r="K289" i="2"/>
  <c r="J289" i="2"/>
  <c r="M289" i="2" s="1"/>
  <c r="L288" i="2"/>
  <c r="K288" i="2"/>
  <c r="J288" i="2"/>
  <c r="M288" i="2" s="1"/>
  <c r="L287" i="2"/>
  <c r="K287" i="2"/>
  <c r="J287" i="2"/>
  <c r="M287" i="2" s="1"/>
  <c r="L286" i="2"/>
  <c r="K286" i="2"/>
  <c r="J286" i="2"/>
  <c r="M286" i="2" s="1"/>
  <c r="L285" i="2"/>
  <c r="K285" i="2"/>
  <c r="J285" i="2"/>
  <c r="M285" i="2" s="1"/>
  <c r="L284" i="2"/>
  <c r="K284" i="2"/>
  <c r="J284" i="2"/>
  <c r="M284" i="2" s="1"/>
  <c r="L283" i="2"/>
  <c r="K283" i="2"/>
  <c r="J283" i="2"/>
  <c r="M283" i="2" s="1"/>
  <c r="L282" i="2"/>
  <c r="K282" i="2"/>
  <c r="J282" i="2"/>
  <c r="M282" i="2" s="1"/>
  <c r="L281" i="2"/>
  <c r="K281" i="2"/>
  <c r="J281" i="2"/>
  <c r="M281" i="2" s="1"/>
  <c r="L280" i="2"/>
  <c r="K280" i="2"/>
  <c r="J280" i="2"/>
  <c r="M280" i="2" s="1"/>
  <c r="L279" i="2"/>
  <c r="K279" i="2"/>
  <c r="J279" i="2"/>
  <c r="M279" i="2" s="1"/>
  <c r="L278" i="2"/>
  <c r="K278" i="2"/>
  <c r="J278" i="2"/>
  <c r="M278" i="2" s="1"/>
  <c r="L277" i="2"/>
  <c r="K277" i="2"/>
  <c r="J277" i="2"/>
  <c r="M277" i="2" s="1"/>
  <c r="L276" i="2"/>
  <c r="K276" i="2"/>
  <c r="J276" i="2"/>
  <c r="M276" i="2" s="1"/>
  <c r="L275" i="2"/>
  <c r="K275" i="2"/>
  <c r="J275" i="2"/>
  <c r="M275" i="2" s="1"/>
  <c r="L274" i="2"/>
  <c r="K274" i="2"/>
  <c r="J274" i="2"/>
  <c r="M274" i="2" s="1"/>
  <c r="L273" i="2"/>
  <c r="K273" i="2"/>
  <c r="J273" i="2"/>
  <c r="M273" i="2" s="1"/>
  <c r="L272" i="2"/>
  <c r="K272" i="2"/>
  <c r="J272" i="2"/>
  <c r="M272" i="2" s="1"/>
  <c r="L271" i="2"/>
  <c r="K271" i="2"/>
  <c r="J271" i="2"/>
  <c r="M271" i="2" s="1"/>
  <c r="L270" i="2"/>
  <c r="K270" i="2"/>
  <c r="J270" i="2"/>
  <c r="M270" i="2" s="1"/>
  <c r="L269" i="2"/>
  <c r="K269" i="2"/>
  <c r="J269" i="2"/>
  <c r="M269" i="2" s="1"/>
  <c r="L268" i="2"/>
  <c r="K268" i="2"/>
  <c r="J268" i="2"/>
  <c r="M268" i="2" s="1"/>
  <c r="L267" i="2"/>
  <c r="K267" i="2"/>
  <c r="J267" i="2"/>
  <c r="M267" i="2" s="1"/>
  <c r="L266" i="2"/>
  <c r="K266" i="2"/>
  <c r="J266" i="2"/>
  <c r="M266" i="2" s="1"/>
  <c r="L265" i="2"/>
  <c r="K265" i="2"/>
  <c r="J265" i="2"/>
  <c r="M265" i="2" s="1"/>
  <c r="L264" i="2"/>
  <c r="K264" i="2"/>
  <c r="J264" i="2"/>
  <c r="M264" i="2" s="1"/>
  <c r="L263" i="2"/>
  <c r="K263" i="2"/>
  <c r="J263" i="2"/>
  <c r="M263" i="2" s="1"/>
  <c r="L262" i="2"/>
  <c r="K262" i="2"/>
  <c r="J262" i="2"/>
  <c r="M262" i="2" s="1"/>
  <c r="L261" i="2"/>
  <c r="K261" i="2"/>
  <c r="J261" i="2"/>
  <c r="M261" i="2" s="1"/>
  <c r="L260" i="2"/>
  <c r="K260" i="2"/>
  <c r="J260" i="2"/>
  <c r="M260" i="2" s="1"/>
  <c r="L259" i="2"/>
  <c r="K259" i="2"/>
  <c r="J259" i="2"/>
  <c r="M259" i="2" s="1"/>
  <c r="L258" i="2"/>
  <c r="K258" i="2"/>
  <c r="J258" i="2"/>
  <c r="M258" i="2" s="1"/>
  <c r="L257" i="2"/>
  <c r="K257" i="2"/>
  <c r="J257" i="2"/>
  <c r="M257" i="2" s="1"/>
  <c r="L256" i="2"/>
  <c r="K256" i="2"/>
  <c r="J256" i="2"/>
  <c r="M256" i="2" s="1"/>
  <c r="L255" i="2"/>
  <c r="K255" i="2"/>
  <c r="J255" i="2"/>
  <c r="M255" i="2" s="1"/>
  <c r="L254" i="2"/>
  <c r="K254" i="2"/>
  <c r="J254" i="2"/>
  <c r="M254" i="2" s="1"/>
  <c r="L253" i="2"/>
  <c r="K253" i="2"/>
  <c r="J253" i="2"/>
  <c r="M253" i="2" s="1"/>
  <c r="L252" i="2"/>
  <c r="K252" i="2"/>
  <c r="J252" i="2"/>
  <c r="M252" i="2" s="1"/>
  <c r="M251" i="2"/>
  <c r="L251" i="2"/>
  <c r="K251" i="2"/>
  <c r="J251" i="2"/>
  <c r="L250" i="2"/>
  <c r="K250" i="2"/>
  <c r="J250" i="2"/>
  <c r="M250" i="2" s="1"/>
  <c r="L249" i="2"/>
  <c r="K249" i="2"/>
  <c r="J249" i="2"/>
  <c r="M249" i="2" s="1"/>
  <c r="L248" i="2"/>
  <c r="K248" i="2"/>
  <c r="J248" i="2"/>
  <c r="M248" i="2" s="1"/>
  <c r="L247" i="2"/>
  <c r="K247" i="2"/>
  <c r="J247" i="2"/>
  <c r="M247" i="2" s="1"/>
  <c r="L246" i="2"/>
  <c r="K246" i="2"/>
  <c r="J246" i="2"/>
  <c r="M246" i="2" s="1"/>
  <c r="L245" i="2"/>
  <c r="K245" i="2"/>
  <c r="J245" i="2"/>
  <c r="M245" i="2" s="1"/>
  <c r="L244" i="2"/>
  <c r="K244" i="2"/>
  <c r="J244" i="2"/>
  <c r="M244" i="2" s="1"/>
  <c r="L243" i="2"/>
  <c r="K243" i="2"/>
  <c r="J243" i="2"/>
  <c r="M243" i="2" s="1"/>
  <c r="L242" i="2"/>
  <c r="K242" i="2"/>
  <c r="J242" i="2"/>
  <c r="M242" i="2" s="1"/>
  <c r="L241" i="2"/>
  <c r="K241" i="2"/>
  <c r="J241" i="2"/>
  <c r="M241" i="2" s="1"/>
  <c r="L240" i="2"/>
  <c r="K240" i="2"/>
  <c r="J240" i="2"/>
  <c r="M240" i="2" s="1"/>
  <c r="L239" i="2"/>
  <c r="K239" i="2"/>
  <c r="J239" i="2"/>
  <c r="M239" i="2" s="1"/>
  <c r="L238" i="2"/>
  <c r="K238" i="2"/>
  <c r="J238" i="2"/>
  <c r="M238" i="2" s="1"/>
  <c r="L237" i="2"/>
  <c r="K237" i="2"/>
  <c r="J237" i="2"/>
  <c r="M237" i="2" s="1"/>
  <c r="L236" i="2"/>
  <c r="K236" i="2"/>
  <c r="J236" i="2"/>
  <c r="M236" i="2" s="1"/>
  <c r="L235" i="2"/>
  <c r="K235" i="2"/>
  <c r="J235" i="2"/>
  <c r="M235" i="2" s="1"/>
  <c r="L234" i="2"/>
  <c r="K234" i="2"/>
  <c r="J234" i="2"/>
  <c r="M234" i="2" s="1"/>
  <c r="L233" i="2"/>
  <c r="K233" i="2"/>
  <c r="J233" i="2"/>
  <c r="M233" i="2" s="1"/>
  <c r="L232" i="2"/>
  <c r="K232" i="2"/>
  <c r="J232" i="2"/>
  <c r="M232" i="2" s="1"/>
  <c r="L231" i="2"/>
  <c r="K231" i="2"/>
  <c r="J231" i="2"/>
  <c r="M231" i="2" s="1"/>
  <c r="L230" i="2"/>
  <c r="K230" i="2"/>
  <c r="J230" i="2"/>
  <c r="M230" i="2" s="1"/>
  <c r="L229" i="2"/>
  <c r="K229" i="2"/>
  <c r="J229" i="2"/>
  <c r="M229" i="2" s="1"/>
  <c r="L228" i="2"/>
  <c r="K228" i="2"/>
  <c r="J228" i="2"/>
  <c r="M228" i="2" s="1"/>
  <c r="L227" i="2"/>
  <c r="K227" i="2"/>
  <c r="J227" i="2"/>
  <c r="M227" i="2" s="1"/>
  <c r="L226" i="2"/>
  <c r="K226" i="2"/>
  <c r="J226" i="2"/>
  <c r="M226" i="2" s="1"/>
  <c r="L225" i="2"/>
  <c r="K225" i="2"/>
  <c r="J225" i="2"/>
  <c r="M225" i="2" s="1"/>
  <c r="L224" i="2"/>
  <c r="K224" i="2"/>
  <c r="J224" i="2"/>
  <c r="M224" i="2" s="1"/>
  <c r="L223" i="2"/>
  <c r="K223" i="2"/>
  <c r="J223" i="2"/>
  <c r="M223" i="2" s="1"/>
  <c r="L222" i="2"/>
  <c r="K222" i="2"/>
  <c r="J222" i="2"/>
  <c r="M222" i="2" s="1"/>
  <c r="L221" i="2"/>
  <c r="K221" i="2"/>
  <c r="J221" i="2"/>
  <c r="M221" i="2" s="1"/>
  <c r="L220" i="2"/>
  <c r="K220" i="2"/>
  <c r="J220" i="2"/>
  <c r="M220" i="2" s="1"/>
  <c r="L219" i="2"/>
  <c r="K219" i="2"/>
  <c r="J219" i="2"/>
  <c r="M219" i="2" s="1"/>
  <c r="L218" i="2"/>
  <c r="K218" i="2"/>
  <c r="J218" i="2"/>
  <c r="M218" i="2" s="1"/>
  <c r="L217" i="2"/>
  <c r="K217" i="2"/>
  <c r="J217" i="2"/>
  <c r="M217" i="2" s="1"/>
  <c r="L216" i="2"/>
  <c r="K216" i="2"/>
  <c r="J216" i="2"/>
  <c r="M216" i="2" s="1"/>
  <c r="L215" i="2"/>
  <c r="K215" i="2"/>
  <c r="J215" i="2"/>
  <c r="M215" i="2" s="1"/>
  <c r="L214" i="2"/>
  <c r="K214" i="2"/>
  <c r="J214" i="2"/>
  <c r="M214" i="2" s="1"/>
  <c r="L213" i="2"/>
  <c r="K213" i="2"/>
  <c r="J213" i="2"/>
  <c r="M213" i="2" s="1"/>
  <c r="L212" i="2"/>
  <c r="K212" i="2"/>
  <c r="J212" i="2"/>
  <c r="M212" i="2" s="1"/>
  <c r="L211" i="2"/>
  <c r="K211" i="2"/>
  <c r="J211" i="2"/>
  <c r="M211" i="2" s="1"/>
  <c r="L210" i="2"/>
  <c r="K210" i="2"/>
  <c r="J210" i="2"/>
  <c r="M210" i="2" s="1"/>
  <c r="L209" i="2"/>
  <c r="K209" i="2"/>
  <c r="J209" i="2"/>
  <c r="M209" i="2" s="1"/>
  <c r="L208" i="2"/>
  <c r="K208" i="2"/>
  <c r="J208" i="2"/>
  <c r="M208" i="2" s="1"/>
  <c r="L207" i="2"/>
  <c r="K207" i="2"/>
  <c r="J207" i="2"/>
  <c r="M207" i="2" s="1"/>
  <c r="L206" i="2"/>
  <c r="K206" i="2"/>
  <c r="J206" i="2"/>
  <c r="M206" i="2" s="1"/>
  <c r="L205" i="2"/>
  <c r="K205" i="2"/>
  <c r="J205" i="2"/>
  <c r="M205" i="2" s="1"/>
  <c r="L204" i="2"/>
  <c r="K204" i="2"/>
  <c r="J204" i="2"/>
  <c r="M204" i="2" s="1"/>
  <c r="L203" i="2"/>
  <c r="K203" i="2"/>
  <c r="J203" i="2"/>
  <c r="M203" i="2" s="1"/>
  <c r="L202" i="2"/>
  <c r="K202" i="2"/>
  <c r="J202" i="2"/>
  <c r="M202" i="2" s="1"/>
  <c r="L201" i="2"/>
  <c r="K201" i="2"/>
  <c r="J201" i="2"/>
  <c r="M201" i="2" s="1"/>
  <c r="L200" i="2"/>
  <c r="K200" i="2"/>
  <c r="J200" i="2"/>
  <c r="M200" i="2" s="1"/>
  <c r="L199" i="2"/>
  <c r="K199" i="2"/>
  <c r="J199" i="2"/>
  <c r="M199" i="2" s="1"/>
  <c r="L198" i="2"/>
  <c r="K198" i="2"/>
  <c r="J198" i="2"/>
  <c r="M198" i="2" s="1"/>
  <c r="L197" i="2"/>
  <c r="K197" i="2"/>
  <c r="J197" i="2"/>
  <c r="M197" i="2" s="1"/>
  <c r="L196" i="2"/>
  <c r="K196" i="2"/>
  <c r="J196" i="2"/>
  <c r="M196" i="2" s="1"/>
  <c r="L195" i="2"/>
  <c r="K195" i="2"/>
  <c r="J195" i="2"/>
  <c r="M195" i="2" s="1"/>
  <c r="L194" i="2"/>
  <c r="K194" i="2"/>
  <c r="J194" i="2"/>
  <c r="M194" i="2" s="1"/>
  <c r="L193" i="2"/>
  <c r="K193" i="2"/>
  <c r="J193" i="2"/>
  <c r="M193" i="2" s="1"/>
  <c r="L192" i="2"/>
  <c r="K192" i="2"/>
  <c r="J192" i="2"/>
  <c r="M192" i="2" s="1"/>
  <c r="L191" i="2"/>
  <c r="K191" i="2"/>
  <c r="J191" i="2"/>
  <c r="M191" i="2" s="1"/>
  <c r="L190" i="2"/>
  <c r="K190" i="2"/>
  <c r="J190" i="2"/>
  <c r="M190" i="2" s="1"/>
  <c r="L189" i="2"/>
  <c r="K189" i="2"/>
  <c r="J189" i="2"/>
  <c r="M189" i="2" s="1"/>
  <c r="L188" i="2"/>
  <c r="K188" i="2"/>
  <c r="J188" i="2"/>
  <c r="M188" i="2" s="1"/>
  <c r="L187" i="2"/>
  <c r="K187" i="2"/>
  <c r="J187" i="2"/>
  <c r="M187" i="2" s="1"/>
  <c r="L186" i="2"/>
  <c r="K186" i="2"/>
  <c r="J186" i="2"/>
  <c r="M186" i="2" s="1"/>
  <c r="L185" i="2"/>
  <c r="K185" i="2"/>
  <c r="J185" i="2"/>
  <c r="M185" i="2" s="1"/>
  <c r="L184" i="2"/>
  <c r="K184" i="2"/>
  <c r="J184" i="2"/>
  <c r="M184" i="2" s="1"/>
  <c r="L183" i="2"/>
  <c r="K183" i="2"/>
  <c r="J183" i="2"/>
  <c r="M183" i="2" s="1"/>
  <c r="L182" i="2"/>
  <c r="K182" i="2"/>
  <c r="J182" i="2"/>
  <c r="M182" i="2" s="1"/>
  <c r="L181" i="2"/>
  <c r="K181" i="2"/>
  <c r="J181" i="2"/>
  <c r="M181" i="2" s="1"/>
  <c r="L180" i="2"/>
  <c r="K180" i="2"/>
  <c r="J180" i="2"/>
  <c r="M180" i="2" s="1"/>
  <c r="L179" i="2"/>
  <c r="K179" i="2"/>
  <c r="J179" i="2"/>
  <c r="M179" i="2" s="1"/>
  <c r="L178" i="2"/>
  <c r="K178" i="2"/>
  <c r="J178" i="2"/>
  <c r="M178" i="2" s="1"/>
  <c r="L177" i="2"/>
  <c r="K177" i="2"/>
  <c r="J177" i="2"/>
  <c r="M177" i="2" s="1"/>
  <c r="L176" i="2"/>
  <c r="K176" i="2"/>
  <c r="J176" i="2"/>
  <c r="M176" i="2" s="1"/>
  <c r="L175" i="2"/>
  <c r="K175" i="2"/>
  <c r="J175" i="2"/>
  <c r="M175" i="2" s="1"/>
  <c r="L174" i="2"/>
  <c r="K174" i="2"/>
  <c r="J174" i="2"/>
  <c r="M174" i="2" s="1"/>
  <c r="L173" i="2"/>
  <c r="K173" i="2"/>
  <c r="J173" i="2"/>
  <c r="M173" i="2" s="1"/>
  <c r="L172" i="2"/>
  <c r="K172" i="2"/>
  <c r="J172" i="2"/>
  <c r="M172" i="2" s="1"/>
  <c r="L171" i="2"/>
  <c r="K171" i="2"/>
  <c r="J171" i="2"/>
  <c r="M171" i="2" s="1"/>
  <c r="L170" i="2"/>
  <c r="K170" i="2"/>
  <c r="J170" i="2"/>
  <c r="M170" i="2" s="1"/>
  <c r="L169" i="2"/>
  <c r="K169" i="2"/>
  <c r="J169" i="2"/>
  <c r="M169" i="2" s="1"/>
  <c r="L168" i="2"/>
  <c r="K168" i="2"/>
  <c r="J168" i="2"/>
  <c r="M168" i="2" s="1"/>
  <c r="L167" i="2"/>
  <c r="K167" i="2"/>
  <c r="J167" i="2"/>
  <c r="M167" i="2" s="1"/>
  <c r="L166" i="2"/>
  <c r="K166" i="2"/>
  <c r="J166" i="2"/>
  <c r="M166" i="2" s="1"/>
  <c r="L165" i="2"/>
  <c r="K165" i="2"/>
  <c r="J165" i="2"/>
  <c r="M165" i="2" s="1"/>
  <c r="L164" i="2"/>
  <c r="K164" i="2"/>
  <c r="J164" i="2"/>
  <c r="M164" i="2" s="1"/>
  <c r="L163" i="2"/>
  <c r="K163" i="2"/>
  <c r="J163" i="2"/>
  <c r="M163" i="2" s="1"/>
  <c r="L162" i="2"/>
  <c r="K162" i="2"/>
  <c r="J162" i="2"/>
  <c r="M162" i="2" s="1"/>
  <c r="L161" i="2"/>
  <c r="K161" i="2"/>
  <c r="J161" i="2"/>
  <c r="M161" i="2" s="1"/>
  <c r="L160" i="2"/>
  <c r="K160" i="2"/>
  <c r="J160" i="2"/>
  <c r="M160" i="2" s="1"/>
  <c r="L159" i="2"/>
  <c r="K159" i="2"/>
  <c r="J159" i="2"/>
  <c r="M159" i="2" s="1"/>
  <c r="L158" i="2"/>
  <c r="K158" i="2"/>
  <c r="J158" i="2"/>
  <c r="M158" i="2" s="1"/>
  <c r="L157" i="2"/>
  <c r="K157" i="2"/>
  <c r="J157" i="2"/>
  <c r="M157" i="2" s="1"/>
  <c r="L156" i="2"/>
  <c r="K156" i="2"/>
  <c r="J156" i="2"/>
  <c r="M156" i="2" s="1"/>
  <c r="L155" i="2"/>
  <c r="K155" i="2"/>
  <c r="J155" i="2"/>
  <c r="M155" i="2" s="1"/>
  <c r="L154" i="2"/>
  <c r="K154" i="2"/>
  <c r="J154" i="2"/>
  <c r="M154" i="2" s="1"/>
  <c r="L153" i="2"/>
  <c r="K153" i="2"/>
  <c r="J153" i="2"/>
  <c r="M153" i="2" s="1"/>
  <c r="L152" i="2"/>
  <c r="K152" i="2"/>
  <c r="J152" i="2"/>
  <c r="M152" i="2" s="1"/>
  <c r="L151" i="2"/>
  <c r="K151" i="2"/>
  <c r="J151" i="2"/>
  <c r="M151" i="2" s="1"/>
  <c r="L150" i="2"/>
  <c r="K150" i="2"/>
  <c r="J150" i="2"/>
  <c r="M150" i="2" s="1"/>
  <c r="L149" i="2"/>
  <c r="K149" i="2"/>
  <c r="J149" i="2"/>
  <c r="M149" i="2" s="1"/>
  <c r="L148" i="2"/>
  <c r="K148" i="2"/>
  <c r="J148" i="2"/>
  <c r="M148" i="2" s="1"/>
  <c r="L147" i="2"/>
  <c r="K147" i="2"/>
  <c r="J147" i="2"/>
  <c r="M147" i="2" s="1"/>
  <c r="L146" i="2"/>
  <c r="K146" i="2"/>
  <c r="J146" i="2"/>
  <c r="M146" i="2" s="1"/>
  <c r="L145" i="2"/>
  <c r="K145" i="2"/>
  <c r="J145" i="2"/>
  <c r="M145" i="2" s="1"/>
  <c r="L144" i="2"/>
  <c r="K144" i="2"/>
  <c r="J144" i="2"/>
  <c r="M144" i="2" s="1"/>
  <c r="L143" i="2"/>
  <c r="K143" i="2"/>
  <c r="J143" i="2"/>
  <c r="M143" i="2" s="1"/>
  <c r="L142" i="2"/>
  <c r="K142" i="2"/>
  <c r="J142" i="2"/>
  <c r="M142" i="2" s="1"/>
  <c r="L141" i="2"/>
  <c r="K141" i="2"/>
  <c r="J141" i="2"/>
  <c r="M141" i="2" s="1"/>
  <c r="L140" i="2"/>
  <c r="K140" i="2"/>
  <c r="J140" i="2"/>
  <c r="M140" i="2" s="1"/>
  <c r="L139" i="2"/>
  <c r="K139" i="2"/>
  <c r="J139" i="2"/>
  <c r="M139" i="2" s="1"/>
  <c r="L138" i="2"/>
  <c r="K138" i="2"/>
  <c r="J138" i="2"/>
  <c r="M138" i="2" s="1"/>
  <c r="L137" i="2"/>
  <c r="K137" i="2"/>
  <c r="J137" i="2"/>
  <c r="M137" i="2" s="1"/>
  <c r="L136" i="2"/>
  <c r="K136" i="2"/>
  <c r="J136" i="2"/>
  <c r="M136" i="2" s="1"/>
  <c r="L135" i="2"/>
  <c r="K135" i="2"/>
  <c r="J135" i="2"/>
  <c r="M135" i="2" s="1"/>
  <c r="L134" i="2"/>
  <c r="K134" i="2"/>
  <c r="J134" i="2"/>
  <c r="M134" i="2" s="1"/>
  <c r="L133" i="2"/>
  <c r="K133" i="2"/>
  <c r="J133" i="2"/>
  <c r="M133" i="2" s="1"/>
  <c r="L132" i="2"/>
  <c r="K132" i="2"/>
  <c r="J132" i="2"/>
  <c r="M132" i="2" s="1"/>
  <c r="L131" i="2"/>
  <c r="K131" i="2"/>
  <c r="J131" i="2"/>
  <c r="M131" i="2" s="1"/>
  <c r="L130" i="2"/>
  <c r="K130" i="2"/>
  <c r="J130" i="2"/>
  <c r="M130" i="2" s="1"/>
  <c r="L129" i="2"/>
  <c r="K129" i="2"/>
  <c r="J129" i="2"/>
  <c r="M129" i="2" s="1"/>
  <c r="L128" i="2"/>
  <c r="K128" i="2"/>
  <c r="J128" i="2"/>
  <c r="M128" i="2" s="1"/>
  <c r="L127" i="2"/>
  <c r="K127" i="2"/>
  <c r="J127" i="2"/>
  <c r="M127" i="2" s="1"/>
  <c r="L126" i="2"/>
  <c r="K126" i="2"/>
  <c r="J126" i="2"/>
  <c r="M126" i="2" s="1"/>
  <c r="L125" i="2"/>
  <c r="K125" i="2"/>
  <c r="J125" i="2"/>
  <c r="M125" i="2" s="1"/>
  <c r="L124" i="2"/>
  <c r="K124" i="2"/>
  <c r="J124" i="2"/>
  <c r="M124" i="2" s="1"/>
  <c r="L123" i="2"/>
  <c r="K123" i="2"/>
  <c r="J123" i="2"/>
  <c r="M123" i="2" s="1"/>
  <c r="L122" i="2"/>
  <c r="K122" i="2"/>
  <c r="J122" i="2"/>
  <c r="M122" i="2" s="1"/>
  <c r="L121" i="2"/>
  <c r="K121" i="2"/>
  <c r="J121" i="2"/>
  <c r="M121" i="2" s="1"/>
  <c r="L120" i="2"/>
  <c r="K120" i="2"/>
  <c r="J120" i="2"/>
  <c r="M120" i="2" s="1"/>
  <c r="L119" i="2"/>
  <c r="K119" i="2"/>
  <c r="J119" i="2"/>
  <c r="M119" i="2" s="1"/>
  <c r="L118" i="2"/>
  <c r="K118" i="2"/>
  <c r="J118" i="2"/>
  <c r="M118" i="2" s="1"/>
  <c r="L117" i="2"/>
  <c r="K117" i="2"/>
  <c r="J117" i="2"/>
  <c r="M117" i="2" s="1"/>
  <c r="L116" i="2"/>
  <c r="K116" i="2"/>
  <c r="J116" i="2"/>
  <c r="M116" i="2" s="1"/>
  <c r="L115" i="2"/>
  <c r="K115" i="2"/>
  <c r="J115" i="2"/>
  <c r="M115" i="2" s="1"/>
  <c r="L114" i="2"/>
  <c r="K114" i="2"/>
  <c r="J114" i="2"/>
  <c r="M114" i="2" s="1"/>
  <c r="L113" i="2"/>
  <c r="K113" i="2"/>
  <c r="J113" i="2"/>
  <c r="M113" i="2" s="1"/>
  <c r="L112" i="2"/>
  <c r="K112" i="2"/>
  <c r="J112" i="2"/>
  <c r="M112" i="2" s="1"/>
  <c r="L111" i="2"/>
  <c r="K111" i="2"/>
  <c r="J111" i="2"/>
  <c r="M111" i="2" s="1"/>
  <c r="L110" i="2"/>
  <c r="K110" i="2"/>
  <c r="J110" i="2"/>
  <c r="M110" i="2" s="1"/>
  <c r="L109" i="2"/>
  <c r="K109" i="2"/>
  <c r="J109" i="2"/>
  <c r="M109" i="2" s="1"/>
  <c r="L108" i="2"/>
  <c r="K108" i="2"/>
  <c r="J108" i="2"/>
  <c r="M108" i="2" s="1"/>
  <c r="L107" i="2"/>
  <c r="K107" i="2"/>
  <c r="J107" i="2"/>
  <c r="M107" i="2" s="1"/>
  <c r="L106" i="2"/>
  <c r="K106" i="2"/>
  <c r="J106" i="2"/>
  <c r="M106" i="2" s="1"/>
  <c r="L105" i="2"/>
  <c r="K105" i="2"/>
  <c r="J105" i="2"/>
  <c r="M105" i="2" s="1"/>
  <c r="L104" i="2"/>
  <c r="K104" i="2"/>
  <c r="J104" i="2"/>
  <c r="M104" i="2" s="1"/>
  <c r="L103" i="2"/>
  <c r="K103" i="2"/>
  <c r="J103" i="2"/>
  <c r="M103" i="2" s="1"/>
  <c r="L102" i="2"/>
  <c r="K102" i="2"/>
  <c r="J102" i="2"/>
  <c r="M102" i="2" s="1"/>
  <c r="L101" i="2"/>
  <c r="K101" i="2"/>
  <c r="J101" i="2"/>
  <c r="M101" i="2" s="1"/>
  <c r="L100" i="2"/>
  <c r="K100" i="2"/>
  <c r="J100" i="2"/>
  <c r="M100" i="2" s="1"/>
  <c r="L99" i="2"/>
  <c r="K99" i="2"/>
  <c r="J99" i="2"/>
  <c r="M99" i="2" s="1"/>
  <c r="L98" i="2"/>
  <c r="K98" i="2"/>
  <c r="J98" i="2"/>
  <c r="M98" i="2" s="1"/>
  <c r="L97" i="2"/>
  <c r="K97" i="2"/>
  <c r="J97" i="2"/>
  <c r="M97" i="2" s="1"/>
  <c r="L96" i="2"/>
  <c r="K96" i="2"/>
  <c r="J96" i="2"/>
  <c r="M96" i="2" s="1"/>
  <c r="L95" i="2"/>
  <c r="K95" i="2"/>
  <c r="J95" i="2"/>
  <c r="M95" i="2" s="1"/>
  <c r="L94" i="2"/>
  <c r="K94" i="2"/>
  <c r="J94" i="2"/>
  <c r="M94" i="2" s="1"/>
  <c r="L93" i="2"/>
  <c r="K93" i="2"/>
  <c r="J93" i="2"/>
  <c r="M93" i="2" s="1"/>
  <c r="L92" i="2"/>
  <c r="K92" i="2"/>
  <c r="J92" i="2"/>
  <c r="M92" i="2" s="1"/>
  <c r="L91" i="2"/>
  <c r="K91" i="2"/>
  <c r="J91" i="2"/>
  <c r="M91" i="2" s="1"/>
  <c r="L90" i="2"/>
  <c r="K90" i="2"/>
  <c r="J90" i="2"/>
  <c r="M90" i="2" s="1"/>
  <c r="L89" i="2"/>
  <c r="K89" i="2"/>
  <c r="J89" i="2"/>
  <c r="M89" i="2" s="1"/>
  <c r="L88" i="2"/>
  <c r="K88" i="2"/>
  <c r="J88" i="2"/>
  <c r="M88" i="2" s="1"/>
  <c r="L87" i="2"/>
  <c r="K87" i="2"/>
  <c r="J87" i="2"/>
  <c r="M87" i="2" s="1"/>
  <c r="L86" i="2"/>
  <c r="K86" i="2"/>
  <c r="J86" i="2"/>
  <c r="M86" i="2" s="1"/>
  <c r="L85" i="2"/>
  <c r="K85" i="2"/>
  <c r="J85" i="2"/>
  <c r="M85" i="2" s="1"/>
  <c r="L84" i="2"/>
  <c r="K84" i="2"/>
  <c r="J84" i="2"/>
  <c r="M84" i="2" s="1"/>
  <c r="L83" i="2"/>
  <c r="K83" i="2"/>
  <c r="J83" i="2"/>
  <c r="M83" i="2" s="1"/>
  <c r="L82" i="2"/>
  <c r="K82" i="2"/>
  <c r="J82" i="2"/>
  <c r="M82" i="2" s="1"/>
  <c r="L81" i="2"/>
  <c r="K81" i="2"/>
  <c r="J81" i="2"/>
  <c r="M81" i="2" s="1"/>
  <c r="L80" i="2"/>
  <c r="K80" i="2"/>
  <c r="J80" i="2"/>
  <c r="M80" i="2" s="1"/>
  <c r="L79" i="2"/>
  <c r="K79" i="2"/>
  <c r="J79" i="2"/>
  <c r="M79" i="2" s="1"/>
  <c r="L78" i="2"/>
  <c r="K78" i="2"/>
  <c r="J78" i="2"/>
  <c r="M78" i="2" s="1"/>
  <c r="L77" i="2"/>
  <c r="K77" i="2"/>
  <c r="J77" i="2"/>
  <c r="M77" i="2" s="1"/>
  <c r="L76" i="2"/>
  <c r="K76" i="2"/>
  <c r="J76" i="2"/>
  <c r="M76" i="2" s="1"/>
  <c r="L75" i="2"/>
  <c r="K75" i="2"/>
  <c r="J75" i="2"/>
  <c r="M75" i="2" s="1"/>
  <c r="L74" i="2"/>
  <c r="K74" i="2"/>
  <c r="J74" i="2"/>
  <c r="M74" i="2" s="1"/>
  <c r="L73" i="2"/>
  <c r="K73" i="2"/>
  <c r="J73" i="2"/>
  <c r="M73" i="2" s="1"/>
  <c r="L72" i="2"/>
  <c r="K72" i="2"/>
  <c r="J72" i="2"/>
  <c r="M72" i="2" s="1"/>
  <c r="L71" i="2"/>
  <c r="K71" i="2"/>
  <c r="J71" i="2"/>
  <c r="M71" i="2" s="1"/>
  <c r="L70" i="2"/>
  <c r="K70" i="2"/>
  <c r="J70" i="2"/>
  <c r="M70" i="2" s="1"/>
  <c r="L69" i="2"/>
  <c r="K69" i="2"/>
  <c r="J69" i="2"/>
  <c r="M69" i="2" s="1"/>
  <c r="L68" i="2"/>
  <c r="K68" i="2"/>
  <c r="J68" i="2"/>
  <c r="M68" i="2" s="1"/>
  <c r="L67" i="2"/>
  <c r="K67" i="2"/>
  <c r="J67" i="2"/>
  <c r="M67" i="2" s="1"/>
  <c r="L66" i="2"/>
  <c r="K66" i="2"/>
  <c r="J66" i="2"/>
  <c r="M66" i="2" s="1"/>
  <c r="L65" i="2"/>
  <c r="K65" i="2"/>
  <c r="J65" i="2"/>
  <c r="M65" i="2" s="1"/>
  <c r="L64" i="2"/>
  <c r="K64" i="2"/>
  <c r="J64" i="2"/>
  <c r="M64" i="2" s="1"/>
  <c r="L63" i="2"/>
  <c r="K63" i="2"/>
  <c r="J63" i="2"/>
  <c r="M63" i="2" s="1"/>
  <c r="L62" i="2"/>
  <c r="K62" i="2"/>
  <c r="J62" i="2"/>
  <c r="M62" i="2" s="1"/>
  <c r="L61" i="2"/>
  <c r="K61" i="2"/>
  <c r="J61" i="2"/>
  <c r="M61" i="2" s="1"/>
  <c r="L60" i="2"/>
  <c r="K60" i="2"/>
  <c r="J60" i="2"/>
  <c r="M60" i="2" s="1"/>
  <c r="L59" i="2"/>
  <c r="K59" i="2"/>
  <c r="J59" i="2"/>
  <c r="M59" i="2" s="1"/>
  <c r="L58" i="2"/>
  <c r="K58" i="2"/>
  <c r="J58" i="2"/>
  <c r="M58" i="2" s="1"/>
  <c r="L57" i="2"/>
  <c r="K57" i="2"/>
  <c r="J57" i="2"/>
  <c r="M57" i="2" s="1"/>
  <c r="L56" i="2"/>
  <c r="K56" i="2"/>
  <c r="J56" i="2"/>
  <c r="M56" i="2" s="1"/>
  <c r="L55" i="2"/>
  <c r="K55" i="2"/>
  <c r="J55" i="2"/>
  <c r="M55" i="2" s="1"/>
  <c r="L54" i="2"/>
  <c r="K54" i="2"/>
  <c r="J54" i="2"/>
  <c r="M54" i="2" s="1"/>
  <c r="L53" i="2"/>
  <c r="K53" i="2"/>
  <c r="J53" i="2"/>
  <c r="M53" i="2" s="1"/>
  <c r="L52" i="2"/>
  <c r="K52" i="2"/>
  <c r="J52" i="2"/>
  <c r="M52" i="2" s="1"/>
  <c r="L51" i="2"/>
  <c r="K51" i="2"/>
  <c r="J51" i="2"/>
  <c r="M51" i="2" s="1"/>
  <c r="L50" i="2"/>
  <c r="K50" i="2"/>
  <c r="J50" i="2"/>
  <c r="M50" i="2" s="1"/>
  <c r="L49" i="2"/>
  <c r="K49" i="2"/>
  <c r="J49" i="2"/>
  <c r="M49" i="2" s="1"/>
  <c r="L48" i="2"/>
  <c r="K48" i="2"/>
  <c r="J48" i="2"/>
  <c r="M48" i="2" s="1"/>
  <c r="L47" i="2"/>
  <c r="K47" i="2"/>
  <c r="J47" i="2"/>
  <c r="M47" i="2" s="1"/>
  <c r="L46" i="2"/>
  <c r="K46" i="2"/>
  <c r="J46" i="2"/>
  <c r="M46" i="2" s="1"/>
  <c r="L45" i="2"/>
  <c r="K45" i="2"/>
  <c r="J45" i="2"/>
  <c r="M45" i="2" s="1"/>
  <c r="L44" i="2"/>
  <c r="K44" i="2"/>
  <c r="J44" i="2"/>
  <c r="M44" i="2" s="1"/>
  <c r="L43" i="2"/>
  <c r="K43" i="2"/>
  <c r="J43" i="2"/>
  <c r="M43" i="2" s="1"/>
  <c r="L42" i="2"/>
  <c r="K42" i="2"/>
  <c r="J42" i="2"/>
  <c r="M42" i="2" s="1"/>
  <c r="L41" i="2"/>
  <c r="K41" i="2"/>
  <c r="J41" i="2"/>
  <c r="M41" i="2" s="1"/>
  <c r="L40" i="2"/>
  <c r="K40" i="2"/>
  <c r="J40" i="2"/>
  <c r="M40" i="2" s="1"/>
  <c r="L39" i="2"/>
  <c r="K39" i="2"/>
  <c r="J39" i="2"/>
  <c r="M39" i="2" s="1"/>
  <c r="L38" i="2"/>
  <c r="K38" i="2"/>
  <c r="J38" i="2"/>
  <c r="M38" i="2" s="1"/>
  <c r="L37" i="2"/>
  <c r="K37" i="2"/>
  <c r="J37" i="2"/>
  <c r="M37" i="2" s="1"/>
  <c r="L36" i="2"/>
  <c r="K36" i="2"/>
  <c r="J36" i="2"/>
  <c r="M36" i="2" s="1"/>
  <c r="L35" i="2"/>
  <c r="K35" i="2"/>
  <c r="J35" i="2"/>
  <c r="M35" i="2" s="1"/>
  <c r="L34" i="2"/>
  <c r="K34" i="2"/>
  <c r="J34" i="2"/>
  <c r="M34" i="2" s="1"/>
  <c r="L33" i="2"/>
  <c r="K33" i="2"/>
  <c r="J33" i="2"/>
  <c r="M33" i="2" s="1"/>
  <c r="L32" i="2"/>
  <c r="K32" i="2"/>
  <c r="J32" i="2"/>
  <c r="M32" i="2" s="1"/>
  <c r="L31" i="2"/>
  <c r="K31" i="2"/>
  <c r="J31" i="2"/>
  <c r="M31" i="2" s="1"/>
  <c r="L30" i="2"/>
  <c r="K30" i="2"/>
  <c r="J30" i="2"/>
  <c r="M30" i="2" s="1"/>
  <c r="L29" i="2"/>
  <c r="K29" i="2"/>
  <c r="J29" i="2"/>
  <c r="M29" i="2" s="1"/>
  <c r="L28" i="2"/>
  <c r="K28" i="2"/>
  <c r="J28" i="2"/>
  <c r="M28" i="2" s="1"/>
  <c r="L27" i="2"/>
  <c r="K27" i="2"/>
  <c r="J27" i="2"/>
  <c r="M27" i="2" s="1"/>
  <c r="L26" i="2"/>
  <c r="K26" i="2"/>
  <c r="J26" i="2"/>
  <c r="M26" i="2" s="1"/>
  <c r="L25" i="2"/>
  <c r="K25" i="2"/>
  <c r="J25" i="2"/>
  <c r="M25" i="2" s="1"/>
  <c r="L24" i="2"/>
  <c r="K24" i="2"/>
  <c r="J24" i="2"/>
  <c r="M24" i="2" s="1"/>
  <c r="L23" i="2"/>
  <c r="K23" i="2"/>
  <c r="J23" i="2"/>
  <c r="M23" i="2" s="1"/>
  <c r="L22" i="2"/>
  <c r="K22" i="2"/>
  <c r="J22" i="2"/>
  <c r="M22" i="2" s="1"/>
  <c r="L21" i="2"/>
  <c r="K21" i="2"/>
  <c r="J21" i="2"/>
  <c r="M21" i="2" s="1"/>
  <c r="L20" i="2"/>
  <c r="K20" i="2"/>
  <c r="J20" i="2"/>
  <c r="M20" i="2" s="1"/>
  <c r="L19" i="2"/>
  <c r="K19" i="2"/>
  <c r="J19" i="2"/>
  <c r="M19" i="2" s="1"/>
  <c r="L18" i="2"/>
  <c r="K18" i="2"/>
  <c r="J18" i="2"/>
  <c r="M18" i="2" s="1"/>
  <c r="L17" i="2"/>
  <c r="K17" i="2"/>
  <c r="J17" i="2"/>
  <c r="M17" i="2" s="1"/>
  <c r="L16" i="2"/>
  <c r="K16" i="2"/>
  <c r="J16" i="2"/>
  <c r="M16" i="2" s="1"/>
  <c r="L15" i="2"/>
  <c r="K15" i="2"/>
  <c r="J15" i="2"/>
  <c r="M15" i="2" s="1"/>
  <c r="L14" i="2"/>
  <c r="K14" i="2"/>
  <c r="J14" i="2"/>
  <c r="M14" i="2" s="1"/>
  <c r="L13" i="2"/>
  <c r="K13" i="2"/>
  <c r="J13" i="2"/>
  <c r="M13" i="2" s="1"/>
  <c r="L12" i="2"/>
  <c r="K12" i="2"/>
  <c r="J12" i="2"/>
  <c r="M12" i="2" s="1"/>
  <c r="L11" i="2"/>
  <c r="K11" i="2"/>
  <c r="J11" i="2"/>
  <c r="M11" i="2" s="1"/>
  <c r="L10" i="2"/>
  <c r="K10" i="2"/>
  <c r="J10" i="2"/>
  <c r="M10" i="2" s="1"/>
  <c r="L9" i="2"/>
  <c r="K9" i="2"/>
  <c r="J9" i="2"/>
  <c r="M9" i="2" s="1"/>
  <c r="L8" i="2"/>
  <c r="K8" i="2"/>
  <c r="J8" i="2"/>
  <c r="M8" i="2" s="1"/>
  <c r="L7" i="2"/>
  <c r="K7" i="2"/>
  <c r="J7" i="2"/>
  <c r="M7" i="2" s="1"/>
  <c r="L6" i="2"/>
  <c r="K6" i="2"/>
  <c r="J6" i="2"/>
  <c r="M6" i="2" s="1"/>
  <c r="L5" i="2"/>
  <c r="K5" i="2"/>
  <c r="J5" i="2"/>
  <c r="M5" i="2" s="1"/>
  <c r="L4" i="2"/>
  <c r="K4" i="2"/>
  <c r="J4" i="2"/>
  <c r="M4" i="2" s="1"/>
  <c r="M168" i="4"/>
  <c r="N168" i="4" s="1"/>
  <c r="M167" i="4"/>
  <c r="I167" i="4"/>
  <c r="N167" i="4" s="1"/>
  <c r="M166" i="4"/>
  <c r="N166" i="4" s="1"/>
  <c r="M165" i="4"/>
  <c r="N165" i="4" s="1"/>
  <c r="M164" i="4"/>
  <c r="N164" i="4" s="1"/>
  <c r="M163" i="4"/>
  <c r="N163" i="4" s="1"/>
  <c r="M162" i="4"/>
  <c r="J162" i="4"/>
  <c r="I162" i="4"/>
  <c r="M161" i="4"/>
  <c r="N161" i="4" s="1"/>
  <c r="M160" i="4"/>
  <c r="N160" i="4" s="1"/>
  <c r="M159" i="4"/>
  <c r="N159" i="4" s="1"/>
  <c r="M158" i="4"/>
  <c r="N158" i="4" s="1"/>
  <c r="M157" i="4"/>
  <c r="J157" i="4"/>
  <c r="I157" i="4"/>
  <c r="N157" i="4" s="1"/>
  <c r="M156" i="4"/>
  <c r="N156" i="4" s="1"/>
  <c r="M155" i="4"/>
  <c r="N155" i="4" s="1"/>
  <c r="M154" i="4"/>
  <c r="N154" i="4" s="1"/>
  <c r="M153" i="4"/>
  <c r="N153" i="4" s="1"/>
  <c r="M152" i="4"/>
  <c r="N152" i="4" s="1"/>
  <c r="M151" i="4"/>
  <c r="N151" i="4" s="1"/>
  <c r="M150" i="4"/>
  <c r="N150" i="4" s="1"/>
  <c r="M149" i="4"/>
  <c r="N149" i="4" s="1"/>
  <c r="M147" i="4"/>
  <c r="N147" i="4" s="1"/>
  <c r="M146" i="4"/>
  <c r="N146" i="4" s="1"/>
  <c r="M145" i="4"/>
  <c r="N145" i="4" s="1"/>
  <c r="M144" i="4"/>
  <c r="N144" i="4" s="1"/>
  <c r="M143" i="4"/>
  <c r="N143" i="4" s="1"/>
  <c r="I142" i="4"/>
  <c r="M141" i="4"/>
  <c r="N141" i="4" s="1"/>
  <c r="M140" i="4"/>
  <c r="N140" i="4" s="1"/>
  <c r="M139" i="4"/>
  <c r="N139" i="4" s="1"/>
  <c r="M138" i="4"/>
  <c r="N138" i="4" s="1"/>
  <c r="M137" i="4"/>
  <c r="N137" i="4" s="1"/>
  <c r="M136" i="4"/>
  <c r="N136" i="4" s="1"/>
  <c r="M134" i="4"/>
  <c r="N134" i="4" s="1"/>
  <c r="M133" i="4"/>
  <c r="N133" i="4" s="1"/>
  <c r="M132" i="4"/>
  <c r="N132" i="4" s="1"/>
  <c r="M131" i="4"/>
  <c r="N131" i="4" s="1"/>
  <c r="M129" i="4"/>
  <c r="N129" i="4" s="1"/>
  <c r="M127" i="4"/>
  <c r="N127" i="4" s="1"/>
  <c r="M126" i="4"/>
  <c r="N126" i="4" s="1"/>
  <c r="M125" i="4"/>
  <c r="L125" i="4"/>
  <c r="N125" i="4" s="1"/>
  <c r="M124" i="4"/>
  <c r="N124" i="4" s="1"/>
  <c r="M123" i="4"/>
  <c r="J123" i="4"/>
  <c r="I123" i="4"/>
  <c r="N123" i="4" s="1"/>
  <c r="M122" i="4"/>
  <c r="N122" i="4" s="1"/>
  <c r="M121" i="4"/>
  <c r="N121" i="4" s="1"/>
  <c r="M120" i="4"/>
  <c r="N120" i="4" s="1"/>
  <c r="N119" i="4"/>
  <c r="M118" i="4"/>
  <c r="J118" i="4"/>
  <c r="I118" i="4"/>
  <c r="M117" i="4"/>
  <c r="N117" i="4" s="1"/>
  <c r="M116" i="4"/>
  <c r="N116" i="4" s="1"/>
  <c r="M115" i="4"/>
  <c r="N115" i="4" s="1"/>
  <c r="N114" i="4"/>
  <c r="M113" i="4"/>
  <c r="J113" i="4"/>
  <c r="I113" i="4"/>
  <c r="N113" i="4" s="1"/>
  <c r="M112" i="4"/>
  <c r="N112" i="4" s="1"/>
  <c r="M111" i="4"/>
  <c r="J111" i="4"/>
  <c r="N111" i="4" s="1"/>
  <c r="M110" i="4"/>
  <c r="N110" i="4" s="1"/>
  <c r="M108" i="4"/>
  <c r="N108" i="4" s="1"/>
  <c r="M107" i="4"/>
  <c r="N107" i="4" s="1"/>
  <c r="M104" i="4"/>
  <c r="N104" i="4" s="1"/>
  <c r="M103" i="4"/>
  <c r="N103" i="4" s="1"/>
  <c r="M102" i="4"/>
  <c r="N102" i="4" s="1"/>
  <c r="M100" i="4"/>
  <c r="N100" i="4" s="1"/>
  <c r="J100" i="4"/>
  <c r="M99" i="4"/>
  <c r="N99" i="4" s="1"/>
  <c r="M98" i="4"/>
  <c r="I98" i="4"/>
  <c r="N98" i="4" s="1"/>
  <c r="M93" i="4"/>
  <c r="N93" i="4" s="1"/>
  <c r="M92" i="4"/>
  <c r="N92" i="4" s="1"/>
  <c r="M89" i="4"/>
  <c r="N89" i="4" s="1"/>
  <c r="M88" i="4"/>
  <c r="N88" i="4" s="1"/>
  <c r="M87" i="4"/>
  <c r="N87" i="4" s="1"/>
  <c r="M86" i="4"/>
  <c r="N86" i="4" s="1"/>
  <c r="M85" i="4"/>
  <c r="N85" i="4" s="1"/>
  <c r="M84" i="4"/>
  <c r="I84" i="4"/>
  <c r="N84" i="4" s="1"/>
  <c r="M83" i="4"/>
  <c r="N83" i="4" s="1"/>
  <c r="M82" i="4"/>
  <c r="L82" i="4"/>
  <c r="N82" i="4" s="1"/>
  <c r="M81" i="4"/>
  <c r="J81" i="4"/>
  <c r="N81" i="4" s="1"/>
  <c r="M80" i="4"/>
  <c r="N80" i="4" s="1"/>
  <c r="M79" i="4"/>
  <c r="N79" i="4" s="1"/>
  <c r="M78" i="4"/>
  <c r="N78" i="4" s="1"/>
  <c r="M77" i="4"/>
  <c r="N77" i="4" s="1"/>
  <c r="M76" i="4"/>
  <c r="N76" i="4" s="1"/>
  <c r="M75" i="4"/>
  <c r="N75" i="4" s="1"/>
  <c r="J74" i="4"/>
  <c r="M73" i="4"/>
  <c r="N73" i="4" s="1"/>
  <c r="M72" i="4"/>
  <c r="N72" i="4" s="1"/>
  <c r="M71" i="4"/>
  <c r="J71" i="4"/>
  <c r="N71" i="4" s="1"/>
  <c r="M70" i="4"/>
  <c r="N70" i="4" s="1"/>
  <c r="M69" i="4"/>
  <c r="N69" i="4" s="1"/>
  <c r="M68" i="4"/>
  <c r="N68" i="4" s="1"/>
  <c r="M67" i="4"/>
  <c r="N67" i="4" s="1"/>
  <c r="M65" i="4"/>
  <c r="N65" i="4" s="1"/>
  <c r="M64" i="4"/>
  <c r="J64" i="4"/>
  <c r="I64" i="4"/>
  <c r="N64" i="4" s="1"/>
  <c r="M63" i="4"/>
  <c r="N63" i="4" s="1"/>
  <c r="M62" i="4"/>
  <c r="J62" i="4"/>
  <c r="I62" i="4"/>
  <c r="N62" i="4" s="1"/>
  <c r="M60" i="4"/>
  <c r="N60" i="4" s="1"/>
  <c r="M59" i="4"/>
  <c r="N59" i="4" s="1"/>
  <c r="M58" i="4"/>
  <c r="N58" i="4" s="1"/>
  <c r="M57" i="4"/>
  <c r="J57" i="4"/>
  <c r="N57" i="4" s="1"/>
  <c r="M56" i="4"/>
  <c r="L56" i="4"/>
  <c r="N56" i="4" s="1"/>
  <c r="M55" i="4"/>
  <c r="I55" i="4"/>
  <c r="M54" i="4"/>
  <c r="N54" i="4" s="1"/>
  <c r="M53" i="4"/>
  <c r="N53" i="4" s="1"/>
  <c r="M52" i="4"/>
  <c r="N52" i="4" s="1"/>
  <c r="M50" i="4"/>
  <c r="N50" i="4" s="1"/>
  <c r="M49" i="4"/>
  <c r="N49" i="4" s="1"/>
  <c r="M48" i="4"/>
  <c r="M47" i="4"/>
  <c r="N47" i="4" s="1"/>
  <c r="M46" i="4"/>
  <c r="L46" i="4"/>
  <c r="L184" i="4" s="1"/>
  <c r="M45" i="4"/>
  <c r="N45" i="4" s="1"/>
  <c r="M44" i="4"/>
  <c r="J44" i="4"/>
  <c r="I44" i="4"/>
  <c r="M43" i="4"/>
  <c r="N43" i="4" s="1"/>
  <c r="M42" i="4"/>
  <c r="N42" i="4" s="1"/>
  <c r="M41" i="4"/>
  <c r="N41" i="4" s="1"/>
  <c r="M40" i="4"/>
  <c r="N40" i="4" s="1"/>
  <c r="M39" i="4"/>
  <c r="N39" i="4" s="1"/>
  <c r="M38" i="4"/>
  <c r="N38" i="4" s="1"/>
  <c r="M37" i="4"/>
  <c r="N37" i="4" s="1"/>
  <c r="M36" i="4"/>
  <c r="N36" i="4" s="1"/>
  <c r="M35" i="4"/>
  <c r="N35" i="4" s="1"/>
  <c r="M34" i="4"/>
  <c r="N34" i="4" s="1"/>
  <c r="M33" i="4"/>
  <c r="N33" i="4" s="1"/>
  <c r="M32" i="4"/>
  <c r="N32" i="4" s="1"/>
  <c r="M31" i="4"/>
  <c r="N31" i="4" s="1"/>
  <c r="M30" i="4"/>
  <c r="N30" i="4" s="1"/>
  <c r="M29" i="4"/>
  <c r="N29" i="4" s="1"/>
  <c r="M28" i="4"/>
  <c r="N28" i="4" s="1"/>
  <c r="M27" i="4"/>
  <c r="N27" i="4" s="1"/>
  <c r="M26" i="4"/>
  <c r="N26" i="4" s="1"/>
  <c r="M25" i="4"/>
  <c r="N25" i="4" s="1"/>
  <c r="M23" i="4"/>
  <c r="N23" i="4" s="1"/>
  <c r="M22" i="4"/>
  <c r="N22" i="4" s="1"/>
  <c r="M21" i="4"/>
  <c r="N21" i="4" s="1"/>
  <c r="M20" i="4"/>
  <c r="N20" i="4" s="1"/>
  <c r="M19" i="4"/>
  <c r="N19" i="4" s="1"/>
  <c r="M18" i="4"/>
  <c r="N18" i="4" s="1"/>
  <c r="M17" i="4"/>
  <c r="J17" i="4"/>
  <c r="I17" i="4"/>
  <c r="N16" i="4"/>
  <c r="N15" i="4"/>
  <c r="N14" i="4"/>
  <c r="N13" i="4"/>
  <c r="N12" i="4"/>
  <c r="N11" i="4"/>
  <c r="N10" i="4"/>
  <c r="N9" i="4"/>
  <c r="N8" i="4"/>
  <c r="M7" i="4"/>
  <c r="N7" i="4" s="1"/>
  <c r="M6" i="4"/>
  <c r="N6" i="4" s="1"/>
  <c r="B6" i="4"/>
  <c r="M5" i="4"/>
  <c r="J5" i="4"/>
  <c r="J184" i="4" s="1"/>
  <c r="M4" i="4"/>
  <c r="N4" i="4" s="1"/>
  <c r="B4" i="4"/>
  <c r="M3" i="4"/>
  <c r="N3" i="4" s="1"/>
  <c r="B3" i="4"/>
  <c r="B5" i="4" s="1"/>
  <c r="B7" i="4" s="1"/>
  <c r="AS524" i="3"/>
  <c r="AP524" i="3"/>
  <c r="AN524" i="3"/>
  <c r="AE524" i="3"/>
  <c r="U524" i="3"/>
  <c r="AS523" i="3"/>
  <c r="AP523" i="3"/>
  <c r="AN523" i="3"/>
  <c r="AE523" i="3"/>
  <c r="U523" i="3"/>
  <c r="AS522" i="3"/>
  <c r="AP522" i="3"/>
  <c r="AN522" i="3"/>
  <c r="AE522" i="3"/>
  <c r="U522" i="3"/>
  <c r="AS521" i="3"/>
  <c r="AP521" i="3"/>
  <c r="AN521" i="3"/>
  <c r="AE521" i="3"/>
  <c r="U521" i="3"/>
  <c r="AS520" i="3"/>
  <c r="AP520" i="3"/>
  <c r="AN520" i="3"/>
  <c r="AE520" i="3"/>
  <c r="U520" i="3"/>
  <c r="AS519" i="3"/>
  <c r="AP519" i="3"/>
  <c r="AN519" i="3"/>
  <c r="AE519" i="3"/>
  <c r="U519" i="3"/>
  <c r="AS518" i="3"/>
  <c r="AP518" i="3"/>
  <c r="AN518" i="3"/>
  <c r="AE518" i="3"/>
  <c r="U518" i="3"/>
  <c r="AS517" i="3"/>
  <c r="AP517" i="3"/>
  <c r="AN517" i="3"/>
  <c r="AE517" i="3"/>
  <c r="U517" i="3"/>
  <c r="AS516" i="3"/>
  <c r="AP516" i="3"/>
  <c r="AN516" i="3"/>
  <c r="AE516" i="3"/>
  <c r="U516" i="3"/>
  <c r="AS515" i="3"/>
  <c r="AP515" i="3"/>
  <c r="AN515" i="3"/>
  <c r="AE515" i="3"/>
  <c r="U515" i="3"/>
  <c r="AS514" i="3"/>
  <c r="AP514" i="3"/>
  <c r="AN514" i="3"/>
  <c r="AE514" i="3"/>
  <c r="U514" i="3"/>
  <c r="AS513" i="3"/>
  <c r="AP513" i="3"/>
  <c r="AN513" i="3"/>
  <c r="AE513" i="3"/>
  <c r="U513" i="3"/>
  <c r="AS512" i="3"/>
  <c r="AP512" i="3"/>
  <c r="AN512" i="3"/>
  <c r="AE512" i="3"/>
  <c r="U512" i="3"/>
  <c r="AS511" i="3"/>
  <c r="AP511" i="3"/>
  <c r="AN511" i="3"/>
  <c r="AE511" i="3"/>
  <c r="U511" i="3"/>
  <c r="AS510" i="3"/>
  <c r="AP510" i="3"/>
  <c r="AN510" i="3"/>
  <c r="AE510" i="3"/>
  <c r="U510" i="3"/>
  <c r="AS509" i="3"/>
  <c r="AP509" i="3"/>
  <c r="AN509" i="3"/>
  <c r="AE509" i="3"/>
  <c r="U509" i="3"/>
  <c r="AS508" i="3"/>
  <c r="AP508" i="3"/>
  <c r="AN508" i="3"/>
  <c r="AE508" i="3"/>
  <c r="U508" i="3"/>
  <c r="AS507" i="3"/>
  <c r="AP507" i="3"/>
  <c r="AN507" i="3"/>
  <c r="AE507" i="3"/>
  <c r="U507" i="3"/>
  <c r="AS506" i="3"/>
  <c r="AP506" i="3"/>
  <c r="AN506" i="3"/>
  <c r="AE506" i="3"/>
  <c r="U506" i="3"/>
  <c r="AS505" i="3"/>
  <c r="AP505" i="3"/>
  <c r="AN505" i="3"/>
  <c r="AE505" i="3"/>
  <c r="U505" i="3"/>
  <c r="AS504" i="3"/>
  <c r="AP504" i="3"/>
  <c r="AN504" i="3"/>
  <c r="AE504" i="3"/>
  <c r="U504" i="3"/>
  <c r="AS503" i="3"/>
  <c r="AP503" i="3"/>
  <c r="AN503" i="3"/>
  <c r="AE503" i="3"/>
  <c r="U503" i="3"/>
  <c r="AS502" i="3"/>
  <c r="AP502" i="3"/>
  <c r="AN502" i="3"/>
  <c r="AE502" i="3"/>
  <c r="U502" i="3"/>
  <c r="AS501" i="3"/>
  <c r="AP501" i="3"/>
  <c r="AN501" i="3"/>
  <c r="AE501" i="3"/>
  <c r="U501" i="3"/>
  <c r="AS500" i="3"/>
  <c r="AP500" i="3"/>
  <c r="AN500" i="3"/>
  <c r="AE500" i="3"/>
  <c r="U500" i="3"/>
  <c r="AS499" i="3"/>
  <c r="AP499" i="3"/>
  <c r="AN499" i="3"/>
  <c r="AE499" i="3"/>
  <c r="U499" i="3"/>
  <c r="AS498" i="3"/>
  <c r="AP498" i="3"/>
  <c r="AN498" i="3"/>
  <c r="AE498" i="3"/>
  <c r="U498" i="3"/>
  <c r="AS497" i="3"/>
  <c r="AP497" i="3"/>
  <c r="AN497" i="3"/>
  <c r="AE497" i="3"/>
  <c r="U497" i="3"/>
  <c r="AS496" i="3"/>
  <c r="AP496" i="3"/>
  <c r="AN496" i="3"/>
  <c r="AE496" i="3"/>
  <c r="U496" i="3"/>
  <c r="AS495" i="3"/>
  <c r="AP495" i="3"/>
  <c r="AN495" i="3"/>
  <c r="AE495" i="3"/>
  <c r="U495" i="3"/>
  <c r="AS494" i="3"/>
  <c r="AP494" i="3"/>
  <c r="AN494" i="3"/>
  <c r="AE494" i="3"/>
  <c r="U494" i="3"/>
  <c r="AS493" i="3"/>
  <c r="AP493" i="3"/>
  <c r="AN493" i="3"/>
  <c r="AE493" i="3"/>
  <c r="U493" i="3"/>
  <c r="AS492" i="3"/>
  <c r="AP492" i="3"/>
  <c r="AN492" i="3"/>
  <c r="AE492" i="3"/>
  <c r="U492" i="3"/>
  <c r="AS491" i="3"/>
  <c r="AP491" i="3"/>
  <c r="AN491" i="3"/>
  <c r="AE491" i="3"/>
  <c r="U491" i="3"/>
  <c r="AS490" i="3"/>
  <c r="AP490" i="3"/>
  <c r="AN490" i="3"/>
  <c r="AE490" i="3"/>
  <c r="U490" i="3"/>
  <c r="AS489" i="3"/>
  <c r="AP489" i="3"/>
  <c r="AN489" i="3"/>
  <c r="AE489" i="3"/>
  <c r="U489" i="3"/>
  <c r="AS488" i="3"/>
  <c r="AP488" i="3"/>
  <c r="AN488" i="3"/>
  <c r="AE488" i="3"/>
  <c r="U488" i="3"/>
  <c r="AS487" i="3"/>
  <c r="AP487" i="3"/>
  <c r="AN487" i="3"/>
  <c r="AE487" i="3"/>
  <c r="U487" i="3"/>
  <c r="AS486" i="3"/>
  <c r="AP486" i="3"/>
  <c r="AN486" i="3"/>
  <c r="AE486" i="3"/>
  <c r="U486" i="3"/>
  <c r="AS485" i="3"/>
  <c r="AP485" i="3"/>
  <c r="AN485" i="3"/>
  <c r="AE485" i="3"/>
  <c r="U485" i="3"/>
  <c r="AS484" i="3"/>
  <c r="AP484" i="3"/>
  <c r="AN484" i="3"/>
  <c r="AE484" i="3"/>
  <c r="U484" i="3"/>
  <c r="AS483" i="3"/>
  <c r="AP483" i="3"/>
  <c r="AN483" i="3"/>
  <c r="AE483" i="3"/>
  <c r="U483" i="3"/>
  <c r="AS482" i="3"/>
  <c r="AP482" i="3"/>
  <c r="AN482" i="3"/>
  <c r="AE482" i="3"/>
  <c r="U482" i="3"/>
  <c r="AS481" i="3"/>
  <c r="AP481" i="3"/>
  <c r="AN481" i="3"/>
  <c r="AE481" i="3"/>
  <c r="U481" i="3"/>
  <c r="AS480" i="3"/>
  <c r="AP480" i="3"/>
  <c r="AN480" i="3"/>
  <c r="AE480" i="3"/>
  <c r="U480" i="3"/>
  <c r="AS479" i="3"/>
  <c r="AP479" i="3"/>
  <c r="AN479" i="3"/>
  <c r="AE479" i="3"/>
  <c r="U479" i="3"/>
  <c r="AS478" i="3"/>
  <c r="AP478" i="3"/>
  <c r="AN478" i="3"/>
  <c r="AE478" i="3"/>
  <c r="U478" i="3"/>
  <c r="AS477" i="3"/>
  <c r="AP477" i="3"/>
  <c r="AN477" i="3"/>
  <c r="AE477" i="3"/>
  <c r="U477" i="3"/>
  <c r="AS476" i="3"/>
  <c r="AP476" i="3"/>
  <c r="AN476" i="3"/>
  <c r="AE476" i="3"/>
  <c r="U476" i="3"/>
  <c r="AS475" i="3"/>
  <c r="AP475" i="3"/>
  <c r="AN475" i="3"/>
  <c r="AE475" i="3"/>
  <c r="U475" i="3"/>
  <c r="AS474" i="3"/>
  <c r="AP474" i="3"/>
  <c r="AN474" i="3"/>
  <c r="AE474" i="3"/>
  <c r="U474" i="3"/>
  <c r="AS473" i="3"/>
  <c r="AP473" i="3"/>
  <c r="AN473" i="3"/>
  <c r="AE473" i="3"/>
  <c r="U473" i="3"/>
  <c r="AS472" i="3"/>
  <c r="AP472" i="3"/>
  <c r="AN472" i="3"/>
  <c r="AE472" i="3"/>
  <c r="U472" i="3"/>
  <c r="AS471" i="3"/>
  <c r="AP471" i="3"/>
  <c r="AN471" i="3"/>
  <c r="AE471" i="3"/>
  <c r="U471" i="3"/>
  <c r="AS470" i="3"/>
  <c r="AP470" i="3"/>
  <c r="AN470" i="3"/>
  <c r="AE470" i="3"/>
  <c r="U470" i="3"/>
  <c r="AS469" i="3"/>
  <c r="AP469" i="3"/>
  <c r="AN469" i="3"/>
  <c r="AE469" i="3"/>
  <c r="U469" i="3"/>
  <c r="AS468" i="3"/>
  <c r="AP468" i="3"/>
  <c r="AN468" i="3"/>
  <c r="AE468" i="3"/>
  <c r="U468" i="3"/>
  <c r="AS467" i="3"/>
  <c r="AP467" i="3"/>
  <c r="AN467" i="3"/>
  <c r="AE467" i="3"/>
  <c r="U467" i="3"/>
  <c r="AS466" i="3"/>
  <c r="AP466" i="3"/>
  <c r="AN466" i="3"/>
  <c r="AE466" i="3"/>
  <c r="U466" i="3"/>
  <c r="AS465" i="3"/>
  <c r="AP465" i="3"/>
  <c r="AN465" i="3"/>
  <c r="AE465" i="3"/>
  <c r="U465" i="3"/>
  <c r="AS464" i="3"/>
  <c r="AP464" i="3"/>
  <c r="AN464" i="3"/>
  <c r="AE464" i="3"/>
  <c r="U464" i="3"/>
  <c r="AS463" i="3"/>
  <c r="AP463" i="3"/>
  <c r="AN463" i="3"/>
  <c r="AE463" i="3"/>
  <c r="U463" i="3"/>
  <c r="AS462" i="3"/>
  <c r="AP462" i="3"/>
  <c r="AN462" i="3"/>
  <c r="AE462" i="3"/>
  <c r="U462" i="3"/>
  <c r="AS461" i="3"/>
  <c r="AP461" i="3"/>
  <c r="AN461" i="3"/>
  <c r="AE461" i="3"/>
  <c r="U461" i="3"/>
  <c r="AS460" i="3"/>
  <c r="AP460" i="3"/>
  <c r="AN460" i="3"/>
  <c r="AE460" i="3"/>
  <c r="U460" i="3"/>
  <c r="AS459" i="3"/>
  <c r="AP459" i="3"/>
  <c r="AN459" i="3"/>
  <c r="AE459" i="3"/>
  <c r="U459" i="3"/>
  <c r="AS458" i="3"/>
  <c r="AP458" i="3"/>
  <c r="AN458" i="3"/>
  <c r="AE458" i="3"/>
  <c r="U458" i="3"/>
  <c r="AS457" i="3"/>
  <c r="AP457" i="3"/>
  <c r="AN457" i="3"/>
  <c r="AE457" i="3"/>
  <c r="U457" i="3"/>
  <c r="AS456" i="3"/>
  <c r="AP456" i="3"/>
  <c r="AN456" i="3"/>
  <c r="AE456" i="3"/>
  <c r="U456" i="3"/>
  <c r="AS455" i="3"/>
  <c r="AP455" i="3"/>
  <c r="AN455" i="3"/>
  <c r="AE455" i="3"/>
  <c r="U455" i="3"/>
  <c r="AS454" i="3"/>
  <c r="AP454" i="3"/>
  <c r="AN454" i="3"/>
  <c r="AE454" i="3"/>
  <c r="U454" i="3"/>
  <c r="AS453" i="3"/>
  <c r="AP453" i="3"/>
  <c r="AN453" i="3"/>
  <c r="AE453" i="3"/>
  <c r="U453" i="3"/>
  <c r="AS452" i="3"/>
  <c r="AP452" i="3"/>
  <c r="AN452" i="3"/>
  <c r="AE452" i="3"/>
  <c r="U452" i="3"/>
  <c r="AS451" i="3"/>
  <c r="AP451" i="3"/>
  <c r="AN451" i="3"/>
  <c r="AE451" i="3"/>
  <c r="U451" i="3"/>
  <c r="AS450" i="3"/>
  <c r="AP450" i="3"/>
  <c r="AN450" i="3"/>
  <c r="AE450" i="3"/>
  <c r="U450" i="3"/>
  <c r="AS449" i="3"/>
  <c r="AP449" i="3"/>
  <c r="AN449" i="3"/>
  <c r="AE449" i="3"/>
  <c r="U449" i="3"/>
  <c r="AS448" i="3"/>
  <c r="AP448" i="3"/>
  <c r="AN448" i="3"/>
  <c r="AE448" i="3"/>
  <c r="U448" i="3"/>
  <c r="AS447" i="3"/>
  <c r="AP447" i="3"/>
  <c r="AN447" i="3"/>
  <c r="AE447" i="3"/>
  <c r="U447" i="3"/>
  <c r="AS446" i="3"/>
  <c r="AP446" i="3"/>
  <c r="AN446" i="3"/>
  <c r="AE446" i="3"/>
  <c r="U446" i="3"/>
  <c r="AS445" i="3"/>
  <c r="AP445" i="3"/>
  <c r="AN445" i="3"/>
  <c r="AE445" i="3"/>
  <c r="U445" i="3"/>
  <c r="AS444" i="3"/>
  <c r="AP444" i="3"/>
  <c r="AN444" i="3"/>
  <c r="AE444" i="3"/>
  <c r="U444" i="3"/>
  <c r="AS443" i="3"/>
  <c r="AP443" i="3"/>
  <c r="AN443" i="3"/>
  <c r="AE443" i="3"/>
  <c r="U443" i="3"/>
  <c r="AS442" i="3"/>
  <c r="AP442" i="3"/>
  <c r="AN442" i="3"/>
  <c r="AE442" i="3"/>
  <c r="U442" i="3"/>
  <c r="AS441" i="3"/>
  <c r="AP441" i="3"/>
  <c r="AN441" i="3"/>
  <c r="AE441" i="3"/>
  <c r="U441" i="3"/>
  <c r="AS440" i="3"/>
  <c r="AP440" i="3"/>
  <c r="AN440" i="3"/>
  <c r="AE440" i="3"/>
  <c r="U440" i="3"/>
  <c r="AS439" i="3"/>
  <c r="AP439" i="3"/>
  <c r="AN439" i="3"/>
  <c r="AE439" i="3"/>
  <c r="U439" i="3"/>
  <c r="AS438" i="3"/>
  <c r="AP438" i="3"/>
  <c r="AN438" i="3"/>
  <c r="AE438" i="3"/>
  <c r="U438" i="3"/>
  <c r="AS437" i="3"/>
  <c r="AP437" i="3"/>
  <c r="AN437" i="3"/>
  <c r="AE437" i="3"/>
  <c r="U437" i="3"/>
  <c r="AS436" i="3"/>
  <c r="AP436" i="3"/>
  <c r="AN436" i="3"/>
  <c r="AE436" i="3"/>
  <c r="U436" i="3"/>
  <c r="AS435" i="3"/>
  <c r="AP435" i="3"/>
  <c r="AN435" i="3"/>
  <c r="AE435" i="3"/>
  <c r="U435" i="3"/>
  <c r="AS434" i="3"/>
  <c r="AP434" i="3"/>
  <c r="AN434" i="3"/>
  <c r="AE434" i="3"/>
  <c r="U434" i="3"/>
  <c r="AS433" i="3"/>
  <c r="AP433" i="3"/>
  <c r="AN433" i="3"/>
  <c r="AE433" i="3"/>
  <c r="U433" i="3"/>
  <c r="AS432" i="3"/>
  <c r="AP432" i="3"/>
  <c r="AN432" i="3"/>
  <c r="AE432" i="3"/>
  <c r="U432" i="3"/>
  <c r="AS431" i="3"/>
  <c r="AP431" i="3"/>
  <c r="AN431" i="3"/>
  <c r="AE431" i="3"/>
  <c r="U431" i="3"/>
  <c r="AS430" i="3"/>
  <c r="AP430" i="3"/>
  <c r="AN430" i="3"/>
  <c r="AE430" i="3"/>
  <c r="U430" i="3"/>
  <c r="AS429" i="3"/>
  <c r="AP429" i="3"/>
  <c r="AN429" i="3"/>
  <c r="AE429" i="3"/>
  <c r="U429" i="3"/>
  <c r="AS428" i="3"/>
  <c r="AP428" i="3"/>
  <c r="AN428" i="3"/>
  <c r="AE428" i="3"/>
  <c r="U428" i="3"/>
  <c r="AS427" i="3"/>
  <c r="AP427" i="3"/>
  <c r="AN427" i="3"/>
  <c r="AE427" i="3"/>
  <c r="U427" i="3"/>
  <c r="AS426" i="3"/>
  <c r="AP426" i="3"/>
  <c r="AN426" i="3"/>
  <c r="AE426" i="3"/>
  <c r="U426" i="3"/>
  <c r="AS425" i="3"/>
  <c r="AP425" i="3"/>
  <c r="AN425" i="3"/>
  <c r="AE425" i="3"/>
  <c r="U425" i="3"/>
  <c r="AS424" i="3"/>
  <c r="AP424" i="3"/>
  <c r="AN424" i="3"/>
  <c r="AE424" i="3"/>
  <c r="U424" i="3"/>
  <c r="AS423" i="3"/>
  <c r="AP423" i="3"/>
  <c r="AN423" i="3"/>
  <c r="AE423" i="3"/>
  <c r="U423" i="3"/>
  <c r="AS422" i="3"/>
  <c r="AP422" i="3"/>
  <c r="AN422" i="3"/>
  <c r="AE422" i="3"/>
  <c r="U422" i="3"/>
  <c r="AS421" i="3"/>
  <c r="AP421" i="3"/>
  <c r="AN421" i="3"/>
  <c r="AE421" i="3"/>
  <c r="U421" i="3"/>
  <c r="AS420" i="3"/>
  <c r="AP420" i="3"/>
  <c r="AN420" i="3"/>
  <c r="AE420" i="3"/>
  <c r="U420" i="3"/>
  <c r="AS419" i="3"/>
  <c r="AP419" i="3"/>
  <c r="AN419" i="3"/>
  <c r="AE419" i="3"/>
  <c r="U419" i="3"/>
  <c r="AS418" i="3"/>
  <c r="AP418" i="3"/>
  <c r="AN418" i="3"/>
  <c r="AE418" i="3"/>
  <c r="U418" i="3"/>
  <c r="AS417" i="3"/>
  <c r="AP417" i="3"/>
  <c r="AN417" i="3"/>
  <c r="AE417" i="3"/>
  <c r="U417" i="3"/>
  <c r="AS416" i="3"/>
  <c r="AP416" i="3"/>
  <c r="AN416" i="3"/>
  <c r="AE416" i="3"/>
  <c r="U416" i="3"/>
  <c r="AS415" i="3"/>
  <c r="AP415" i="3"/>
  <c r="AN415" i="3"/>
  <c r="AE415" i="3"/>
  <c r="U415" i="3"/>
  <c r="AS414" i="3"/>
  <c r="AP414" i="3"/>
  <c r="AN414" i="3"/>
  <c r="AE414" i="3"/>
  <c r="U414" i="3"/>
  <c r="AS413" i="3"/>
  <c r="AP413" i="3"/>
  <c r="AN413" i="3"/>
  <c r="AE413" i="3"/>
  <c r="U413" i="3"/>
  <c r="AS412" i="3"/>
  <c r="AP412" i="3"/>
  <c r="AN412" i="3"/>
  <c r="AE412" i="3"/>
  <c r="U412" i="3"/>
  <c r="AS411" i="3"/>
  <c r="AP411" i="3"/>
  <c r="AN411" i="3"/>
  <c r="AE411" i="3"/>
  <c r="U411" i="3"/>
  <c r="AS410" i="3"/>
  <c r="AP410" i="3"/>
  <c r="AN410" i="3"/>
  <c r="AE410" i="3"/>
  <c r="U410" i="3"/>
  <c r="AS409" i="3"/>
  <c r="AP409" i="3"/>
  <c r="AN409" i="3"/>
  <c r="AE409" i="3"/>
  <c r="U409" i="3"/>
  <c r="AS408" i="3"/>
  <c r="AP408" i="3"/>
  <c r="AN408" i="3"/>
  <c r="AE408" i="3"/>
  <c r="U408" i="3"/>
  <c r="AS407" i="3"/>
  <c r="AP407" i="3"/>
  <c r="AN407" i="3"/>
  <c r="AE407" i="3"/>
  <c r="U407" i="3"/>
  <c r="AS406" i="3"/>
  <c r="AP406" i="3"/>
  <c r="AN406" i="3"/>
  <c r="AE406" i="3"/>
  <c r="U406" i="3"/>
  <c r="AS405" i="3"/>
  <c r="AP405" i="3"/>
  <c r="AN405" i="3"/>
  <c r="AE405" i="3"/>
  <c r="U405" i="3"/>
  <c r="AS404" i="3"/>
  <c r="AP404" i="3"/>
  <c r="AN404" i="3"/>
  <c r="AE404" i="3"/>
  <c r="U404" i="3"/>
  <c r="AS403" i="3"/>
  <c r="AP403" i="3"/>
  <c r="AN403" i="3"/>
  <c r="AE403" i="3"/>
  <c r="U403" i="3"/>
  <c r="AS402" i="3"/>
  <c r="AP402" i="3"/>
  <c r="AN402" i="3"/>
  <c r="AE402" i="3"/>
  <c r="U402" i="3"/>
  <c r="AS401" i="3"/>
  <c r="AP401" i="3"/>
  <c r="AN401" i="3"/>
  <c r="AE401" i="3"/>
  <c r="U401" i="3"/>
  <c r="AS400" i="3"/>
  <c r="AP400" i="3"/>
  <c r="AN400" i="3"/>
  <c r="AE400" i="3"/>
  <c r="U400" i="3"/>
  <c r="AS399" i="3"/>
  <c r="AP399" i="3"/>
  <c r="AN399" i="3"/>
  <c r="AE399" i="3"/>
  <c r="U399" i="3"/>
  <c r="AS398" i="3"/>
  <c r="AP398" i="3"/>
  <c r="AN398" i="3"/>
  <c r="AE398" i="3"/>
  <c r="U398" i="3"/>
  <c r="AS397" i="3"/>
  <c r="AP397" i="3"/>
  <c r="AN397" i="3"/>
  <c r="AE397" i="3"/>
  <c r="U397" i="3"/>
  <c r="AS396" i="3"/>
  <c r="AP396" i="3"/>
  <c r="AN396" i="3"/>
  <c r="AE396" i="3"/>
  <c r="U396" i="3"/>
  <c r="AS395" i="3"/>
  <c r="AP395" i="3"/>
  <c r="AN395" i="3"/>
  <c r="AE395" i="3"/>
  <c r="U395" i="3"/>
  <c r="AS394" i="3"/>
  <c r="AP394" i="3"/>
  <c r="AN394" i="3"/>
  <c r="AE394" i="3"/>
  <c r="U394" i="3"/>
  <c r="AS393" i="3"/>
  <c r="AP393" i="3"/>
  <c r="AN393" i="3"/>
  <c r="AE393" i="3"/>
  <c r="U393" i="3"/>
  <c r="AS392" i="3"/>
  <c r="AP392" i="3"/>
  <c r="AN392" i="3"/>
  <c r="AE392" i="3"/>
  <c r="U392" i="3"/>
  <c r="AS391" i="3"/>
  <c r="AP391" i="3"/>
  <c r="AN391" i="3"/>
  <c r="AE391" i="3"/>
  <c r="U391" i="3"/>
  <c r="AS390" i="3"/>
  <c r="AP390" i="3"/>
  <c r="AN390" i="3"/>
  <c r="AE390" i="3"/>
  <c r="U390" i="3"/>
  <c r="AS389" i="3"/>
  <c r="AP389" i="3"/>
  <c r="AN389" i="3"/>
  <c r="AE389" i="3"/>
  <c r="U389" i="3"/>
  <c r="AS388" i="3"/>
  <c r="AP388" i="3"/>
  <c r="AN388" i="3"/>
  <c r="AE388" i="3"/>
  <c r="U388" i="3"/>
  <c r="AS387" i="3"/>
  <c r="AP387" i="3"/>
  <c r="AN387" i="3"/>
  <c r="AE387" i="3"/>
  <c r="U387" i="3"/>
  <c r="AS386" i="3"/>
  <c r="AP386" i="3"/>
  <c r="AN386" i="3"/>
  <c r="AE386" i="3"/>
  <c r="U386" i="3"/>
  <c r="AS385" i="3"/>
  <c r="AP385" i="3"/>
  <c r="AN385" i="3"/>
  <c r="AE385" i="3"/>
  <c r="U385" i="3"/>
  <c r="AS384" i="3"/>
  <c r="AP384" i="3"/>
  <c r="AN384" i="3"/>
  <c r="AE384" i="3"/>
  <c r="U384" i="3"/>
  <c r="AS383" i="3"/>
  <c r="AP383" i="3"/>
  <c r="AN383" i="3"/>
  <c r="AE383" i="3"/>
  <c r="U383" i="3"/>
  <c r="AS382" i="3"/>
  <c r="AP382" i="3"/>
  <c r="AN382" i="3"/>
  <c r="AE382" i="3"/>
  <c r="U382" i="3"/>
  <c r="AS381" i="3"/>
  <c r="AP381" i="3"/>
  <c r="AN381" i="3"/>
  <c r="AE381" i="3"/>
  <c r="U381" i="3"/>
  <c r="AS380" i="3"/>
  <c r="AP380" i="3"/>
  <c r="AN380" i="3"/>
  <c r="AE380" i="3"/>
  <c r="U380" i="3"/>
  <c r="AS379" i="3"/>
  <c r="AP379" i="3"/>
  <c r="AN379" i="3"/>
  <c r="AE379" i="3"/>
  <c r="U379" i="3"/>
  <c r="AS378" i="3"/>
  <c r="AP378" i="3"/>
  <c r="AN378" i="3"/>
  <c r="AE378" i="3"/>
  <c r="U378" i="3"/>
  <c r="AS377" i="3"/>
  <c r="AP377" i="3"/>
  <c r="AN377" i="3"/>
  <c r="AE377" i="3"/>
  <c r="U377" i="3"/>
  <c r="AS376" i="3"/>
  <c r="AP376" i="3"/>
  <c r="AN376" i="3"/>
  <c r="AE376" i="3"/>
  <c r="U376" i="3"/>
  <c r="AS375" i="3"/>
  <c r="AP375" i="3"/>
  <c r="AN375" i="3"/>
  <c r="AE375" i="3"/>
  <c r="U375" i="3"/>
  <c r="AS374" i="3"/>
  <c r="AP374" i="3"/>
  <c r="AN374" i="3"/>
  <c r="AE374" i="3"/>
  <c r="U374" i="3"/>
  <c r="AS373" i="3"/>
  <c r="AP373" i="3"/>
  <c r="AN373" i="3"/>
  <c r="AE373" i="3"/>
  <c r="U373" i="3"/>
  <c r="AS372" i="3"/>
  <c r="AP372" i="3"/>
  <c r="AN372" i="3"/>
  <c r="AE372" i="3"/>
  <c r="U372" i="3"/>
  <c r="AS371" i="3"/>
  <c r="AP371" i="3"/>
  <c r="AN371" i="3"/>
  <c r="AE371" i="3"/>
  <c r="U371" i="3"/>
  <c r="AS370" i="3"/>
  <c r="AP370" i="3"/>
  <c r="AN370" i="3"/>
  <c r="AE370" i="3"/>
  <c r="U370" i="3"/>
  <c r="AS369" i="3"/>
  <c r="AP369" i="3"/>
  <c r="AN369" i="3"/>
  <c r="AE369" i="3"/>
  <c r="U369" i="3"/>
  <c r="AS368" i="3"/>
  <c r="AP368" i="3"/>
  <c r="AN368" i="3"/>
  <c r="AE368" i="3"/>
  <c r="U368" i="3"/>
  <c r="AS367" i="3"/>
  <c r="AP367" i="3"/>
  <c r="AN367" i="3"/>
  <c r="AE367" i="3"/>
  <c r="U367" i="3"/>
  <c r="AS366" i="3"/>
  <c r="AP366" i="3"/>
  <c r="AN366" i="3"/>
  <c r="AE366" i="3"/>
  <c r="U366" i="3"/>
  <c r="AS365" i="3"/>
  <c r="AP365" i="3"/>
  <c r="AN365" i="3"/>
  <c r="AE365" i="3"/>
  <c r="U365" i="3"/>
  <c r="AS364" i="3"/>
  <c r="AP364" i="3"/>
  <c r="AN364" i="3"/>
  <c r="AE364" i="3"/>
  <c r="U364" i="3"/>
  <c r="AS363" i="3"/>
  <c r="AP363" i="3"/>
  <c r="AN363" i="3"/>
  <c r="AE363" i="3"/>
  <c r="U363" i="3"/>
  <c r="AS362" i="3"/>
  <c r="AP362" i="3"/>
  <c r="AN362" i="3"/>
  <c r="AE362" i="3"/>
  <c r="U362" i="3"/>
  <c r="AS361" i="3"/>
  <c r="AP361" i="3"/>
  <c r="AN361" i="3"/>
  <c r="AE361" i="3"/>
  <c r="U361" i="3"/>
  <c r="AS360" i="3"/>
  <c r="AP360" i="3"/>
  <c r="AN360" i="3"/>
  <c r="AE360" i="3"/>
  <c r="U360" i="3"/>
  <c r="AS359" i="3"/>
  <c r="AP359" i="3"/>
  <c r="AN359" i="3"/>
  <c r="AE359" i="3"/>
  <c r="U359" i="3"/>
  <c r="AS358" i="3"/>
  <c r="AP358" i="3"/>
  <c r="AN358" i="3"/>
  <c r="AE358" i="3"/>
  <c r="U358" i="3"/>
  <c r="AS357" i="3"/>
  <c r="AP357" i="3"/>
  <c r="AN357" i="3"/>
  <c r="AE357" i="3"/>
  <c r="U357" i="3"/>
  <c r="AS356" i="3"/>
  <c r="AP356" i="3"/>
  <c r="AN356" i="3"/>
  <c r="AE356" i="3"/>
  <c r="U356" i="3"/>
  <c r="AS355" i="3"/>
  <c r="AP355" i="3"/>
  <c r="AN355" i="3"/>
  <c r="AE355" i="3"/>
  <c r="U355" i="3"/>
  <c r="AS354" i="3"/>
  <c r="AP354" i="3"/>
  <c r="AN354" i="3"/>
  <c r="AE354" i="3"/>
  <c r="U354" i="3"/>
  <c r="AS353" i="3"/>
  <c r="AP353" i="3"/>
  <c r="AN353" i="3"/>
  <c r="AE353" i="3"/>
  <c r="U353" i="3"/>
  <c r="AS352" i="3"/>
  <c r="AP352" i="3"/>
  <c r="AN352" i="3"/>
  <c r="AE352" i="3"/>
  <c r="U352" i="3"/>
  <c r="AS351" i="3"/>
  <c r="AP351" i="3"/>
  <c r="AN351" i="3"/>
  <c r="AE351" i="3"/>
  <c r="U351" i="3"/>
  <c r="AS350" i="3"/>
  <c r="AP350" i="3"/>
  <c r="AN350" i="3"/>
  <c r="AE350" i="3"/>
  <c r="U350" i="3"/>
  <c r="AS349" i="3"/>
  <c r="AP349" i="3"/>
  <c r="AN349" i="3"/>
  <c r="AE349" i="3"/>
  <c r="U349" i="3"/>
  <c r="AS348" i="3"/>
  <c r="AP348" i="3"/>
  <c r="AN348" i="3"/>
  <c r="AE348" i="3"/>
  <c r="U348" i="3"/>
  <c r="AS347" i="3"/>
  <c r="AP347" i="3"/>
  <c r="AN347" i="3"/>
  <c r="AE347" i="3"/>
  <c r="U347" i="3"/>
  <c r="AS346" i="3"/>
  <c r="AP346" i="3"/>
  <c r="AN346" i="3"/>
  <c r="AE346" i="3"/>
  <c r="U346" i="3"/>
  <c r="AS345" i="3"/>
  <c r="AP345" i="3"/>
  <c r="AN345" i="3"/>
  <c r="AE345" i="3"/>
  <c r="U345" i="3"/>
  <c r="AS344" i="3"/>
  <c r="AP344" i="3"/>
  <c r="AN344" i="3"/>
  <c r="AE344" i="3"/>
  <c r="U344" i="3"/>
  <c r="AS343" i="3"/>
  <c r="AP343" i="3"/>
  <c r="AN343" i="3"/>
  <c r="AE343" i="3"/>
  <c r="U343" i="3"/>
  <c r="AS342" i="3"/>
  <c r="AP342" i="3"/>
  <c r="AN342" i="3"/>
  <c r="AE342" i="3"/>
  <c r="U342" i="3"/>
  <c r="AS341" i="3"/>
  <c r="AP341" i="3"/>
  <c r="AN341" i="3"/>
  <c r="AE341" i="3"/>
  <c r="U341" i="3"/>
  <c r="AS340" i="3"/>
  <c r="AP340" i="3"/>
  <c r="AN340" i="3"/>
  <c r="AE340" i="3"/>
  <c r="U340" i="3"/>
  <c r="AS339" i="3"/>
  <c r="AP339" i="3"/>
  <c r="AN339" i="3"/>
  <c r="AE339" i="3"/>
  <c r="U339" i="3"/>
  <c r="AS338" i="3"/>
  <c r="AP338" i="3"/>
  <c r="AN338" i="3"/>
  <c r="AE338" i="3"/>
  <c r="U338" i="3"/>
  <c r="AS337" i="3"/>
  <c r="AP337" i="3"/>
  <c r="AN337" i="3"/>
  <c r="AE337" i="3"/>
  <c r="U337" i="3"/>
  <c r="AS336" i="3"/>
  <c r="AP336" i="3"/>
  <c r="AN336" i="3"/>
  <c r="AE336" i="3"/>
  <c r="U336" i="3"/>
  <c r="AS335" i="3"/>
  <c r="AP335" i="3"/>
  <c r="AN335" i="3"/>
  <c r="AE335" i="3"/>
  <c r="U335" i="3"/>
  <c r="AS334" i="3"/>
  <c r="AP334" i="3"/>
  <c r="AN334" i="3"/>
  <c r="AE334" i="3"/>
  <c r="U334" i="3"/>
  <c r="AS333" i="3"/>
  <c r="AP333" i="3"/>
  <c r="AN333" i="3"/>
  <c r="AE333" i="3"/>
  <c r="U333" i="3"/>
  <c r="AS332" i="3"/>
  <c r="AP332" i="3"/>
  <c r="AN332" i="3"/>
  <c r="AE332" i="3"/>
  <c r="U332" i="3"/>
  <c r="AS331" i="3"/>
  <c r="AP331" i="3"/>
  <c r="AN331" i="3"/>
  <c r="AE331" i="3"/>
  <c r="U331" i="3"/>
  <c r="AS330" i="3"/>
  <c r="AP330" i="3"/>
  <c r="AN330" i="3"/>
  <c r="AE330" i="3"/>
  <c r="U330" i="3"/>
  <c r="AS329" i="3"/>
  <c r="AP329" i="3"/>
  <c r="AN329" i="3"/>
  <c r="AE329" i="3"/>
  <c r="U329" i="3"/>
  <c r="AS328" i="3"/>
  <c r="AP328" i="3"/>
  <c r="AN328" i="3"/>
  <c r="AE328" i="3"/>
  <c r="U328" i="3"/>
  <c r="AS327" i="3"/>
  <c r="AP327" i="3"/>
  <c r="AN327" i="3"/>
  <c r="AE327" i="3"/>
  <c r="U327" i="3"/>
  <c r="AN326" i="3"/>
  <c r="AE326" i="3"/>
  <c r="AN325" i="3"/>
  <c r="AE325" i="3"/>
  <c r="AP324" i="3"/>
  <c r="AN324" i="3"/>
  <c r="AE324" i="3"/>
  <c r="AP323" i="3"/>
  <c r="AN323" i="3"/>
  <c r="AE323" i="3"/>
  <c r="AP322" i="3"/>
  <c r="AN322" i="3"/>
  <c r="AE322" i="3"/>
  <c r="AN321" i="3"/>
  <c r="AE321" i="3"/>
  <c r="AN320" i="3"/>
  <c r="AE320" i="3"/>
  <c r="AN319" i="3"/>
  <c r="AE319" i="3"/>
  <c r="AN318" i="3"/>
  <c r="AE318" i="3"/>
  <c r="AN317" i="3"/>
  <c r="AE317" i="3"/>
  <c r="AE316" i="3"/>
  <c r="AN315" i="3"/>
  <c r="AE315" i="3"/>
  <c r="AN314" i="3"/>
  <c r="AE314" i="3"/>
  <c r="AN313" i="3"/>
  <c r="AE313" i="3"/>
  <c r="AP312" i="3"/>
  <c r="AN312" i="3"/>
  <c r="AE312" i="3"/>
  <c r="W312" i="3"/>
  <c r="K312" i="3"/>
  <c r="M312" i="3" s="1"/>
  <c r="F312" i="3"/>
  <c r="H312" i="3" s="1"/>
  <c r="C312" i="3"/>
  <c r="AP311" i="3"/>
  <c r="AN311" i="3"/>
  <c r="AE311" i="3"/>
  <c r="W311" i="3"/>
  <c r="K311" i="3"/>
  <c r="M311" i="3" s="1"/>
  <c r="F311" i="3"/>
  <c r="H311" i="3" s="1"/>
  <c r="C311" i="3"/>
  <c r="AP310" i="3"/>
  <c r="AN310" i="3"/>
  <c r="AK310" i="3"/>
  <c r="AE310" i="3"/>
  <c r="Y310" i="3"/>
  <c r="W310" i="3"/>
  <c r="T310" i="3"/>
  <c r="S310" i="3"/>
  <c r="O310" i="3"/>
  <c r="N310" i="3"/>
  <c r="K310" i="3"/>
  <c r="M310" i="3" s="1"/>
  <c r="F310" i="3"/>
  <c r="H310" i="3" s="1"/>
  <c r="C310" i="3"/>
  <c r="AP309" i="3"/>
  <c r="AN309" i="3"/>
  <c r="AE309" i="3"/>
  <c r="Y309" i="3"/>
  <c r="W309" i="3"/>
  <c r="T309" i="3"/>
  <c r="K309" i="3"/>
  <c r="M309" i="3" s="1"/>
  <c r="F309" i="3"/>
  <c r="H309" i="3" s="1"/>
  <c r="E309" i="3"/>
  <c r="U309" i="3" s="1"/>
  <c r="AS309" i="3" s="1"/>
  <c r="C309" i="3"/>
  <c r="I309" i="3" s="1"/>
  <c r="J309" i="3" s="1"/>
  <c r="AP308" i="3"/>
  <c r="AN308" i="3"/>
  <c r="AH308" i="3"/>
  <c r="AE308" i="3"/>
  <c r="Y308" i="3"/>
  <c r="X308" i="3"/>
  <c r="W308" i="3"/>
  <c r="T308" i="3"/>
  <c r="P308" i="3"/>
  <c r="O308" i="3"/>
  <c r="N308" i="3"/>
  <c r="K308" i="3"/>
  <c r="M308" i="3" s="1"/>
  <c r="F308" i="3"/>
  <c r="H308" i="3" s="1"/>
  <c r="C308" i="3"/>
  <c r="AP307" i="3"/>
  <c r="AN307" i="3"/>
  <c r="AE307" i="3"/>
  <c r="Y307" i="3"/>
  <c r="W307" i="3"/>
  <c r="T307" i="3"/>
  <c r="S307" i="3"/>
  <c r="O307" i="3"/>
  <c r="K307" i="3"/>
  <c r="M307" i="3" s="1"/>
  <c r="F307" i="3"/>
  <c r="H307" i="3" s="1"/>
  <c r="C307" i="3"/>
  <c r="AP306" i="3"/>
  <c r="AN306" i="3"/>
  <c r="AK306" i="3"/>
  <c r="AI306" i="3"/>
  <c r="AE306" i="3"/>
  <c r="Y306" i="3"/>
  <c r="W306" i="3"/>
  <c r="T306" i="3"/>
  <c r="S306" i="3"/>
  <c r="P306" i="3"/>
  <c r="O306" i="3"/>
  <c r="N306" i="3"/>
  <c r="K306" i="3"/>
  <c r="M306" i="3" s="1"/>
  <c r="F306" i="3"/>
  <c r="H306" i="3" s="1"/>
  <c r="C306" i="3"/>
  <c r="AP305" i="3"/>
  <c r="AN305" i="3"/>
  <c r="AE305" i="3"/>
  <c r="Y305" i="3"/>
  <c r="W305" i="3"/>
  <c r="T305" i="3"/>
  <c r="O305" i="3"/>
  <c r="K305" i="3"/>
  <c r="M305" i="3" s="1"/>
  <c r="F305" i="3"/>
  <c r="H305" i="3" s="1"/>
  <c r="C305" i="3"/>
  <c r="AP304" i="3"/>
  <c r="AN304" i="3"/>
  <c r="AE304" i="3"/>
  <c r="K304" i="3"/>
  <c r="M304" i="3" s="1"/>
  <c r="F304" i="3"/>
  <c r="H304" i="3" s="1"/>
  <c r="C304" i="3"/>
  <c r="AP303" i="3"/>
  <c r="AN303" i="3"/>
  <c r="AE303" i="3"/>
  <c r="W303" i="3"/>
  <c r="K303" i="3"/>
  <c r="M303" i="3" s="1"/>
  <c r="F303" i="3"/>
  <c r="H303" i="3" s="1"/>
  <c r="C303" i="3"/>
  <c r="AP302" i="3"/>
  <c r="AN302" i="3"/>
  <c r="AK302" i="3"/>
  <c r="AE302" i="3"/>
  <c r="Y302" i="3"/>
  <c r="W302" i="3"/>
  <c r="O302" i="3"/>
  <c r="K302" i="3"/>
  <c r="M302" i="3" s="1"/>
  <c r="F302" i="3"/>
  <c r="H302" i="3" s="1"/>
  <c r="C302" i="3"/>
  <c r="AP301" i="3"/>
  <c r="AN301" i="3"/>
  <c r="AE301" i="3"/>
  <c r="Y301" i="3"/>
  <c r="W301" i="3"/>
  <c r="T301" i="3"/>
  <c r="N301" i="3"/>
  <c r="K301" i="3"/>
  <c r="M301" i="3" s="1"/>
  <c r="F301" i="3"/>
  <c r="H301" i="3" s="1"/>
  <c r="C301" i="3"/>
  <c r="AP300" i="3"/>
  <c r="AN300" i="3"/>
  <c r="AE300" i="3"/>
  <c r="Y300" i="3"/>
  <c r="X300" i="3"/>
  <c r="W300" i="3"/>
  <c r="T300" i="3"/>
  <c r="S300" i="3"/>
  <c r="O300" i="3"/>
  <c r="N300" i="3"/>
  <c r="K300" i="3"/>
  <c r="M300" i="3" s="1"/>
  <c r="F300" i="3"/>
  <c r="H300" i="3" s="1"/>
  <c r="C300" i="3"/>
  <c r="AP299" i="3"/>
  <c r="AN299" i="3"/>
  <c r="AE299" i="3"/>
  <c r="W299" i="3"/>
  <c r="K299" i="3"/>
  <c r="M299" i="3" s="1"/>
  <c r="F299" i="3"/>
  <c r="H299" i="3" s="1"/>
  <c r="C299" i="3"/>
  <c r="AP298" i="3"/>
  <c r="AN298" i="3"/>
  <c r="AI298" i="3"/>
  <c r="AE298" i="3"/>
  <c r="Y298" i="3"/>
  <c r="W298" i="3"/>
  <c r="T298" i="3"/>
  <c r="S298" i="3"/>
  <c r="O298" i="3"/>
  <c r="N298" i="3"/>
  <c r="K298" i="3"/>
  <c r="M298" i="3" s="1"/>
  <c r="F298" i="3"/>
  <c r="H298" i="3" s="1"/>
  <c r="C298" i="3"/>
  <c r="AP297" i="3"/>
  <c r="AN297" i="3"/>
  <c r="AE297" i="3"/>
  <c r="K297" i="3"/>
  <c r="M297" i="3" s="1"/>
  <c r="F297" i="3"/>
  <c r="H297" i="3" s="1"/>
  <c r="C297" i="3"/>
  <c r="AP296" i="3"/>
  <c r="AN296" i="3"/>
  <c r="AE296" i="3"/>
  <c r="K296" i="3"/>
  <c r="M296" i="3" s="1"/>
  <c r="F296" i="3"/>
  <c r="H296" i="3" s="1"/>
  <c r="C296" i="3"/>
  <c r="AP295" i="3"/>
  <c r="AN295" i="3"/>
  <c r="AE295" i="3"/>
  <c r="W295" i="3"/>
  <c r="K295" i="3"/>
  <c r="M295" i="3" s="1"/>
  <c r="F295" i="3"/>
  <c r="H295" i="3" s="1"/>
  <c r="C295" i="3"/>
  <c r="AP294" i="3"/>
  <c r="AN294" i="3"/>
  <c r="AK294" i="3"/>
  <c r="AE294" i="3"/>
  <c r="Y294" i="3"/>
  <c r="W294" i="3"/>
  <c r="T294" i="3"/>
  <c r="O294" i="3"/>
  <c r="N294" i="3"/>
  <c r="K294" i="3"/>
  <c r="M294" i="3" s="1"/>
  <c r="F294" i="3"/>
  <c r="H294" i="3" s="1"/>
  <c r="C294" i="3"/>
  <c r="AP293" i="3"/>
  <c r="AN293" i="3"/>
  <c r="AK293" i="3"/>
  <c r="AI293" i="3"/>
  <c r="AG293" i="3"/>
  <c r="AE293" i="3"/>
  <c r="Y293" i="3"/>
  <c r="X293" i="3"/>
  <c r="W293" i="3"/>
  <c r="T293" i="3"/>
  <c r="S293" i="3"/>
  <c r="O293" i="3"/>
  <c r="N293" i="3"/>
  <c r="K293" i="3"/>
  <c r="M293" i="3" s="1"/>
  <c r="F293" i="3"/>
  <c r="H293" i="3" s="1"/>
  <c r="C293" i="3"/>
  <c r="AP292" i="3"/>
  <c r="AN292" i="3"/>
  <c r="AK292" i="3"/>
  <c r="AE292" i="3"/>
  <c r="Y292" i="3"/>
  <c r="W292" i="3"/>
  <c r="T292" i="3"/>
  <c r="P292" i="3"/>
  <c r="O292" i="3"/>
  <c r="N292" i="3"/>
  <c r="K292" i="3"/>
  <c r="M292" i="3" s="1"/>
  <c r="F292" i="3"/>
  <c r="H292" i="3" s="1"/>
  <c r="C292" i="3"/>
  <c r="AP291" i="3"/>
  <c r="AN291" i="3"/>
  <c r="AE291" i="3"/>
  <c r="Y291" i="3"/>
  <c r="W291" i="3"/>
  <c r="T291" i="3"/>
  <c r="N291" i="3"/>
  <c r="K291" i="3"/>
  <c r="M291" i="3" s="1"/>
  <c r="F291" i="3"/>
  <c r="H291" i="3" s="1"/>
  <c r="C291" i="3"/>
  <c r="AP290" i="3"/>
  <c r="AN290" i="3"/>
  <c r="AI290" i="3"/>
  <c r="AE290" i="3"/>
  <c r="Y290" i="3"/>
  <c r="X290" i="3"/>
  <c r="W290" i="3"/>
  <c r="T290" i="3"/>
  <c r="O290" i="3"/>
  <c r="N290" i="3"/>
  <c r="K290" i="3"/>
  <c r="M290" i="3" s="1"/>
  <c r="F290" i="3"/>
  <c r="H290" i="3" s="1"/>
  <c r="C290" i="3"/>
  <c r="AP289" i="3"/>
  <c r="AN289" i="3"/>
  <c r="AE289" i="3"/>
  <c r="Y289" i="3"/>
  <c r="W289" i="3"/>
  <c r="T289" i="3"/>
  <c r="S289" i="3"/>
  <c r="O289" i="3"/>
  <c r="N289" i="3"/>
  <c r="K289" i="3"/>
  <c r="M289" i="3" s="1"/>
  <c r="F289" i="3"/>
  <c r="H289" i="3" s="1"/>
  <c r="C289" i="3"/>
  <c r="AP288" i="3"/>
  <c r="AN288" i="3"/>
  <c r="AE288" i="3"/>
  <c r="W288" i="3"/>
  <c r="K288" i="3"/>
  <c r="M288" i="3" s="1"/>
  <c r="F288" i="3"/>
  <c r="H288" i="3" s="1"/>
  <c r="C288" i="3"/>
  <c r="AP287" i="3"/>
  <c r="AN287" i="3"/>
  <c r="AE287" i="3"/>
  <c r="W287" i="3"/>
  <c r="K287" i="3"/>
  <c r="M287" i="3" s="1"/>
  <c r="F287" i="3"/>
  <c r="H287" i="3" s="1"/>
  <c r="C287" i="3"/>
  <c r="AP286" i="3"/>
  <c r="AN286" i="3"/>
  <c r="AE286" i="3"/>
  <c r="W286" i="3"/>
  <c r="K286" i="3"/>
  <c r="M286" i="3" s="1"/>
  <c r="F286" i="3"/>
  <c r="H286" i="3" s="1"/>
  <c r="C286" i="3"/>
  <c r="AP285" i="3"/>
  <c r="AN285" i="3"/>
  <c r="AE285" i="3"/>
  <c r="Y285" i="3"/>
  <c r="W285" i="3"/>
  <c r="T285" i="3"/>
  <c r="S285" i="3"/>
  <c r="P285" i="3"/>
  <c r="O285" i="3"/>
  <c r="N285" i="3"/>
  <c r="K285" i="3"/>
  <c r="M285" i="3" s="1"/>
  <c r="F285" i="3"/>
  <c r="H285" i="3" s="1"/>
  <c r="C285" i="3"/>
  <c r="AP284" i="3"/>
  <c r="AN284" i="3"/>
  <c r="AE284" i="3"/>
  <c r="W284" i="3"/>
  <c r="K284" i="3"/>
  <c r="M284" i="3" s="1"/>
  <c r="F284" i="3"/>
  <c r="H284" i="3" s="1"/>
  <c r="C284" i="3"/>
  <c r="AP283" i="3"/>
  <c r="AN283" i="3"/>
  <c r="AE283" i="3"/>
  <c r="K283" i="3"/>
  <c r="M283" i="3" s="1"/>
  <c r="F283" i="3"/>
  <c r="H283" i="3" s="1"/>
  <c r="C283" i="3"/>
  <c r="AP282" i="3"/>
  <c r="AN282" i="3"/>
  <c r="AE282" i="3"/>
  <c r="W282" i="3"/>
  <c r="K282" i="3"/>
  <c r="M282" i="3" s="1"/>
  <c r="F282" i="3"/>
  <c r="H282" i="3" s="1"/>
  <c r="C282" i="3"/>
  <c r="AP281" i="3"/>
  <c r="AN281" i="3"/>
  <c r="AE281" i="3"/>
  <c r="Y281" i="3"/>
  <c r="W281" i="3"/>
  <c r="T281" i="3"/>
  <c r="O281" i="3"/>
  <c r="N281" i="3"/>
  <c r="K281" i="3"/>
  <c r="M281" i="3" s="1"/>
  <c r="F281" i="3"/>
  <c r="H281" i="3" s="1"/>
  <c r="C281" i="3"/>
  <c r="AP280" i="3"/>
  <c r="AN280" i="3"/>
  <c r="AK280" i="3"/>
  <c r="AE280" i="3"/>
  <c r="Y280" i="3"/>
  <c r="W280" i="3"/>
  <c r="T280" i="3"/>
  <c r="S280" i="3"/>
  <c r="O280" i="3"/>
  <c r="N280" i="3"/>
  <c r="K280" i="3"/>
  <c r="M280" i="3" s="1"/>
  <c r="F280" i="3"/>
  <c r="H280" i="3" s="1"/>
  <c r="C280" i="3"/>
  <c r="AP279" i="3"/>
  <c r="AN279" i="3"/>
  <c r="AE279" i="3"/>
  <c r="W279" i="3"/>
  <c r="K279" i="3"/>
  <c r="M279" i="3" s="1"/>
  <c r="F279" i="3"/>
  <c r="H279" i="3" s="1"/>
  <c r="C279" i="3"/>
  <c r="AP278" i="3"/>
  <c r="AN278" i="3"/>
  <c r="AE278" i="3"/>
  <c r="K278" i="3"/>
  <c r="M278" i="3" s="1"/>
  <c r="F278" i="3"/>
  <c r="H278" i="3" s="1"/>
  <c r="C278" i="3"/>
  <c r="AP277" i="3"/>
  <c r="AN277" i="3"/>
  <c r="AE277" i="3"/>
  <c r="K277" i="3"/>
  <c r="M277" i="3" s="1"/>
  <c r="F277" i="3"/>
  <c r="H277" i="3" s="1"/>
  <c r="C277" i="3"/>
  <c r="AP276" i="3"/>
  <c r="AN276" i="3"/>
  <c r="AK276" i="3"/>
  <c r="AI276" i="3"/>
  <c r="AE276" i="3"/>
  <c r="Y276" i="3"/>
  <c r="X276" i="3"/>
  <c r="W276" i="3"/>
  <c r="T276" i="3"/>
  <c r="O276" i="3"/>
  <c r="N276" i="3"/>
  <c r="K276" i="3"/>
  <c r="M276" i="3" s="1"/>
  <c r="F276" i="3"/>
  <c r="H276" i="3" s="1"/>
  <c r="C276" i="3"/>
  <c r="AP275" i="3"/>
  <c r="AN275" i="3"/>
  <c r="AE275" i="3"/>
  <c r="Y275" i="3"/>
  <c r="W275" i="3"/>
  <c r="K275" i="3"/>
  <c r="M275" i="3" s="1"/>
  <c r="F275" i="3"/>
  <c r="H275" i="3" s="1"/>
  <c r="C275" i="3"/>
  <c r="AP274" i="3"/>
  <c r="AN274" i="3"/>
  <c r="AE274" i="3"/>
  <c r="Y274" i="3"/>
  <c r="W274" i="3"/>
  <c r="K274" i="3"/>
  <c r="M274" i="3" s="1"/>
  <c r="F274" i="3"/>
  <c r="H274" i="3" s="1"/>
  <c r="C274" i="3"/>
  <c r="AP273" i="3"/>
  <c r="AN273" i="3"/>
  <c r="AE273" i="3"/>
  <c r="W273" i="3"/>
  <c r="K273" i="3"/>
  <c r="M273" i="3" s="1"/>
  <c r="F273" i="3"/>
  <c r="H273" i="3" s="1"/>
  <c r="C273" i="3"/>
  <c r="AP272" i="3"/>
  <c r="AN272" i="3"/>
  <c r="AE272" i="3"/>
  <c r="Y272" i="3"/>
  <c r="W272" i="3"/>
  <c r="T272" i="3"/>
  <c r="O272" i="3"/>
  <c r="N272" i="3"/>
  <c r="K272" i="3"/>
  <c r="M272" i="3" s="1"/>
  <c r="F272" i="3"/>
  <c r="H272" i="3" s="1"/>
  <c r="C272" i="3"/>
  <c r="AP271" i="3"/>
  <c r="AN271" i="3"/>
  <c r="AE271" i="3"/>
  <c r="W271" i="3"/>
  <c r="K271" i="3"/>
  <c r="M271" i="3" s="1"/>
  <c r="F271" i="3"/>
  <c r="H271" i="3" s="1"/>
  <c r="C271" i="3"/>
  <c r="AP270" i="3"/>
  <c r="AN270" i="3"/>
  <c r="AK270" i="3"/>
  <c r="AE270" i="3"/>
  <c r="Y270" i="3"/>
  <c r="X270" i="3"/>
  <c r="W270" i="3"/>
  <c r="T270" i="3"/>
  <c r="S270" i="3"/>
  <c r="O270" i="3"/>
  <c r="N270" i="3"/>
  <c r="K270" i="3"/>
  <c r="M270" i="3" s="1"/>
  <c r="F270" i="3"/>
  <c r="H270" i="3" s="1"/>
  <c r="C270" i="3"/>
  <c r="AP269" i="3"/>
  <c r="AN269" i="3"/>
  <c r="AE269" i="3"/>
  <c r="Y269" i="3"/>
  <c r="W269" i="3"/>
  <c r="T269" i="3"/>
  <c r="P269" i="3"/>
  <c r="O269" i="3"/>
  <c r="N269" i="3"/>
  <c r="K269" i="3"/>
  <c r="M269" i="3" s="1"/>
  <c r="F269" i="3"/>
  <c r="H269" i="3" s="1"/>
  <c r="C269" i="3"/>
  <c r="AP268" i="3"/>
  <c r="AN268" i="3"/>
  <c r="AE268" i="3"/>
  <c r="Z268" i="3"/>
  <c r="W268" i="3"/>
  <c r="S268" i="3"/>
  <c r="K268" i="3"/>
  <c r="M268" i="3" s="1"/>
  <c r="F268" i="3"/>
  <c r="H268" i="3" s="1"/>
  <c r="C268" i="3"/>
  <c r="AP267" i="3"/>
  <c r="AN267" i="3"/>
  <c r="AK267" i="3"/>
  <c r="AI267" i="3"/>
  <c r="AG267" i="3"/>
  <c r="AE267" i="3"/>
  <c r="Y267" i="3"/>
  <c r="W267" i="3"/>
  <c r="T267" i="3"/>
  <c r="S267" i="3"/>
  <c r="O267" i="3"/>
  <c r="N267" i="3"/>
  <c r="K267" i="3"/>
  <c r="M267" i="3" s="1"/>
  <c r="F267" i="3"/>
  <c r="H267" i="3" s="1"/>
  <c r="C267" i="3"/>
  <c r="AP266" i="3"/>
  <c r="AN266" i="3"/>
  <c r="AE266" i="3"/>
  <c r="Y266" i="3"/>
  <c r="W266" i="3"/>
  <c r="T266" i="3"/>
  <c r="O266" i="3"/>
  <c r="N266" i="3"/>
  <c r="K266" i="3"/>
  <c r="M266" i="3" s="1"/>
  <c r="F266" i="3"/>
  <c r="H266" i="3" s="1"/>
  <c r="C266" i="3"/>
  <c r="AP265" i="3"/>
  <c r="AN265" i="3"/>
  <c r="AK265" i="3"/>
  <c r="AE265" i="3"/>
  <c r="Y265" i="3"/>
  <c r="W265" i="3"/>
  <c r="T265" i="3"/>
  <c r="P265" i="3"/>
  <c r="O265" i="3"/>
  <c r="N265" i="3"/>
  <c r="K265" i="3"/>
  <c r="M265" i="3" s="1"/>
  <c r="F265" i="3"/>
  <c r="H265" i="3" s="1"/>
  <c r="C265" i="3"/>
  <c r="AP264" i="3"/>
  <c r="AN264" i="3"/>
  <c r="AE264" i="3"/>
  <c r="Y264" i="3"/>
  <c r="W264" i="3"/>
  <c r="T264" i="3"/>
  <c r="S264" i="3"/>
  <c r="P264" i="3"/>
  <c r="O264" i="3"/>
  <c r="N264" i="3"/>
  <c r="K264" i="3"/>
  <c r="M264" i="3" s="1"/>
  <c r="F264" i="3"/>
  <c r="H264" i="3" s="1"/>
  <c r="C264" i="3"/>
  <c r="AP263" i="3"/>
  <c r="AN263" i="3"/>
  <c r="AE263" i="3"/>
  <c r="Y263" i="3"/>
  <c r="W263" i="3"/>
  <c r="T263" i="3"/>
  <c r="S263" i="3"/>
  <c r="O263" i="3"/>
  <c r="N263" i="3"/>
  <c r="K263" i="3"/>
  <c r="M263" i="3" s="1"/>
  <c r="F263" i="3"/>
  <c r="H263" i="3" s="1"/>
  <c r="C263" i="3"/>
  <c r="AP262" i="3"/>
  <c r="AN262" i="3"/>
  <c r="AE262" i="3"/>
  <c r="Y262" i="3"/>
  <c r="W262" i="3"/>
  <c r="T262" i="3"/>
  <c r="S262" i="3"/>
  <c r="P262" i="3"/>
  <c r="O262" i="3"/>
  <c r="N262" i="3"/>
  <c r="K262" i="3"/>
  <c r="M262" i="3" s="1"/>
  <c r="F262" i="3"/>
  <c r="H262" i="3" s="1"/>
  <c r="C262" i="3"/>
  <c r="AP261" i="3"/>
  <c r="AN261" i="3"/>
  <c r="AE261" i="3"/>
  <c r="Y261" i="3"/>
  <c r="W261" i="3"/>
  <c r="T261" i="3"/>
  <c r="K261" i="3"/>
  <c r="M261" i="3" s="1"/>
  <c r="F261" i="3"/>
  <c r="H261" i="3" s="1"/>
  <c r="C261" i="3"/>
  <c r="AP260" i="3"/>
  <c r="AN260" i="3"/>
  <c r="AE260" i="3"/>
  <c r="W260" i="3"/>
  <c r="K260" i="3"/>
  <c r="M260" i="3" s="1"/>
  <c r="F260" i="3"/>
  <c r="H260" i="3" s="1"/>
  <c r="C260" i="3"/>
  <c r="AP259" i="3"/>
  <c r="AN259" i="3"/>
  <c r="AJ259" i="3"/>
  <c r="AE259" i="3"/>
  <c r="Y259" i="3"/>
  <c r="W259" i="3"/>
  <c r="T259" i="3"/>
  <c r="S259" i="3"/>
  <c r="P259" i="3"/>
  <c r="O259" i="3"/>
  <c r="N259" i="3"/>
  <c r="K259" i="3"/>
  <c r="M259" i="3" s="1"/>
  <c r="F259" i="3"/>
  <c r="H259" i="3" s="1"/>
  <c r="C259" i="3"/>
  <c r="AP258" i="3"/>
  <c r="AN258" i="3"/>
  <c r="AK258" i="3"/>
  <c r="AE258" i="3"/>
  <c r="Y258" i="3"/>
  <c r="W258" i="3"/>
  <c r="T258" i="3"/>
  <c r="O258" i="3"/>
  <c r="K258" i="3"/>
  <c r="M258" i="3" s="1"/>
  <c r="F258" i="3"/>
  <c r="H258" i="3" s="1"/>
  <c r="C258" i="3"/>
  <c r="AP257" i="3"/>
  <c r="AN257" i="3"/>
  <c r="AE257" i="3"/>
  <c r="Y257" i="3"/>
  <c r="W257" i="3"/>
  <c r="T257" i="3"/>
  <c r="N257" i="3"/>
  <c r="K257" i="3"/>
  <c r="M257" i="3" s="1"/>
  <c r="F257" i="3"/>
  <c r="H257" i="3" s="1"/>
  <c r="C257" i="3"/>
  <c r="AP256" i="3"/>
  <c r="AN256" i="3"/>
  <c r="AK256" i="3"/>
  <c r="AE256" i="3"/>
  <c r="Y256" i="3"/>
  <c r="W256" i="3"/>
  <c r="T256" i="3"/>
  <c r="O256" i="3"/>
  <c r="N256" i="3"/>
  <c r="K256" i="3"/>
  <c r="M256" i="3" s="1"/>
  <c r="F256" i="3"/>
  <c r="H256" i="3" s="1"/>
  <c r="C256" i="3"/>
  <c r="AP255" i="3"/>
  <c r="AN255" i="3"/>
  <c r="AI255" i="3"/>
  <c r="AG255" i="3"/>
  <c r="AE255" i="3"/>
  <c r="Y255" i="3"/>
  <c r="W255" i="3"/>
  <c r="T255" i="3"/>
  <c r="O255" i="3"/>
  <c r="N255" i="3"/>
  <c r="K255" i="3"/>
  <c r="M255" i="3" s="1"/>
  <c r="F255" i="3"/>
  <c r="H255" i="3" s="1"/>
  <c r="C255" i="3"/>
  <c r="AP254" i="3"/>
  <c r="AN254" i="3"/>
  <c r="AE254" i="3"/>
  <c r="K254" i="3"/>
  <c r="M254" i="3" s="1"/>
  <c r="H254" i="3"/>
  <c r="F254" i="3"/>
  <c r="C254" i="3"/>
  <c r="AP253" i="3"/>
  <c r="AN253" i="3"/>
  <c r="AE253" i="3"/>
  <c r="Y253" i="3"/>
  <c r="W253" i="3"/>
  <c r="T253" i="3"/>
  <c r="O253" i="3"/>
  <c r="N253" i="3"/>
  <c r="K253" i="3"/>
  <c r="M253" i="3" s="1"/>
  <c r="F253" i="3"/>
  <c r="H253" i="3" s="1"/>
  <c r="C253" i="3"/>
  <c r="AP252" i="3"/>
  <c r="AN252" i="3"/>
  <c r="AE252" i="3"/>
  <c r="Y252" i="3"/>
  <c r="W252" i="3"/>
  <c r="N252" i="3"/>
  <c r="K252" i="3"/>
  <c r="M252" i="3" s="1"/>
  <c r="F252" i="3"/>
  <c r="H252" i="3" s="1"/>
  <c r="C252" i="3"/>
  <c r="AP251" i="3"/>
  <c r="AN251" i="3"/>
  <c r="AK251" i="3"/>
  <c r="AE251" i="3"/>
  <c r="Y251" i="3"/>
  <c r="W251" i="3"/>
  <c r="T251" i="3"/>
  <c r="P251" i="3"/>
  <c r="O251" i="3"/>
  <c r="K251" i="3"/>
  <c r="M251" i="3" s="1"/>
  <c r="F251" i="3"/>
  <c r="H251" i="3" s="1"/>
  <c r="C251" i="3"/>
  <c r="AP250" i="3"/>
  <c r="AN250" i="3"/>
  <c r="AE250" i="3"/>
  <c r="K250" i="3"/>
  <c r="M250" i="3" s="1"/>
  <c r="F250" i="3"/>
  <c r="H250" i="3" s="1"/>
  <c r="C250" i="3"/>
  <c r="AP249" i="3"/>
  <c r="AN249" i="3"/>
  <c r="AE249" i="3"/>
  <c r="W249" i="3"/>
  <c r="K249" i="3"/>
  <c r="M249" i="3" s="1"/>
  <c r="F249" i="3"/>
  <c r="H249" i="3" s="1"/>
  <c r="C249" i="3"/>
  <c r="AP248" i="3"/>
  <c r="AN248" i="3"/>
  <c r="AE248" i="3"/>
  <c r="Y248" i="3"/>
  <c r="W248" i="3"/>
  <c r="T248" i="3"/>
  <c r="S248" i="3"/>
  <c r="N248" i="3"/>
  <c r="K248" i="3"/>
  <c r="M248" i="3" s="1"/>
  <c r="F248" i="3"/>
  <c r="H248" i="3" s="1"/>
  <c r="C248" i="3"/>
  <c r="AP247" i="3"/>
  <c r="AN247" i="3"/>
  <c r="AK247" i="3"/>
  <c r="AE247" i="3"/>
  <c r="Y247" i="3"/>
  <c r="W247" i="3"/>
  <c r="T247" i="3"/>
  <c r="S247" i="3"/>
  <c r="O247" i="3"/>
  <c r="N247" i="3"/>
  <c r="K247" i="3"/>
  <c r="M247" i="3" s="1"/>
  <c r="F247" i="3"/>
  <c r="H247" i="3" s="1"/>
  <c r="C247" i="3"/>
  <c r="AP246" i="3"/>
  <c r="AN246" i="3"/>
  <c r="AE246" i="3"/>
  <c r="Y246" i="3"/>
  <c r="W246" i="3"/>
  <c r="T246" i="3"/>
  <c r="O246" i="3"/>
  <c r="N246" i="3"/>
  <c r="K246" i="3"/>
  <c r="M246" i="3" s="1"/>
  <c r="F246" i="3"/>
  <c r="H246" i="3" s="1"/>
  <c r="C246" i="3"/>
  <c r="AP245" i="3"/>
  <c r="AN245" i="3"/>
  <c r="AE245" i="3"/>
  <c r="Y245" i="3"/>
  <c r="W245" i="3"/>
  <c r="T245" i="3"/>
  <c r="S245" i="3"/>
  <c r="P245" i="3"/>
  <c r="O245" i="3"/>
  <c r="N245" i="3"/>
  <c r="K245" i="3"/>
  <c r="M245" i="3" s="1"/>
  <c r="F245" i="3"/>
  <c r="H245" i="3" s="1"/>
  <c r="C245" i="3"/>
  <c r="AP244" i="3"/>
  <c r="AN244" i="3"/>
  <c r="AK244" i="3"/>
  <c r="AE244" i="3"/>
  <c r="Y244" i="3"/>
  <c r="W244" i="3"/>
  <c r="T244" i="3"/>
  <c r="O244" i="3"/>
  <c r="N244" i="3"/>
  <c r="K244" i="3"/>
  <c r="M244" i="3" s="1"/>
  <c r="F244" i="3"/>
  <c r="H244" i="3" s="1"/>
  <c r="C244" i="3"/>
  <c r="AP243" i="3"/>
  <c r="AN243" i="3"/>
  <c r="AE243" i="3"/>
  <c r="Y243" i="3"/>
  <c r="W243" i="3"/>
  <c r="T243" i="3"/>
  <c r="N243" i="3"/>
  <c r="K243" i="3"/>
  <c r="M243" i="3" s="1"/>
  <c r="F243" i="3"/>
  <c r="H243" i="3" s="1"/>
  <c r="C243" i="3"/>
  <c r="AP242" i="3"/>
  <c r="AN242" i="3"/>
  <c r="AE242" i="3"/>
  <c r="Y242" i="3"/>
  <c r="W242" i="3"/>
  <c r="T242" i="3"/>
  <c r="S242" i="3"/>
  <c r="O242" i="3"/>
  <c r="N242" i="3"/>
  <c r="K242" i="3"/>
  <c r="M242" i="3" s="1"/>
  <c r="F242" i="3"/>
  <c r="H242" i="3" s="1"/>
  <c r="C242" i="3"/>
  <c r="AP241" i="3"/>
  <c r="AN241" i="3"/>
  <c r="AE241" i="3"/>
  <c r="Y241" i="3"/>
  <c r="W241" i="3"/>
  <c r="T241" i="3"/>
  <c r="S241" i="3"/>
  <c r="P241" i="3"/>
  <c r="O241" i="3"/>
  <c r="N241" i="3"/>
  <c r="K241" i="3"/>
  <c r="M241" i="3" s="1"/>
  <c r="F241" i="3"/>
  <c r="H241" i="3" s="1"/>
  <c r="C241" i="3"/>
  <c r="AP240" i="3"/>
  <c r="AN240" i="3"/>
  <c r="AK240" i="3"/>
  <c r="AE240" i="3"/>
  <c r="Y240" i="3"/>
  <c r="W240" i="3"/>
  <c r="T240" i="3"/>
  <c r="P240" i="3"/>
  <c r="M240" i="3"/>
  <c r="K240" i="3"/>
  <c r="F240" i="3"/>
  <c r="H240" i="3" s="1"/>
  <c r="C240" i="3"/>
  <c r="AP239" i="3"/>
  <c r="AN239" i="3"/>
  <c r="AE239" i="3"/>
  <c r="K239" i="3"/>
  <c r="M239" i="3" s="1"/>
  <c r="F239" i="3"/>
  <c r="H239" i="3" s="1"/>
  <c r="C239" i="3"/>
  <c r="AP238" i="3"/>
  <c r="AN238" i="3"/>
  <c r="AK238" i="3"/>
  <c r="AE238" i="3"/>
  <c r="Y238" i="3"/>
  <c r="W238" i="3"/>
  <c r="T238" i="3"/>
  <c r="S238" i="3"/>
  <c r="P238" i="3"/>
  <c r="N238" i="3"/>
  <c r="K238" i="3"/>
  <c r="M238" i="3" s="1"/>
  <c r="F238" i="3"/>
  <c r="H238" i="3" s="1"/>
  <c r="C238" i="3"/>
  <c r="AP237" i="3"/>
  <c r="AN237" i="3"/>
  <c r="AE237" i="3"/>
  <c r="Y237" i="3"/>
  <c r="W237" i="3"/>
  <c r="T237" i="3"/>
  <c r="O237" i="3"/>
  <c r="N237" i="3"/>
  <c r="K237" i="3"/>
  <c r="M237" i="3" s="1"/>
  <c r="F237" i="3"/>
  <c r="H237" i="3" s="1"/>
  <c r="C237" i="3"/>
  <c r="AP236" i="3"/>
  <c r="AN236" i="3"/>
  <c r="AE236" i="3"/>
  <c r="Y236" i="3"/>
  <c r="W236" i="3"/>
  <c r="T236" i="3"/>
  <c r="S236" i="3"/>
  <c r="O236" i="3"/>
  <c r="N236" i="3"/>
  <c r="K236" i="3"/>
  <c r="M236" i="3" s="1"/>
  <c r="F236" i="3"/>
  <c r="H236" i="3" s="1"/>
  <c r="C236" i="3"/>
  <c r="AP235" i="3"/>
  <c r="AN235" i="3"/>
  <c r="AE235" i="3"/>
  <c r="Y235" i="3"/>
  <c r="W235" i="3"/>
  <c r="T235" i="3"/>
  <c r="S235" i="3"/>
  <c r="P235" i="3"/>
  <c r="O235" i="3"/>
  <c r="N235" i="3"/>
  <c r="K235" i="3"/>
  <c r="M235" i="3" s="1"/>
  <c r="F235" i="3"/>
  <c r="H235" i="3" s="1"/>
  <c r="C235" i="3"/>
  <c r="AP234" i="3"/>
  <c r="AN234" i="3"/>
  <c r="AK234" i="3"/>
  <c r="AE234" i="3"/>
  <c r="Y234" i="3"/>
  <c r="W234" i="3"/>
  <c r="T234" i="3"/>
  <c r="K234" i="3"/>
  <c r="M234" i="3" s="1"/>
  <c r="F234" i="3"/>
  <c r="H234" i="3" s="1"/>
  <c r="C234" i="3"/>
  <c r="AP233" i="3"/>
  <c r="AN233" i="3"/>
  <c r="AE233" i="3"/>
  <c r="Y233" i="3"/>
  <c r="W233" i="3"/>
  <c r="T233" i="3"/>
  <c r="O233" i="3"/>
  <c r="N233" i="3"/>
  <c r="K233" i="3"/>
  <c r="M233" i="3" s="1"/>
  <c r="F233" i="3"/>
  <c r="H233" i="3" s="1"/>
  <c r="C233" i="3"/>
  <c r="AP232" i="3"/>
  <c r="AN232" i="3"/>
  <c r="AE232" i="3"/>
  <c r="W232" i="3"/>
  <c r="K232" i="3"/>
  <c r="M232" i="3" s="1"/>
  <c r="F232" i="3"/>
  <c r="H232" i="3" s="1"/>
  <c r="C232" i="3"/>
  <c r="AP231" i="3"/>
  <c r="AN231" i="3"/>
  <c r="AK231" i="3"/>
  <c r="AI231" i="3"/>
  <c r="AE231" i="3"/>
  <c r="Y231" i="3"/>
  <c r="W231" i="3"/>
  <c r="T231" i="3"/>
  <c r="S231" i="3"/>
  <c r="O231" i="3"/>
  <c r="K231" i="3"/>
  <c r="M231" i="3" s="1"/>
  <c r="F231" i="3"/>
  <c r="H231" i="3" s="1"/>
  <c r="C231" i="3"/>
  <c r="AP230" i="3"/>
  <c r="AN230" i="3"/>
  <c r="AE230" i="3"/>
  <c r="K230" i="3"/>
  <c r="M230" i="3" s="1"/>
  <c r="F230" i="3"/>
  <c r="H230" i="3" s="1"/>
  <c r="C230" i="3"/>
  <c r="AP229" i="3"/>
  <c r="AN229" i="3"/>
  <c r="AI229" i="3"/>
  <c r="AE229" i="3"/>
  <c r="Y229" i="3"/>
  <c r="W229" i="3"/>
  <c r="T229" i="3"/>
  <c r="S229" i="3"/>
  <c r="O229" i="3"/>
  <c r="N229" i="3"/>
  <c r="M229" i="3"/>
  <c r="K229" i="3"/>
  <c r="F229" i="3"/>
  <c r="H229" i="3" s="1"/>
  <c r="C229" i="3"/>
  <c r="AP228" i="3"/>
  <c r="AN228" i="3"/>
  <c r="AE228" i="3"/>
  <c r="Y228" i="3"/>
  <c r="W228" i="3"/>
  <c r="O228" i="3"/>
  <c r="N228" i="3"/>
  <c r="K228" i="3"/>
  <c r="M228" i="3" s="1"/>
  <c r="F228" i="3"/>
  <c r="H228" i="3" s="1"/>
  <c r="C228" i="3"/>
  <c r="AP227" i="3"/>
  <c r="AN227" i="3"/>
  <c r="AE227" i="3"/>
  <c r="Y227" i="3"/>
  <c r="W227" i="3"/>
  <c r="T227" i="3"/>
  <c r="O227" i="3"/>
  <c r="N227" i="3"/>
  <c r="K227" i="3"/>
  <c r="M227" i="3" s="1"/>
  <c r="F227" i="3"/>
  <c r="H227" i="3" s="1"/>
  <c r="C227" i="3"/>
  <c r="AP226" i="3"/>
  <c r="AN226" i="3"/>
  <c r="AE226" i="3"/>
  <c r="Y226" i="3"/>
  <c r="W226" i="3"/>
  <c r="T226" i="3"/>
  <c r="K226" i="3"/>
  <c r="M226" i="3" s="1"/>
  <c r="F226" i="3"/>
  <c r="H226" i="3" s="1"/>
  <c r="C226" i="3"/>
  <c r="AP225" i="3"/>
  <c r="AN225" i="3"/>
  <c r="AE225" i="3"/>
  <c r="Y225" i="3"/>
  <c r="W225" i="3"/>
  <c r="T225" i="3"/>
  <c r="P225" i="3"/>
  <c r="O225" i="3"/>
  <c r="N225" i="3"/>
  <c r="K225" i="3"/>
  <c r="M225" i="3" s="1"/>
  <c r="F225" i="3"/>
  <c r="H225" i="3" s="1"/>
  <c r="C225" i="3"/>
  <c r="AP224" i="3"/>
  <c r="AN224" i="3"/>
  <c r="AI224" i="3"/>
  <c r="AE224" i="3"/>
  <c r="Y224" i="3"/>
  <c r="W224" i="3"/>
  <c r="T224" i="3"/>
  <c r="S224" i="3"/>
  <c r="P224" i="3"/>
  <c r="O224" i="3"/>
  <c r="N224" i="3"/>
  <c r="M224" i="3"/>
  <c r="K224" i="3"/>
  <c r="F224" i="3"/>
  <c r="H224" i="3" s="1"/>
  <c r="C224" i="3"/>
  <c r="AP223" i="3"/>
  <c r="AN223" i="3"/>
  <c r="AI223" i="3"/>
  <c r="AE223" i="3"/>
  <c r="Y223" i="3"/>
  <c r="W223" i="3"/>
  <c r="T223" i="3"/>
  <c r="O223" i="3"/>
  <c r="N223" i="3"/>
  <c r="K223" i="3"/>
  <c r="M223" i="3" s="1"/>
  <c r="F223" i="3"/>
  <c r="H223" i="3" s="1"/>
  <c r="C223" i="3"/>
  <c r="AP222" i="3"/>
  <c r="AN222" i="3"/>
  <c r="AK222" i="3"/>
  <c r="AE222" i="3"/>
  <c r="Y222" i="3"/>
  <c r="W222" i="3"/>
  <c r="T222" i="3"/>
  <c r="N222" i="3"/>
  <c r="M222" i="3"/>
  <c r="K222" i="3"/>
  <c r="F222" i="3"/>
  <c r="H222" i="3" s="1"/>
  <c r="C222" i="3"/>
  <c r="AP221" i="3"/>
  <c r="AN221" i="3"/>
  <c r="AE221" i="3"/>
  <c r="Y221" i="3"/>
  <c r="W221" i="3"/>
  <c r="T221" i="3"/>
  <c r="N221" i="3"/>
  <c r="K221" i="3"/>
  <c r="M221" i="3" s="1"/>
  <c r="F221" i="3"/>
  <c r="H221" i="3" s="1"/>
  <c r="C221" i="3"/>
  <c r="AP220" i="3"/>
  <c r="AN220" i="3"/>
  <c r="AE220" i="3"/>
  <c r="Y220" i="3"/>
  <c r="W220" i="3"/>
  <c r="T220" i="3"/>
  <c r="S220" i="3"/>
  <c r="N220" i="3"/>
  <c r="K220" i="3"/>
  <c r="M220" i="3" s="1"/>
  <c r="F220" i="3"/>
  <c r="H220" i="3" s="1"/>
  <c r="C220" i="3"/>
  <c r="AP219" i="3"/>
  <c r="AN219" i="3"/>
  <c r="AE219" i="3"/>
  <c r="Y219" i="3"/>
  <c r="W219" i="3"/>
  <c r="O219" i="3"/>
  <c r="N219" i="3"/>
  <c r="M219" i="3"/>
  <c r="K219" i="3"/>
  <c r="F219" i="3"/>
  <c r="H219" i="3" s="1"/>
  <c r="C219" i="3"/>
  <c r="AP218" i="3"/>
  <c r="AN218" i="3"/>
  <c r="AE218" i="3"/>
  <c r="Y218" i="3"/>
  <c r="X218" i="3"/>
  <c r="W218" i="3"/>
  <c r="T218" i="3"/>
  <c r="S218" i="3"/>
  <c r="O218" i="3"/>
  <c r="K218" i="3"/>
  <c r="M218" i="3" s="1"/>
  <c r="F218" i="3"/>
  <c r="H218" i="3" s="1"/>
  <c r="C218" i="3"/>
  <c r="AP217" i="3"/>
  <c r="AN217" i="3"/>
  <c r="AE217" i="3"/>
  <c r="K217" i="3"/>
  <c r="M217" i="3" s="1"/>
  <c r="F217" i="3"/>
  <c r="H217" i="3" s="1"/>
  <c r="C217" i="3"/>
  <c r="AP216" i="3"/>
  <c r="AN216" i="3"/>
  <c r="AE216" i="3"/>
  <c r="Y216" i="3"/>
  <c r="W216" i="3"/>
  <c r="T216" i="3"/>
  <c r="K216" i="3"/>
  <c r="M216" i="3" s="1"/>
  <c r="F216" i="3"/>
  <c r="H216" i="3" s="1"/>
  <c r="C216" i="3"/>
  <c r="AP215" i="3"/>
  <c r="AN215" i="3"/>
  <c r="AE215" i="3"/>
  <c r="W215" i="3"/>
  <c r="K215" i="3"/>
  <c r="M215" i="3" s="1"/>
  <c r="F215" i="3"/>
  <c r="H215" i="3" s="1"/>
  <c r="C215" i="3"/>
  <c r="AP214" i="3"/>
  <c r="AN214" i="3"/>
  <c r="AI214" i="3"/>
  <c r="AE214" i="3"/>
  <c r="Y214" i="3"/>
  <c r="W214" i="3"/>
  <c r="T214" i="3"/>
  <c r="O214" i="3"/>
  <c r="N214" i="3"/>
  <c r="K214" i="3"/>
  <c r="M214" i="3" s="1"/>
  <c r="F214" i="3"/>
  <c r="H214" i="3" s="1"/>
  <c r="C214" i="3"/>
  <c r="AP213" i="3"/>
  <c r="AN213" i="3"/>
  <c r="AE213" i="3"/>
  <c r="Y213" i="3"/>
  <c r="W213" i="3"/>
  <c r="T213" i="3"/>
  <c r="S213" i="3"/>
  <c r="O213" i="3"/>
  <c r="K213" i="3"/>
  <c r="M213" i="3" s="1"/>
  <c r="F213" i="3"/>
  <c r="H213" i="3" s="1"/>
  <c r="C213" i="3"/>
  <c r="AP212" i="3"/>
  <c r="AN212" i="3"/>
  <c r="AE212" i="3"/>
  <c r="Y212" i="3"/>
  <c r="T212" i="3"/>
  <c r="O212" i="3"/>
  <c r="N212" i="3"/>
  <c r="K212" i="3"/>
  <c r="M212" i="3" s="1"/>
  <c r="F212" i="3"/>
  <c r="H212" i="3" s="1"/>
  <c r="C212" i="3"/>
  <c r="AP211" i="3"/>
  <c r="AN211" i="3"/>
  <c r="AE211" i="3"/>
  <c r="W211" i="3"/>
  <c r="K211" i="3"/>
  <c r="M211" i="3" s="1"/>
  <c r="H211" i="3"/>
  <c r="F211" i="3"/>
  <c r="C211" i="3"/>
  <c r="AP210" i="3"/>
  <c r="AN210" i="3"/>
  <c r="AE210" i="3"/>
  <c r="Y210" i="3"/>
  <c r="W210" i="3"/>
  <c r="T210" i="3"/>
  <c r="O210" i="3"/>
  <c r="N210" i="3"/>
  <c r="K210" i="3"/>
  <c r="M210" i="3" s="1"/>
  <c r="F210" i="3"/>
  <c r="H210" i="3" s="1"/>
  <c r="C210" i="3"/>
  <c r="AP209" i="3"/>
  <c r="AN209" i="3"/>
  <c r="AE209" i="3"/>
  <c r="Y209" i="3"/>
  <c r="W209" i="3"/>
  <c r="T209" i="3"/>
  <c r="S209" i="3"/>
  <c r="O209" i="3"/>
  <c r="K209" i="3"/>
  <c r="M209" i="3" s="1"/>
  <c r="F209" i="3"/>
  <c r="H209" i="3" s="1"/>
  <c r="C209" i="3"/>
  <c r="AP208" i="3"/>
  <c r="AN208" i="3"/>
  <c r="AK208" i="3"/>
  <c r="AE208" i="3"/>
  <c r="Y208" i="3"/>
  <c r="X208" i="3"/>
  <c r="W208" i="3"/>
  <c r="T208" i="3"/>
  <c r="O208" i="3"/>
  <c r="N208" i="3"/>
  <c r="K208" i="3"/>
  <c r="M208" i="3" s="1"/>
  <c r="F208" i="3"/>
  <c r="H208" i="3" s="1"/>
  <c r="C208" i="3"/>
  <c r="AP207" i="3"/>
  <c r="AN207" i="3"/>
  <c r="AE207" i="3"/>
  <c r="Y207" i="3"/>
  <c r="W207" i="3"/>
  <c r="T207" i="3"/>
  <c r="S207" i="3"/>
  <c r="O207" i="3"/>
  <c r="N207" i="3"/>
  <c r="K207" i="3"/>
  <c r="M207" i="3" s="1"/>
  <c r="F207" i="3"/>
  <c r="H207" i="3" s="1"/>
  <c r="C207" i="3"/>
  <c r="AP206" i="3"/>
  <c r="AN206" i="3"/>
  <c r="AE206" i="3"/>
  <c r="X206" i="3"/>
  <c r="W206" i="3"/>
  <c r="K206" i="3"/>
  <c r="M206" i="3" s="1"/>
  <c r="F206" i="3"/>
  <c r="H206" i="3" s="1"/>
  <c r="C206" i="3"/>
  <c r="AP205" i="3"/>
  <c r="AN205" i="3"/>
  <c r="AK205" i="3"/>
  <c r="AI205" i="3"/>
  <c r="AE205" i="3"/>
  <c r="W205" i="3"/>
  <c r="S205" i="3"/>
  <c r="O205" i="3"/>
  <c r="N205" i="3"/>
  <c r="K205" i="3"/>
  <c r="M205" i="3" s="1"/>
  <c r="F205" i="3"/>
  <c r="H205" i="3" s="1"/>
  <c r="C205" i="3"/>
  <c r="AP204" i="3"/>
  <c r="AN204" i="3"/>
  <c r="AE204" i="3"/>
  <c r="Y204" i="3"/>
  <c r="W204" i="3"/>
  <c r="T204" i="3"/>
  <c r="S204" i="3"/>
  <c r="O204" i="3"/>
  <c r="N204" i="3"/>
  <c r="K204" i="3"/>
  <c r="M204" i="3" s="1"/>
  <c r="F204" i="3"/>
  <c r="H204" i="3" s="1"/>
  <c r="C204" i="3"/>
  <c r="AP203" i="3"/>
  <c r="AN203" i="3"/>
  <c r="AE203" i="3"/>
  <c r="Y203" i="3"/>
  <c r="S203" i="3"/>
  <c r="K203" i="3"/>
  <c r="M203" i="3" s="1"/>
  <c r="F203" i="3"/>
  <c r="H203" i="3" s="1"/>
  <c r="C203" i="3"/>
  <c r="AP202" i="3"/>
  <c r="AN202" i="3"/>
  <c r="AE202" i="3"/>
  <c r="Y202" i="3"/>
  <c r="W202" i="3"/>
  <c r="T202" i="3"/>
  <c r="O202" i="3"/>
  <c r="N202" i="3"/>
  <c r="K202" i="3"/>
  <c r="M202" i="3" s="1"/>
  <c r="F202" i="3"/>
  <c r="H202" i="3" s="1"/>
  <c r="C202" i="3"/>
  <c r="AP201" i="3"/>
  <c r="AN201" i="3"/>
  <c r="AE201" i="3"/>
  <c r="Y201" i="3"/>
  <c r="W201" i="3"/>
  <c r="T201" i="3"/>
  <c r="P201" i="3"/>
  <c r="O201" i="3"/>
  <c r="N201" i="3"/>
  <c r="K201" i="3"/>
  <c r="M201" i="3" s="1"/>
  <c r="F201" i="3"/>
  <c r="H201" i="3" s="1"/>
  <c r="C201" i="3"/>
  <c r="AP200" i="3"/>
  <c r="AN200" i="3"/>
  <c r="AI200" i="3"/>
  <c r="AE200" i="3"/>
  <c r="Y200" i="3"/>
  <c r="W200" i="3"/>
  <c r="S200" i="3"/>
  <c r="P200" i="3"/>
  <c r="O200" i="3"/>
  <c r="N200" i="3"/>
  <c r="K200" i="3"/>
  <c r="M200" i="3" s="1"/>
  <c r="F200" i="3"/>
  <c r="H200" i="3" s="1"/>
  <c r="C200" i="3"/>
  <c r="AP199" i="3"/>
  <c r="AN199" i="3"/>
  <c r="AE199" i="3"/>
  <c r="Y199" i="3"/>
  <c r="W199" i="3"/>
  <c r="M199" i="3"/>
  <c r="K199" i="3"/>
  <c r="F199" i="3"/>
  <c r="H199" i="3" s="1"/>
  <c r="C199" i="3"/>
  <c r="AP198" i="3"/>
  <c r="AN198" i="3"/>
  <c r="AE198" i="3"/>
  <c r="K198" i="3"/>
  <c r="M198" i="3" s="1"/>
  <c r="F198" i="3"/>
  <c r="H198" i="3" s="1"/>
  <c r="C198" i="3"/>
  <c r="AP197" i="3"/>
  <c r="AN197" i="3"/>
  <c r="AE197" i="3"/>
  <c r="AC197" i="3"/>
  <c r="S197" i="3"/>
  <c r="K197" i="3"/>
  <c r="M197" i="3" s="1"/>
  <c r="F197" i="3"/>
  <c r="H197" i="3" s="1"/>
  <c r="C197" i="3"/>
  <c r="AP196" i="3"/>
  <c r="AN196" i="3"/>
  <c r="AE196" i="3"/>
  <c r="Y196" i="3"/>
  <c r="K196" i="3"/>
  <c r="M196" i="3" s="1"/>
  <c r="F196" i="3"/>
  <c r="H196" i="3" s="1"/>
  <c r="C196" i="3"/>
  <c r="AP195" i="3"/>
  <c r="AN195" i="3"/>
  <c r="AE195" i="3"/>
  <c r="Y195" i="3"/>
  <c r="W195" i="3"/>
  <c r="T195" i="3"/>
  <c r="N195" i="3"/>
  <c r="K195" i="3"/>
  <c r="M195" i="3" s="1"/>
  <c r="F195" i="3"/>
  <c r="H195" i="3" s="1"/>
  <c r="C195" i="3"/>
  <c r="AP194" i="3"/>
  <c r="AN194" i="3"/>
  <c r="AE194" i="3"/>
  <c r="Y194" i="3"/>
  <c r="W194" i="3"/>
  <c r="K194" i="3"/>
  <c r="M194" i="3" s="1"/>
  <c r="F194" i="3"/>
  <c r="H194" i="3" s="1"/>
  <c r="C194" i="3"/>
  <c r="AP193" i="3"/>
  <c r="AN193" i="3"/>
  <c r="AE193" i="3"/>
  <c r="Y193" i="3"/>
  <c r="W193" i="3"/>
  <c r="T193" i="3"/>
  <c r="K193" i="3"/>
  <c r="M193" i="3" s="1"/>
  <c r="F193" i="3"/>
  <c r="H193" i="3" s="1"/>
  <c r="C193" i="3"/>
  <c r="AP192" i="3"/>
  <c r="AN192" i="3"/>
  <c r="AE192" i="3"/>
  <c r="Y192" i="3"/>
  <c r="W192" i="3"/>
  <c r="P192" i="3"/>
  <c r="O192" i="3"/>
  <c r="M192" i="3"/>
  <c r="K192" i="3"/>
  <c r="F192" i="3"/>
  <c r="H192" i="3" s="1"/>
  <c r="C192" i="3"/>
  <c r="AP191" i="3"/>
  <c r="AN191" i="3"/>
  <c r="AI191" i="3"/>
  <c r="AE191" i="3"/>
  <c r="Y191" i="3"/>
  <c r="W191" i="3"/>
  <c r="T191" i="3"/>
  <c r="S191" i="3"/>
  <c r="P191" i="3"/>
  <c r="O191" i="3"/>
  <c r="N191" i="3"/>
  <c r="K191" i="3"/>
  <c r="M191" i="3" s="1"/>
  <c r="F191" i="3"/>
  <c r="H191" i="3" s="1"/>
  <c r="C191" i="3"/>
  <c r="AP190" i="3"/>
  <c r="AN190" i="3"/>
  <c r="AE190" i="3"/>
  <c r="Y190" i="3"/>
  <c r="W190" i="3"/>
  <c r="T190" i="3"/>
  <c r="P190" i="3"/>
  <c r="N190" i="3"/>
  <c r="K190" i="3"/>
  <c r="M190" i="3" s="1"/>
  <c r="F190" i="3"/>
  <c r="H190" i="3" s="1"/>
  <c r="C190" i="3"/>
  <c r="AP189" i="3"/>
  <c r="AN189" i="3"/>
  <c r="AE189" i="3"/>
  <c r="Y189" i="3"/>
  <c r="W189" i="3"/>
  <c r="T189" i="3"/>
  <c r="P189" i="3"/>
  <c r="O189" i="3"/>
  <c r="N189" i="3"/>
  <c r="K189" i="3"/>
  <c r="M189" i="3" s="1"/>
  <c r="F189" i="3"/>
  <c r="H189" i="3" s="1"/>
  <c r="C189" i="3"/>
  <c r="AP188" i="3"/>
  <c r="AN188" i="3"/>
  <c r="AE188" i="3"/>
  <c r="Y188" i="3"/>
  <c r="W188" i="3"/>
  <c r="T188" i="3"/>
  <c r="P188" i="3"/>
  <c r="N188" i="3"/>
  <c r="K188" i="3"/>
  <c r="M188" i="3" s="1"/>
  <c r="F188" i="3"/>
  <c r="H188" i="3" s="1"/>
  <c r="C188" i="3"/>
  <c r="AP187" i="3"/>
  <c r="AN187" i="3"/>
  <c r="AE187" i="3"/>
  <c r="Y187" i="3"/>
  <c r="W187" i="3"/>
  <c r="T187" i="3"/>
  <c r="N187" i="3"/>
  <c r="K187" i="3"/>
  <c r="M187" i="3" s="1"/>
  <c r="F187" i="3"/>
  <c r="H187" i="3" s="1"/>
  <c r="C187" i="3"/>
  <c r="AP186" i="3"/>
  <c r="AN186" i="3"/>
  <c r="AE186" i="3"/>
  <c r="K186" i="3"/>
  <c r="M186" i="3" s="1"/>
  <c r="F186" i="3"/>
  <c r="H186" i="3" s="1"/>
  <c r="C186" i="3"/>
  <c r="AP185" i="3"/>
  <c r="AN185" i="3"/>
  <c r="AE185" i="3"/>
  <c r="Y185" i="3"/>
  <c r="W185" i="3"/>
  <c r="T185" i="3"/>
  <c r="O185" i="3"/>
  <c r="N185" i="3"/>
  <c r="M185" i="3"/>
  <c r="K185" i="3"/>
  <c r="F185" i="3"/>
  <c r="H185" i="3" s="1"/>
  <c r="C185" i="3"/>
  <c r="AP184" i="3"/>
  <c r="AN184" i="3"/>
  <c r="AE184" i="3"/>
  <c r="Y184" i="3"/>
  <c r="K184" i="3"/>
  <c r="M184" i="3" s="1"/>
  <c r="F184" i="3"/>
  <c r="H184" i="3" s="1"/>
  <c r="C184" i="3"/>
  <c r="AP183" i="3"/>
  <c r="AN183" i="3"/>
  <c r="AE183" i="3"/>
  <c r="Y183" i="3"/>
  <c r="W183" i="3"/>
  <c r="K183" i="3"/>
  <c r="M183" i="3" s="1"/>
  <c r="F183" i="3"/>
  <c r="H183" i="3" s="1"/>
  <c r="C183" i="3"/>
  <c r="AP182" i="3"/>
  <c r="AN182" i="3"/>
  <c r="AE182" i="3"/>
  <c r="Y182" i="3"/>
  <c r="K182" i="3"/>
  <c r="M182" i="3" s="1"/>
  <c r="F182" i="3"/>
  <c r="H182" i="3" s="1"/>
  <c r="C182" i="3"/>
  <c r="AP181" i="3"/>
  <c r="AN181" i="3"/>
  <c r="AE181" i="3"/>
  <c r="Y181" i="3"/>
  <c r="W181" i="3"/>
  <c r="K181" i="3"/>
  <c r="M181" i="3" s="1"/>
  <c r="F181" i="3"/>
  <c r="H181" i="3" s="1"/>
  <c r="C181" i="3"/>
  <c r="AP180" i="3"/>
  <c r="AN180" i="3"/>
  <c r="AE180" i="3"/>
  <c r="Y180" i="3"/>
  <c r="W180" i="3"/>
  <c r="T180" i="3"/>
  <c r="P180" i="3"/>
  <c r="O180" i="3"/>
  <c r="N180" i="3"/>
  <c r="K180" i="3"/>
  <c r="M180" i="3" s="1"/>
  <c r="F180" i="3"/>
  <c r="H180" i="3" s="1"/>
  <c r="C180" i="3"/>
  <c r="AP179" i="3"/>
  <c r="AN179" i="3"/>
  <c r="AE179" i="3"/>
  <c r="Y179" i="3"/>
  <c r="W179" i="3"/>
  <c r="T179" i="3"/>
  <c r="O179" i="3"/>
  <c r="N179" i="3"/>
  <c r="K179" i="3"/>
  <c r="M179" i="3" s="1"/>
  <c r="F179" i="3"/>
  <c r="H179" i="3" s="1"/>
  <c r="C179" i="3"/>
  <c r="AP178" i="3"/>
  <c r="AN178" i="3"/>
  <c r="AE178" i="3"/>
  <c r="Y178" i="3"/>
  <c r="W178" i="3"/>
  <c r="T178" i="3"/>
  <c r="S178" i="3"/>
  <c r="P178" i="3"/>
  <c r="O178" i="3"/>
  <c r="N178" i="3"/>
  <c r="K178" i="3"/>
  <c r="M178" i="3" s="1"/>
  <c r="F178" i="3"/>
  <c r="H178" i="3" s="1"/>
  <c r="C178" i="3"/>
  <c r="AP177" i="3"/>
  <c r="AN177" i="3"/>
  <c r="AE177" i="3"/>
  <c r="Y177" i="3"/>
  <c r="W177" i="3"/>
  <c r="T177" i="3"/>
  <c r="O177" i="3"/>
  <c r="N177" i="3"/>
  <c r="K177" i="3"/>
  <c r="M177" i="3" s="1"/>
  <c r="F177" i="3"/>
  <c r="H177" i="3" s="1"/>
  <c r="C177" i="3"/>
  <c r="AP176" i="3"/>
  <c r="AN176" i="3"/>
  <c r="AE176" i="3"/>
  <c r="AC176" i="3"/>
  <c r="Y176" i="3"/>
  <c r="W176" i="3"/>
  <c r="T176" i="3"/>
  <c r="P176" i="3"/>
  <c r="O176" i="3"/>
  <c r="N176" i="3"/>
  <c r="K176" i="3"/>
  <c r="M176" i="3" s="1"/>
  <c r="F176" i="3"/>
  <c r="H176" i="3" s="1"/>
  <c r="C176" i="3"/>
  <c r="AP175" i="3"/>
  <c r="AN175" i="3"/>
  <c r="AE175" i="3"/>
  <c r="K175" i="3"/>
  <c r="M175" i="3" s="1"/>
  <c r="F175" i="3"/>
  <c r="H175" i="3" s="1"/>
  <c r="C175" i="3"/>
  <c r="AP174" i="3"/>
  <c r="AN174" i="3"/>
  <c r="AE174" i="3"/>
  <c r="Y174" i="3"/>
  <c r="W174" i="3"/>
  <c r="T174" i="3"/>
  <c r="S174" i="3"/>
  <c r="P174" i="3"/>
  <c r="N174" i="3"/>
  <c r="K174" i="3"/>
  <c r="M174" i="3" s="1"/>
  <c r="F174" i="3"/>
  <c r="H174" i="3" s="1"/>
  <c r="C174" i="3"/>
  <c r="AP173" i="3"/>
  <c r="AN173" i="3"/>
  <c r="AE173" i="3"/>
  <c r="W173" i="3"/>
  <c r="K173" i="3"/>
  <c r="M173" i="3" s="1"/>
  <c r="F173" i="3"/>
  <c r="H173" i="3" s="1"/>
  <c r="C173" i="3"/>
  <c r="AP172" i="3"/>
  <c r="AN172" i="3"/>
  <c r="AE172" i="3"/>
  <c r="Y172" i="3"/>
  <c r="W172" i="3"/>
  <c r="O172" i="3"/>
  <c r="N172" i="3"/>
  <c r="K172" i="3"/>
  <c r="M172" i="3" s="1"/>
  <c r="F172" i="3"/>
  <c r="H172" i="3" s="1"/>
  <c r="C172" i="3"/>
  <c r="AP171" i="3"/>
  <c r="AN171" i="3"/>
  <c r="AE171" i="3"/>
  <c r="Y171" i="3"/>
  <c r="W171" i="3"/>
  <c r="T171" i="3"/>
  <c r="S171" i="3"/>
  <c r="P171" i="3"/>
  <c r="O171" i="3"/>
  <c r="N171" i="3"/>
  <c r="K171" i="3"/>
  <c r="M171" i="3" s="1"/>
  <c r="F171" i="3"/>
  <c r="H171" i="3" s="1"/>
  <c r="C171" i="3"/>
  <c r="AP170" i="3"/>
  <c r="AN170" i="3"/>
  <c r="AK170" i="3"/>
  <c r="AE170" i="3"/>
  <c r="Y170" i="3"/>
  <c r="W170" i="3"/>
  <c r="T170" i="3"/>
  <c r="O170" i="3"/>
  <c r="N170" i="3"/>
  <c r="K170" i="3"/>
  <c r="M170" i="3" s="1"/>
  <c r="F170" i="3"/>
  <c r="H170" i="3" s="1"/>
  <c r="C170" i="3"/>
  <c r="AP169" i="3"/>
  <c r="AN169" i="3"/>
  <c r="AE169" i="3"/>
  <c r="W169" i="3"/>
  <c r="T169" i="3"/>
  <c r="N169" i="3"/>
  <c r="K169" i="3"/>
  <c r="M169" i="3" s="1"/>
  <c r="F169" i="3"/>
  <c r="H169" i="3" s="1"/>
  <c r="C169" i="3"/>
  <c r="AP168" i="3"/>
  <c r="AN168" i="3"/>
  <c r="AE168" i="3"/>
  <c r="Y168" i="3"/>
  <c r="W168" i="3"/>
  <c r="T168" i="3"/>
  <c r="S168" i="3"/>
  <c r="O168" i="3"/>
  <c r="K168" i="3"/>
  <c r="M168" i="3" s="1"/>
  <c r="F168" i="3"/>
  <c r="H168" i="3" s="1"/>
  <c r="C168" i="3"/>
  <c r="AP167" i="3"/>
  <c r="AN167" i="3"/>
  <c r="AE167" i="3"/>
  <c r="Y167" i="3"/>
  <c r="W167" i="3"/>
  <c r="K167" i="3"/>
  <c r="M167" i="3" s="1"/>
  <c r="F167" i="3"/>
  <c r="H167" i="3" s="1"/>
  <c r="C167" i="3"/>
  <c r="AP166" i="3"/>
  <c r="AN166" i="3"/>
  <c r="AE166" i="3"/>
  <c r="Y166" i="3"/>
  <c r="W166" i="3"/>
  <c r="T166" i="3"/>
  <c r="O166" i="3"/>
  <c r="N166" i="3"/>
  <c r="K166" i="3"/>
  <c r="M166" i="3" s="1"/>
  <c r="F166" i="3"/>
  <c r="H166" i="3" s="1"/>
  <c r="C166" i="3"/>
  <c r="AP165" i="3"/>
  <c r="AN165" i="3"/>
  <c r="AE165" i="3"/>
  <c r="W165" i="3"/>
  <c r="K165" i="3"/>
  <c r="M165" i="3" s="1"/>
  <c r="F165" i="3"/>
  <c r="H165" i="3" s="1"/>
  <c r="C165" i="3"/>
  <c r="AP164" i="3"/>
  <c r="AN164" i="3"/>
  <c r="AE164" i="3"/>
  <c r="W164" i="3"/>
  <c r="K164" i="3"/>
  <c r="M164" i="3" s="1"/>
  <c r="F164" i="3"/>
  <c r="H164" i="3" s="1"/>
  <c r="C164" i="3"/>
  <c r="AP163" i="3"/>
  <c r="AN163" i="3"/>
  <c r="AE163" i="3"/>
  <c r="K163" i="3"/>
  <c r="M163" i="3" s="1"/>
  <c r="F163" i="3"/>
  <c r="H163" i="3" s="1"/>
  <c r="E163" i="3"/>
  <c r="U163" i="3" s="1"/>
  <c r="AS163" i="3" s="1"/>
  <c r="C163" i="3"/>
  <c r="I163" i="3" s="1"/>
  <c r="J163" i="3" s="1"/>
  <c r="AP162" i="3"/>
  <c r="AN162" i="3"/>
  <c r="AK162" i="3"/>
  <c r="AI162" i="3"/>
  <c r="AE162" i="3"/>
  <c r="AC162" i="3"/>
  <c r="Y162" i="3"/>
  <c r="W162" i="3"/>
  <c r="T162" i="3"/>
  <c r="S162" i="3"/>
  <c r="P162" i="3"/>
  <c r="N162" i="3"/>
  <c r="K162" i="3"/>
  <c r="M162" i="3" s="1"/>
  <c r="H162" i="3"/>
  <c r="F162" i="3"/>
  <c r="C162" i="3"/>
  <c r="AP161" i="3"/>
  <c r="AN161" i="3"/>
  <c r="AE161" i="3"/>
  <c r="Y161" i="3"/>
  <c r="W161" i="3"/>
  <c r="S161" i="3"/>
  <c r="P161" i="3"/>
  <c r="O161" i="3"/>
  <c r="K161" i="3"/>
  <c r="M161" i="3" s="1"/>
  <c r="F161" i="3"/>
  <c r="H161" i="3" s="1"/>
  <c r="C161" i="3"/>
  <c r="AP160" i="3"/>
  <c r="AN160" i="3"/>
  <c r="AE160" i="3"/>
  <c r="Y160" i="3"/>
  <c r="W160" i="3"/>
  <c r="P160" i="3"/>
  <c r="O160" i="3"/>
  <c r="K160" i="3"/>
  <c r="M160" i="3" s="1"/>
  <c r="F160" i="3"/>
  <c r="H160" i="3" s="1"/>
  <c r="C160" i="3"/>
  <c r="AP159" i="3"/>
  <c r="AN159" i="3"/>
  <c r="AK159" i="3"/>
  <c r="AE159" i="3"/>
  <c r="W159" i="3"/>
  <c r="P159" i="3"/>
  <c r="N159" i="3"/>
  <c r="K159" i="3"/>
  <c r="M159" i="3" s="1"/>
  <c r="F159" i="3"/>
  <c r="H159" i="3" s="1"/>
  <c r="C159" i="3"/>
  <c r="AP158" i="3"/>
  <c r="AN158" i="3"/>
  <c r="AK158" i="3"/>
  <c r="AE158" i="3"/>
  <c r="Z158" i="3"/>
  <c r="Y158" i="3"/>
  <c r="W158" i="3"/>
  <c r="P158" i="3"/>
  <c r="O158" i="3"/>
  <c r="N158" i="3"/>
  <c r="K158" i="3"/>
  <c r="M158" i="3" s="1"/>
  <c r="F158" i="3"/>
  <c r="H158" i="3" s="1"/>
  <c r="C158" i="3"/>
  <c r="AP157" i="3"/>
  <c r="AN157" i="3"/>
  <c r="AE157" i="3"/>
  <c r="Y157" i="3"/>
  <c r="W157" i="3"/>
  <c r="T157" i="3"/>
  <c r="P157" i="3"/>
  <c r="O157" i="3"/>
  <c r="N157" i="3"/>
  <c r="K157" i="3"/>
  <c r="M157" i="3" s="1"/>
  <c r="F157" i="3"/>
  <c r="H157" i="3" s="1"/>
  <c r="C157" i="3"/>
  <c r="AP156" i="3"/>
  <c r="AN156" i="3"/>
  <c r="AE156" i="3"/>
  <c r="Y156" i="3"/>
  <c r="W156" i="3"/>
  <c r="S156" i="3"/>
  <c r="P156" i="3"/>
  <c r="O156" i="3"/>
  <c r="N156" i="3"/>
  <c r="K156" i="3"/>
  <c r="M156" i="3" s="1"/>
  <c r="F156" i="3"/>
  <c r="H156" i="3" s="1"/>
  <c r="C156" i="3"/>
  <c r="AP155" i="3"/>
  <c r="AN155" i="3"/>
  <c r="AK155" i="3"/>
  <c r="AE155" i="3"/>
  <c r="Y155" i="3"/>
  <c r="W155" i="3"/>
  <c r="T155" i="3"/>
  <c r="S155" i="3"/>
  <c r="P155" i="3"/>
  <c r="O155" i="3"/>
  <c r="N155" i="3"/>
  <c r="K155" i="3"/>
  <c r="M155" i="3" s="1"/>
  <c r="F155" i="3"/>
  <c r="H155" i="3" s="1"/>
  <c r="C155" i="3"/>
  <c r="AP154" i="3"/>
  <c r="AN154" i="3"/>
  <c r="AE154" i="3"/>
  <c r="Y154" i="3"/>
  <c r="W154" i="3"/>
  <c r="T154" i="3"/>
  <c r="N154" i="3"/>
  <c r="K154" i="3"/>
  <c r="M154" i="3" s="1"/>
  <c r="F154" i="3"/>
  <c r="H154" i="3" s="1"/>
  <c r="C154" i="3"/>
  <c r="AP153" i="3"/>
  <c r="AN153" i="3"/>
  <c r="AK153" i="3"/>
  <c r="AE153" i="3"/>
  <c r="Y153" i="3"/>
  <c r="W153" i="3"/>
  <c r="S153" i="3"/>
  <c r="P153" i="3"/>
  <c r="N153" i="3"/>
  <c r="K153" i="3"/>
  <c r="M153" i="3" s="1"/>
  <c r="F153" i="3"/>
  <c r="H153" i="3" s="1"/>
  <c r="C153" i="3"/>
  <c r="AP152" i="3"/>
  <c r="AN152" i="3"/>
  <c r="AE152" i="3"/>
  <c r="Y152" i="3"/>
  <c r="W152" i="3"/>
  <c r="T152" i="3"/>
  <c r="S152" i="3"/>
  <c r="O152" i="3"/>
  <c r="N152" i="3"/>
  <c r="K152" i="3"/>
  <c r="M152" i="3" s="1"/>
  <c r="F152" i="3"/>
  <c r="H152" i="3" s="1"/>
  <c r="C152" i="3"/>
  <c r="AP151" i="3"/>
  <c r="AN151" i="3"/>
  <c r="AE151" i="3"/>
  <c r="W151" i="3"/>
  <c r="P151" i="3"/>
  <c r="O151" i="3"/>
  <c r="K151" i="3"/>
  <c r="M151" i="3" s="1"/>
  <c r="F151" i="3"/>
  <c r="H151" i="3" s="1"/>
  <c r="C151" i="3"/>
  <c r="AP150" i="3"/>
  <c r="AN150" i="3"/>
  <c r="AE150" i="3"/>
  <c r="W150" i="3"/>
  <c r="P150" i="3"/>
  <c r="N150" i="3"/>
  <c r="K150" i="3"/>
  <c r="M150" i="3" s="1"/>
  <c r="F150" i="3"/>
  <c r="H150" i="3" s="1"/>
  <c r="C150" i="3"/>
  <c r="AP149" i="3"/>
  <c r="AN149" i="3"/>
  <c r="AK149" i="3"/>
  <c r="AE149" i="3"/>
  <c r="Y149" i="3"/>
  <c r="W149" i="3"/>
  <c r="T149" i="3"/>
  <c r="S149" i="3"/>
  <c r="P149" i="3"/>
  <c r="O149" i="3"/>
  <c r="N149" i="3"/>
  <c r="K149" i="3"/>
  <c r="M149" i="3" s="1"/>
  <c r="F149" i="3"/>
  <c r="H149" i="3" s="1"/>
  <c r="C149" i="3"/>
  <c r="AP148" i="3"/>
  <c r="AN148" i="3"/>
  <c r="AE148" i="3"/>
  <c r="Y148" i="3"/>
  <c r="X148" i="3"/>
  <c r="W148" i="3"/>
  <c r="T148" i="3"/>
  <c r="P148" i="3"/>
  <c r="O148" i="3"/>
  <c r="N148" i="3"/>
  <c r="M148" i="3"/>
  <c r="K148" i="3"/>
  <c r="F148" i="3"/>
  <c r="H148" i="3" s="1"/>
  <c r="C148" i="3"/>
  <c r="AP147" i="3"/>
  <c r="AN147" i="3"/>
  <c r="AI147" i="3"/>
  <c r="AE147" i="3"/>
  <c r="Y147" i="3"/>
  <c r="W147" i="3"/>
  <c r="S147" i="3"/>
  <c r="P147" i="3"/>
  <c r="O147" i="3"/>
  <c r="N147" i="3"/>
  <c r="K147" i="3"/>
  <c r="M147" i="3" s="1"/>
  <c r="F147" i="3"/>
  <c r="H147" i="3" s="1"/>
  <c r="C147" i="3"/>
  <c r="AP146" i="3"/>
  <c r="AN146" i="3"/>
  <c r="AE146" i="3"/>
  <c r="Y146" i="3"/>
  <c r="W146" i="3"/>
  <c r="P146" i="3"/>
  <c r="O146" i="3"/>
  <c r="N146" i="3"/>
  <c r="K146" i="3"/>
  <c r="M146" i="3" s="1"/>
  <c r="F146" i="3"/>
  <c r="H146" i="3" s="1"/>
  <c r="C146" i="3"/>
  <c r="AP145" i="3"/>
  <c r="AN145" i="3"/>
  <c r="AE145" i="3"/>
  <c r="Y145" i="3"/>
  <c r="W145" i="3"/>
  <c r="P145" i="3"/>
  <c r="K145" i="3"/>
  <c r="M145" i="3" s="1"/>
  <c r="F145" i="3"/>
  <c r="H145" i="3" s="1"/>
  <c r="C145" i="3"/>
  <c r="AP144" i="3"/>
  <c r="AN144" i="3"/>
  <c r="AE144" i="3"/>
  <c r="Y144" i="3"/>
  <c r="W144" i="3"/>
  <c r="T144" i="3"/>
  <c r="S144" i="3"/>
  <c r="P144" i="3"/>
  <c r="O144" i="3"/>
  <c r="N144" i="3"/>
  <c r="M144" i="3"/>
  <c r="K144" i="3"/>
  <c r="F144" i="3"/>
  <c r="H144" i="3" s="1"/>
  <c r="C144" i="3"/>
  <c r="AP143" i="3"/>
  <c r="AN143" i="3"/>
  <c r="AE143" i="3"/>
  <c r="Y143" i="3"/>
  <c r="W143" i="3"/>
  <c r="P143" i="3"/>
  <c r="O143" i="3"/>
  <c r="N143" i="3"/>
  <c r="K143" i="3"/>
  <c r="M143" i="3" s="1"/>
  <c r="H143" i="3"/>
  <c r="F143" i="3"/>
  <c r="C143" i="3"/>
  <c r="AP142" i="3"/>
  <c r="AN142" i="3"/>
  <c r="AE142" i="3"/>
  <c r="Y142" i="3"/>
  <c r="W142" i="3"/>
  <c r="T142" i="3"/>
  <c r="P142" i="3"/>
  <c r="O142" i="3"/>
  <c r="N142" i="3"/>
  <c r="K142" i="3"/>
  <c r="M142" i="3" s="1"/>
  <c r="F142" i="3"/>
  <c r="H142" i="3" s="1"/>
  <c r="C142" i="3"/>
  <c r="AP141" i="3"/>
  <c r="AN141" i="3"/>
  <c r="AE141" i="3"/>
  <c r="Y141" i="3"/>
  <c r="W141" i="3"/>
  <c r="N141" i="3"/>
  <c r="K141" i="3"/>
  <c r="M141" i="3" s="1"/>
  <c r="F141" i="3"/>
  <c r="H141" i="3" s="1"/>
  <c r="E141" i="3"/>
  <c r="U141" i="3" s="1"/>
  <c r="AS141" i="3" s="1"/>
  <c r="C141" i="3"/>
  <c r="I141" i="3" s="1"/>
  <c r="J141" i="3" s="1"/>
  <c r="AP140" i="3"/>
  <c r="AN140" i="3"/>
  <c r="AK140" i="3"/>
  <c r="AI140" i="3"/>
  <c r="AE140" i="3"/>
  <c r="Y140" i="3"/>
  <c r="W140" i="3"/>
  <c r="T140" i="3"/>
  <c r="S140" i="3"/>
  <c r="P140" i="3"/>
  <c r="O140" i="3"/>
  <c r="N140" i="3"/>
  <c r="K140" i="3"/>
  <c r="M140" i="3" s="1"/>
  <c r="F140" i="3"/>
  <c r="H140" i="3" s="1"/>
  <c r="C140" i="3"/>
  <c r="AP139" i="3"/>
  <c r="AN139" i="3"/>
  <c r="AE139" i="3"/>
  <c r="K139" i="3"/>
  <c r="M139" i="3" s="1"/>
  <c r="F139" i="3"/>
  <c r="H139" i="3" s="1"/>
  <c r="C139" i="3"/>
  <c r="AP138" i="3"/>
  <c r="AN138" i="3"/>
  <c r="AE138" i="3"/>
  <c r="Y138" i="3"/>
  <c r="W138" i="3"/>
  <c r="T138" i="3"/>
  <c r="S138" i="3"/>
  <c r="P138" i="3"/>
  <c r="N138" i="3"/>
  <c r="K138" i="3"/>
  <c r="M138" i="3" s="1"/>
  <c r="F138" i="3"/>
  <c r="H138" i="3" s="1"/>
  <c r="C138" i="3"/>
  <c r="AP137" i="3"/>
  <c r="AN137" i="3"/>
  <c r="AE137" i="3"/>
  <c r="Y137" i="3"/>
  <c r="W137" i="3"/>
  <c r="K137" i="3"/>
  <c r="M137" i="3" s="1"/>
  <c r="F137" i="3"/>
  <c r="H137" i="3" s="1"/>
  <c r="C137" i="3"/>
  <c r="AP136" i="3"/>
  <c r="AN136" i="3"/>
  <c r="AE136" i="3"/>
  <c r="Y136" i="3"/>
  <c r="W136" i="3"/>
  <c r="T136" i="3"/>
  <c r="N136" i="3"/>
  <c r="K136" i="3"/>
  <c r="M136" i="3" s="1"/>
  <c r="F136" i="3"/>
  <c r="H136" i="3" s="1"/>
  <c r="C136" i="3"/>
  <c r="AP135" i="3"/>
  <c r="AN135" i="3"/>
  <c r="AK135" i="3"/>
  <c r="AE135" i="3"/>
  <c r="Y135" i="3"/>
  <c r="W135" i="3"/>
  <c r="T135" i="3"/>
  <c r="S135" i="3"/>
  <c r="P135" i="3"/>
  <c r="N135" i="3"/>
  <c r="K135" i="3"/>
  <c r="M135" i="3" s="1"/>
  <c r="F135" i="3"/>
  <c r="H135" i="3" s="1"/>
  <c r="C135" i="3"/>
  <c r="AP134" i="3"/>
  <c r="AN134" i="3"/>
  <c r="AE134" i="3"/>
  <c r="Y134" i="3"/>
  <c r="K134" i="3"/>
  <c r="M134" i="3" s="1"/>
  <c r="F134" i="3"/>
  <c r="H134" i="3" s="1"/>
  <c r="C134" i="3"/>
  <c r="AP133" i="3"/>
  <c r="AN133" i="3"/>
  <c r="AE133" i="3"/>
  <c r="Y133" i="3"/>
  <c r="W133" i="3"/>
  <c r="T133" i="3"/>
  <c r="P133" i="3"/>
  <c r="N133" i="3"/>
  <c r="K133" i="3"/>
  <c r="M133" i="3" s="1"/>
  <c r="F133" i="3"/>
  <c r="H133" i="3" s="1"/>
  <c r="C133" i="3"/>
  <c r="AP132" i="3"/>
  <c r="AN132" i="3"/>
  <c r="AE132" i="3"/>
  <c r="Y132" i="3"/>
  <c r="T132" i="3"/>
  <c r="K132" i="3"/>
  <c r="M132" i="3" s="1"/>
  <c r="F132" i="3"/>
  <c r="H132" i="3" s="1"/>
  <c r="C132" i="3"/>
  <c r="AP131" i="3"/>
  <c r="AN131" i="3"/>
  <c r="AI131" i="3"/>
  <c r="AE131" i="3"/>
  <c r="Y131" i="3"/>
  <c r="W131" i="3"/>
  <c r="T131" i="3"/>
  <c r="S131" i="3"/>
  <c r="P131" i="3"/>
  <c r="O131" i="3"/>
  <c r="N131" i="3"/>
  <c r="K131" i="3"/>
  <c r="M131" i="3" s="1"/>
  <c r="F131" i="3"/>
  <c r="H131" i="3" s="1"/>
  <c r="C131" i="3"/>
  <c r="AP130" i="3"/>
  <c r="AN130" i="3"/>
  <c r="AE130" i="3"/>
  <c r="Y130" i="3"/>
  <c r="W130" i="3"/>
  <c r="T130" i="3"/>
  <c r="S130" i="3"/>
  <c r="P130" i="3"/>
  <c r="O130" i="3"/>
  <c r="N130" i="3"/>
  <c r="K130" i="3"/>
  <c r="M130" i="3" s="1"/>
  <c r="F130" i="3"/>
  <c r="H130" i="3" s="1"/>
  <c r="C130" i="3"/>
  <c r="AP129" i="3"/>
  <c r="AN129" i="3"/>
  <c r="AE129" i="3"/>
  <c r="Y129" i="3"/>
  <c r="W129" i="3"/>
  <c r="S129" i="3"/>
  <c r="P129" i="3"/>
  <c r="O129" i="3"/>
  <c r="N129" i="3"/>
  <c r="K129" i="3"/>
  <c r="M129" i="3" s="1"/>
  <c r="F129" i="3"/>
  <c r="H129" i="3" s="1"/>
  <c r="C129" i="3"/>
  <c r="AP128" i="3"/>
  <c r="AN128" i="3"/>
  <c r="AE128" i="3"/>
  <c r="Y128" i="3"/>
  <c r="M128" i="3"/>
  <c r="K128" i="3"/>
  <c r="F128" i="3"/>
  <c r="H128" i="3" s="1"/>
  <c r="C128" i="3"/>
  <c r="AP127" i="3"/>
  <c r="AN127" i="3"/>
  <c r="AE127" i="3"/>
  <c r="Y127" i="3"/>
  <c r="W127" i="3"/>
  <c r="N127" i="3"/>
  <c r="K127" i="3"/>
  <c r="M127" i="3" s="1"/>
  <c r="F127" i="3"/>
  <c r="H127" i="3" s="1"/>
  <c r="C127" i="3"/>
  <c r="AP126" i="3"/>
  <c r="AN126" i="3"/>
  <c r="AE126" i="3"/>
  <c r="Y126" i="3"/>
  <c r="P126" i="3"/>
  <c r="O126" i="3"/>
  <c r="N126" i="3"/>
  <c r="K126" i="3"/>
  <c r="M126" i="3" s="1"/>
  <c r="F126" i="3"/>
  <c r="H126" i="3" s="1"/>
  <c r="C126" i="3"/>
  <c r="AP125" i="3"/>
  <c r="AN125" i="3"/>
  <c r="AE125" i="3"/>
  <c r="Y125" i="3"/>
  <c r="W125" i="3"/>
  <c r="S125" i="3"/>
  <c r="K125" i="3"/>
  <c r="M125" i="3" s="1"/>
  <c r="F125" i="3"/>
  <c r="H125" i="3" s="1"/>
  <c r="C125" i="3"/>
  <c r="AP124" i="3"/>
  <c r="AN124" i="3"/>
  <c r="AE124" i="3"/>
  <c r="Y124" i="3"/>
  <c r="K124" i="3"/>
  <c r="M124" i="3" s="1"/>
  <c r="F124" i="3"/>
  <c r="H124" i="3" s="1"/>
  <c r="C124" i="3"/>
  <c r="AP123" i="3"/>
  <c r="AN123" i="3"/>
  <c r="AE123" i="3"/>
  <c r="Y123" i="3"/>
  <c r="W123" i="3"/>
  <c r="S123" i="3"/>
  <c r="K123" i="3"/>
  <c r="M123" i="3" s="1"/>
  <c r="F123" i="3"/>
  <c r="H123" i="3" s="1"/>
  <c r="C123" i="3"/>
  <c r="AP122" i="3"/>
  <c r="AN122" i="3"/>
  <c r="AK122" i="3"/>
  <c r="AE122" i="3"/>
  <c r="Y122" i="3"/>
  <c r="W122" i="3"/>
  <c r="T122" i="3"/>
  <c r="S122" i="3"/>
  <c r="P122" i="3"/>
  <c r="O122" i="3"/>
  <c r="N122" i="3"/>
  <c r="K122" i="3"/>
  <c r="M122" i="3" s="1"/>
  <c r="F122" i="3"/>
  <c r="H122" i="3" s="1"/>
  <c r="C122" i="3"/>
  <c r="AP121" i="3"/>
  <c r="AN121" i="3"/>
  <c r="AE121" i="3"/>
  <c r="Y121" i="3"/>
  <c r="W121" i="3"/>
  <c r="T121" i="3"/>
  <c r="S121" i="3"/>
  <c r="P121" i="3"/>
  <c r="O121" i="3"/>
  <c r="N121" i="3"/>
  <c r="K121" i="3"/>
  <c r="M121" i="3" s="1"/>
  <c r="F121" i="3"/>
  <c r="H121" i="3" s="1"/>
  <c r="C121" i="3"/>
  <c r="AP120" i="3"/>
  <c r="AN120" i="3"/>
  <c r="AE120" i="3"/>
  <c r="Y120" i="3"/>
  <c r="W120" i="3"/>
  <c r="K120" i="3"/>
  <c r="M120" i="3" s="1"/>
  <c r="F120" i="3"/>
  <c r="H120" i="3" s="1"/>
  <c r="C120" i="3"/>
  <c r="AP119" i="3"/>
  <c r="AN119" i="3"/>
  <c r="AE119" i="3"/>
  <c r="Y119" i="3"/>
  <c r="W119" i="3"/>
  <c r="T119" i="3"/>
  <c r="S119" i="3"/>
  <c r="P119" i="3"/>
  <c r="O119" i="3"/>
  <c r="N119" i="3"/>
  <c r="K119" i="3"/>
  <c r="M119" i="3" s="1"/>
  <c r="F119" i="3"/>
  <c r="H119" i="3" s="1"/>
  <c r="C119" i="3"/>
  <c r="AP118" i="3"/>
  <c r="AN118" i="3"/>
  <c r="AE118" i="3"/>
  <c r="Y118" i="3"/>
  <c r="W118" i="3"/>
  <c r="K118" i="3"/>
  <c r="M118" i="3" s="1"/>
  <c r="F118" i="3"/>
  <c r="H118" i="3" s="1"/>
  <c r="C118" i="3"/>
  <c r="AP117" i="3"/>
  <c r="AN117" i="3"/>
  <c r="AE117" i="3"/>
  <c r="Y117" i="3"/>
  <c r="W117" i="3"/>
  <c r="T117" i="3"/>
  <c r="S117" i="3"/>
  <c r="P117" i="3"/>
  <c r="O117" i="3"/>
  <c r="N117" i="3"/>
  <c r="K117" i="3"/>
  <c r="M117" i="3" s="1"/>
  <c r="F117" i="3"/>
  <c r="H117" i="3" s="1"/>
  <c r="C117" i="3"/>
  <c r="AP116" i="3"/>
  <c r="AN116" i="3"/>
  <c r="AI116" i="3"/>
  <c r="AE116" i="3"/>
  <c r="Y116" i="3"/>
  <c r="W116" i="3"/>
  <c r="P116" i="3"/>
  <c r="K116" i="3"/>
  <c r="M116" i="3" s="1"/>
  <c r="F116" i="3"/>
  <c r="H116" i="3" s="1"/>
  <c r="C116" i="3"/>
  <c r="AP115" i="3"/>
  <c r="AN115" i="3"/>
  <c r="AE115" i="3"/>
  <c r="N115" i="3"/>
  <c r="K115" i="3"/>
  <c r="M115" i="3" s="1"/>
  <c r="F115" i="3"/>
  <c r="H115" i="3" s="1"/>
  <c r="C115" i="3"/>
  <c r="AP114" i="3"/>
  <c r="AN114" i="3"/>
  <c r="AE114" i="3"/>
  <c r="W114" i="3"/>
  <c r="N114" i="3"/>
  <c r="K114" i="3"/>
  <c r="M114" i="3" s="1"/>
  <c r="F114" i="3"/>
  <c r="H114" i="3" s="1"/>
  <c r="C114" i="3"/>
  <c r="AP113" i="3"/>
  <c r="AN113" i="3"/>
  <c r="AE113" i="3"/>
  <c r="AA113" i="3"/>
  <c r="Y113" i="3"/>
  <c r="W113" i="3"/>
  <c r="K113" i="3"/>
  <c r="M113" i="3" s="1"/>
  <c r="F113" i="3"/>
  <c r="H113" i="3" s="1"/>
  <c r="C113" i="3"/>
  <c r="AP112" i="3"/>
  <c r="AN112" i="3"/>
  <c r="AI112" i="3"/>
  <c r="AE112" i="3"/>
  <c r="Y112" i="3"/>
  <c r="W112" i="3"/>
  <c r="T112" i="3"/>
  <c r="P112" i="3"/>
  <c r="O112" i="3"/>
  <c r="N112" i="3"/>
  <c r="K112" i="3"/>
  <c r="M112" i="3" s="1"/>
  <c r="F112" i="3"/>
  <c r="H112" i="3" s="1"/>
  <c r="C112" i="3"/>
  <c r="AP111" i="3"/>
  <c r="AN111" i="3"/>
  <c r="AE111" i="3"/>
  <c r="W111" i="3"/>
  <c r="K111" i="3"/>
  <c r="M111" i="3" s="1"/>
  <c r="F111" i="3"/>
  <c r="H111" i="3" s="1"/>
  <c r="C111" i="3"/>
  <c r="AP110" i="3"/>
  <c r="AN110" i="3"/>
  <c r="AE110" i="3"/>
  <c r="Y110" i="3"/>
  <c r="W110" i="3"/>
  <c r="T110" i="3"/>
  <c r="P110" i="3"/>
  <c r="N110" i="3"/>
  <c r="K110" i="3"/>
  <c r="M110" i="3" s="1"/>
  <c r="H110" i="3"/>
  <c r="F110" i="3"/>
  <c r="C110" i="3"/>
  <c r="AP109" i="3"/>
  <c r="AN109" i="3"/>
  <c r="AK109" i="3"/>
  <c r="AE109" i="3"/>
  <c r="Y109" i="3"/>
  <c r="X109" i="3"/>
  <c r="T109" i="3"/>
  <c r="P109" i="3"/>
  <c r="K109" i="3"/>
  <c r="M109" i="3" s="1"/>
  <c r="F109" i="3"/>
  <c r="H109" i="3" s="1"/>
  <c r="C109" i="3"/>
  <c r="AP108" i="3"/>
  <c r="AN108" i="3"/>
  <c r="AE108" i="3"/>
  <c r="W108" i="3"/>
  <c r="K108" i="3"/>
  <c r="M108" i="3" s="1"/>
  <c r="F108" i="3"/>
  <c r="H108" i="3" s="1"/>
  <c r="C108" i="3"/>
  <c r="AP107" i="3"/>
  <c r="AN107" i="3"/>
  <c r="AE107" i="3"/>
  <c r="Y107" i="3"/>
  <c r="W107" i="3"/>
  <c r="T107" i="3"/>
  <c r="S107" i="3"/>
  <c r="P107" i="3"/>
  <c r="O107" i="3"/>
  <c r="N107" i="3"/>
  <c r="K107" i="3"/>
  <c r="M107" i="3" s="1"/>
  <c r="F107" i="3"/>
  <c r="H107" i="3" s="1"/>
  <c r="C107" i="3"/>
  <c r="AP106" i="3"/>
  <c r="AN106" i="3"/>
  <c r="AE106" i="3"/>
  <c r="Y106" i="3"/>
  <c r="W106" i="3"/>
  <c r="K106" i="3"/>
  <c r="M106" i="3" s="1"/>
  <c r="F106" i="3"/>
  <c r="H106" i="3" s="1"/>
  <c r="C106" i="3"/>
  <c r="AP105" i="3"/>
  <c r="AN105" i="3"/>
  <c r="AE105" i="3"/>
  <c r="Y105" i="3"/>
  <c r="W105" i="3"/>
  <c r="P105" i="3"/>
  <c r="N105" i="3"/>
  <c r="K105" i="3"/>
  <c r="M105" i="3" s="1"/>
  <c r="F105" i="3"/>
  <c r="H105" i="3" s="1"/>
  <c r="C105" i="3"/>
  <c r="AP104" i="3"/>
  <c r="AN104" i="3"/>
  <c r="AK104" i="3"/>
  <c r="AI104" i="3"/>
  <c r="AE104" i="3"/>
  <c r="Y104" i="3"/>
  <c r="W104" i="3"/>
  <c r="T104" i="3"/>
  <c r="S104" i="3"/>
  <c r="P104" i="3"/>
  <c r="O104" i="3"/>
  <c r="N104" i="3"/>
  <c r="K104" i="3"/>
  <c r="M104" i="3" s="1"/>
  <c r="F104" i="3"/>
  <c r="H104" i="3" s="1"/>
  <c r="C104" i="3"/>
  <c r="AP103" i="3"/>
  <c r="AN103" i="3"/>
  <c r="AE103" i="3"/>
  <c r="Y103" i="3"/>
  <c r="W103" i="3"/>
  <c r="T103" i="3"/>
  <c r="P103" i="3"/>
  <c r="O103" i="3"/>
  <c r="N103" i="3"/>
  <c r="K103" i="3"/>
  <c r="M103" i="3" s="1"/>
  <c r="F103" i="3"/>
  <c r="H103" i="3" s="1"/>
  <c r="C103" i="3"/>
  <c r="AP102" i="3"/>
  <c r="AN102" i="3"/>
  <c r="AE102" i="3"/>
  <c r="W102" i="3"/>
  <c r="K102" i="3"/>
  <c r="M102" i="3" s="1"/>
  <c r="F102" i="3"/>
  <c r="H102" i="3" s="1"/>
  <c r="C102" i="3"/>
  <c r="AP101" i="3"/>
  <c r="AN101" i="3"/>
  <c r="AE101" i="3"/>
  <c r="Y101" i="3"/>
  <c r="W101" i="3"/>
  <c r="T101" i="3"/>
  <c r="S101" i="3"/>
  <c r="P101" i="3"/>
  <c r="N101" i="3"/>
  <c r="K101" i="3"/>
  <c r="M101" i="3" s="1"/>
  <c r="F101" i="3"/>
  <c r="H101" i="3" s="1"/>
  <c r="C101" i="3"/>
  <c r="AP100" i="3"/>
  <c r="AN100" i="3"/>
  <c r="AE100" i="3"/>
  <c r="K100" i="3"/>
  <c r="M100" i="3" s="1"/>
  <c r="F100" i="3"/>
  <c r="H100" i="3" s="1"/>
  <c r="C100" i="3"/>
  <c r="AP99" i="3"/>
  <c r="AN99" i="3"/>
  <c r="AE99" i="3"/>
  <c r="Y99" i="3"/>
  <c r="W99" i="3"/>
  <c r="K99" i="3"/>
  <c r="M99" i="3" s="1"/>
  <c r="F99" i="3"/>
  <c r="H99" i="3" s="1"/>
  <c r="C99" i="3"/>
  <c r="AP98" i="3"/>
  <c r="AN98" i="3"/>
  <c r="AE98" i="3"/>
  <c r="W98" i="3"/>
  <c r="S98" i="3"/>
  <c r="K98" i="3"/>
  <c r="M98" i="3" s="1"/>
  <c r="F98" i="3"/>
  <c r="H98" i="3" s="1"/>
  <c r="C98" i="3"/>
  <c r="AP97" i="3"/>
  <c r="AN97" i="3"/>
  <c r="AE97" i="3"/>
  <c r="W97" i="3"/>
  <c r="K97" i="3"/>
  <c r="M97" i="3" s="1"/>
  <c r="F97" i="3"/>
  <c r="H97" i="3" s="1"/>
  <c r="C97" i="3"/>
  <c r="AP96" i="3"/>
  <c r="AN96" i="3"/>
  <c r="AE96" i="3"/>
  <c r="W96" i="3"/>
  <c r="K96" i="3"/>
  <c r="M96" i="3" s="1"/>
  <c r="F96" i="3"/>
  <c r="H96" i="3" s="1"/>
  <c r="C96" i="3"/>
  <c r="AP95" i="3"/>
  <c r="AN95" i="3"/>
  <c r="AI95" i="3"/>
  <c r="AE95" i="3"/>
  <c r="Y95" i="3"/>
  <c r="W95" i="3"/>
  <c r="T95" i="3"/>
  <c r="P95" i="3"/>
  <c r="O95" i="3"/>
  <c r="N95" i="3"/>
  <c r="K95" i="3"/>
  <c r="M95" i="3" s="1"/>
  <c r="F95" i="3"/>
  <c r="H95" i="3" s="1"/>
  <c r="C95" i="3"/>
  <c r="AP94" i="3"/>
  <c r="AN94" i="3"/>
  <c r="AE94" i="3"/>
  <c r="Y94" i="3"/>
  <c r="W94" i="3"/>
  <c r="T94" i="3"/>
  <c r="S94" i="3"/>
  <c r="P94" i="3"/>
  <c r="N94" i="3"/>
  <c r="K94" i="3"/>
  <c r="M94" i="3" s="1"/>
  <c r="F94" i="3"/>
  <c r="H94" i="3" s="1"/>
  <c r="C94" i="3"/>
  <c r="AP93" i="3"/>
  <c r="AN93" i="3"/>
  <c r="AE93" i="3"/>
  <c r="X93" i="3"/>
  <c r="W93" i="3"/>
  <c r="S93" i="3"/>
  <c r="K93" i="3"/>
  <c r="M93" i="3" s="1"/>
  <c r="F93" i="3"/>
  <c r="H93" i="3" s="1"/>
  <c r="C93" i="3"/>
  <c r="AP92" i="3"/>
  <c r="AN92" i="3"/>
  <c r="AE92" i="3"/>
  <c r="K92" i="3"/>
  <c r="M92" i="3" s="1"/>
  <c r="F92" i="3"/>
  <c r="H92" i="3" s="1"/>
  <c r="C92" i="3"/>
  <c r="AP91" i="3"/>
  <c r="AN91" i="3"/>
  <c r="AE91" i="3"/>
  <c r="W91" i="3"/>
  <c r="S91" i="3"/>
  <c r="K91" i="3"/>
  <c r="M91" i="3" s="1"/>
  <c r="F91" i="3"/>
  <c r="H91" i="3" s="1"/>
  <c r="C91" i="3"/>
  <c r="AP90" i="3"/>
  <c r="AN90" i="3"/>
  <c r="AI90" i="3"/>
  <c r="AE90" i="3"/>
  <c r="Y90" i="3"/>
  <c r="W90" i="3"/>
  <c r="T90" i="3"/>
  <c r="S90" i="3"/>
  <c r="P90" i="3"/>
  <c r="O90" i="3"/>
  <c r="N90" i="3"/>
  <c r="K90" i="3"/>
  <c r="M90" i="3" s="1"/>
  <c r="F90" i="3"/>
  <c r="H90" i="3" s="1"/>
  <c r="C90" i="3"/>
  <c r="AP89" i="3"/>
  <c r="AN89" i="3"/>
  <c r="AK89" i="3"/>
  <c r="AE89" i="3"/>
  <c r="Y89" i="3"/>
  <c r="W89" i="3"/>
  <c r="S89" i="3"/>
  <c r="O89" i="3"/>
  <c r="K89" i="3"/>
  <c r="M89" i="3" s="1"/>
  <c r="F89" i="3"/>
  <c r="H89" i="3" s="1"/>
  <c r="C89" i="3"/>
  <c r="AP88" i="3"/>
  <c r="AN88" i="3"/>
  <c r="AK88" i="3"/>
  <c r="AE88" i="3"/>
  <c r="Y88" i="3"/>
  <c r="W88" i="3"/>
  <c r="T88" i="3"/>
  <c r="P88" i="3"/>
  <c r="O88" i="3"/>
  <c r="N88" i="3"/>
  <c r="K88" i="3"/>
  <c r="M88" i="3" s="1"/>
  <c r="F88" i="3"/>
  <c r="H88" i="3" s="1"/>
  <c r="C88" i="3"/>
  <c r="AP87" i="3"/>
  <c r="AN87" i="3"/>
  <c r="AI87" i="3"/>
  <c r="AE87" i="3"/>
  <c r="Y87" i="3"/>
  <c r="W87" i="3"/>
  <c r="T87" i="3"/>
  <c r="P87" i="3"/>
  <c r="O87" i="3"/>
  <c r="N87" i="3"/>
  <c r="K87" i="3"/>
  <c r="M87" i="3" s="1"/>
  <c r="F87" i="3"/>
  <c r="H87" i="3" s="1"/>
  <c r="C87" i="3"/>
  <c r="AP86" i="3"/>
  <c r="AN86" i="3"/>
  <c r="AE86" i="3"/>
  <c r="W86" i="3"/>
  <c r="P86" i="3"/>
  <c r="N86" i="3"/>
  <c r="K86" i="3"/>
  <c r="M86" i="3" s="1"/>
  <c r="F86" i="3"/>
  <c r="H86" i="3" s="1"/>
  <c r="C86" i="3"/>
  <c r="AP85" i="3"/>
  <c r="AN85" i="3"/>
  <c r="AE85" i="3"/>
  <c r="S85" i="3"/>
  <c r="K85" i="3"/>
  <c r="M85" i="3" s="1"/>
  <c r="F85" i="3"/>
  <c r="H85" i="3" s="1"/>
  <c r="C85" i="3"/>
  <c r="AP84" i="3"/>
  <c r="AN84" i="3"/>
  <c r="AG84" i="3"/>
  <c r="AE84" i="3"/>
  <c r="Y84" i="3"/>
  <c r="W84" i="3"/>
  <c r="T84" i="3"/>
  <c r="S84" i="3"/>
  <c r="P84" i="3"/>
  <c r="N84" i="3"/>
  <c r="K84" i="3"/>
  <c r="M84" i="3" s="1"/>
  <c r="F84" i="3"/>
  <c r="H84" i="3" s="1"/>
  <c r="C84" i="3"/>
  <c r="AP83" i="3"/>
  <c r="AN83" i="3"/>
  <c r="AE83" i="3"/>
  <c r="Y83" i="3"/>
  <c r="T83" i="3"/>
  <c r="P83" i="3"/>
  <c r="N83" i="3"/>
  <c r="K83" i="3"/>
  <c r="M83" i="3" s="1"/>
  <c r="F83" i="3"/>
  <c r="H83" i="3" s="1"/>
  <c r="C83" i="3"/>
  <c r="AP82" i="3"/>
  <c r="AN82" i="3"/>
  <c r="AM82" i="3"/>
  <c r="AK82" i="3"/>
  <c r="AI82" i="3"/>
  <c r="AE82" i="3"/>
  <c r="Y82" i="3"/>
  <c r="W82" i="3"/>
  <c r="T82" i="3"/>
  <c r="P82" i="3"/>
  <c r="O82" i="3"/>
  <c r="N82" i="3"/>
  <c r="K82" i="3"/>
  <c r="M82" i="3" s="1"/>
  <c r="F82" i="3"/>
  <c r="H82" i="3" s="1"/>
  <c r="C82" i="3"/>
  <c r="AP81" i="3"/>
  <c r="AN81" i="3"/>
  <c r="AE81" i="3"/>
  <c r="Y81" i="3"/>
  <c r="W81" i="3"/>
  <c r="T81" i="3"/>
  <c r="S81" i="3"/>
  <c r="P81" i="3"/>
  <c r="N81" i="3"/>
  <c r="K81" i="3"/>
  <c r="M81" i="3" s="1"/>
  <c r="F81" i="3"/>
  <c r="H81" i="3" s="1"/>
  <c r="C81" i="3"/>
  <c r="AP80" i="3"/>
  <c r="AN80" i="3"/>
  <c r="AK80" i="3"/>
  <c r="AE80" i="3"/>
  <c r="Y80" i="3"/>
  <c r="W80" i="3"/>
  <c r="T80" i="3"/>
  <c r="S80" i="3"/>
  <c r="P80" i="3"/>
  <c r="O80" i="3"/>
  <c r="N80" i="3"/>
  <c r="K80" i="3"/>
  <c r="M80" i="3" s="1"/>
  <c r="F80" i="3"/>
  <c r="H80" i="3" s="1"/>
  <c r="C80" i="3"/>
  <c r="AP79" i="3"/>
  <c r="AN79" i="3"/>
  <c r="AE79" i="3"/>
  <c r="Y79" i="3"/>
  <c r="W79" i="3"/>
  <c r="K79" i="3"/>
  <c r="M79" i="3" s="1"/>
  <c r="F79" i="3"/>
  <c r="H79" i="3" s="1"/>
  <c r="C79" i="3"/>
  <c r="AP78" i="3"/>
  <c r="AN78" i="3"/>
  <c r="AE78" i="3"/>
  <c r="K78" i="3"/>
  <c r="M78" i="3" s="1"/>
  <c r="F78" i="3"/>
  <c r="H78" i="3" s="1"/>
  <c r="C78" i="3"/>
  <c r="AP77" i="3"/>
  <c r="AN77" i="3"/>
  <c r="AE77" i="3"/>
  <c r="K77" i="3"/>
  <c r="M77" i="3" s="1"/>
  <c r="F77" i="3"/>
  <c r="H77" i="3" s="1"/>
  <c r="C77" i="3"/>
  <c r="AP76" i="3"/>
  <c r="AN76" i="3"/>
  <c r="AI76" i="3"/>
  <c r="AE76" i="3"/>
  <c r="Y76" i="3"/>
  <c r="T76" i="3"/>
  <c r="S76" i="3"/>
  <c r="P76" i="3"/>
  <c r="O76" i="3"/>
  <c r="N76" i="3"/>
  <c r="K76" i="3"/>
  <c r="M76" i="3" s="1"/>
  <c r="F76" i="3"/>
  <c r="H76" i="3" s="1"/>
  <c r="C76" i="3"/>
  <c r="AP75" i="3"/>
  <c r="AN75" i="3"/>
  <c r="AE75" i="3"/>
  <c r="W75" i="3"/>
  <c r="K75" i="3"/>
  <c r="M75" i="3" s="1"/>
  <c r="H75" i="3"/>
  <c r="F75" i="3"/>
  <c r="C75" i="3"/>
  <c r="AP74" i="3"/>
  <c r="AN74" i="3"/>
  <c r="AE74" i="3"/>
  <c r="W74" i="3"/>
  <c r="K74" i="3"/>
  <c r="M74" i="3" s="1"/>
  <c r="F74" i="3"/>
  <c r="H74" i="3" s="1"/>
  <c r="C74" i="3"/>
  <c r="AP73" i="3"/>
  <c r="AN73" i="3"/>
  <c r="AE73" i="3"/>
  <c r="Y73" i="3"/>
  <c r="S73" i="3"/>
  <c r="K73" i="3"/>
  <c r="M73" i="3" s="1"/>
  <c r="F73" i="3"/>
  <c r="H73" i="3" s="1"/>
  <c r="C73" i="3"/>
  <c r="AP72" i="3"/>
  <c r="AN72" i="3"/>
  <c r="AE72" i="3"/>
  <c r="X72" i="3"/>
  <c r="S72" i="3"/>
  <c r="M72" i="3"/>
  <c r="K72" i="3"/>
  <c r="F72" i="3"/>
  <c r="H72" i="3" s="1"/>
  <c r="C72" i="3"/>
  <c r="AP71" i="3"/>
  <c r="AN71" i="3"/>
  <c r="AJ71" i="3"/>
  <c r="AE71" i="3"/>
  <c r="Y71" i="3"/>
  <c r="K71" i="3"/>
  <c r="M71" i="3" s="1"/>
  <c r="H71" i="3"/>
  <c r="F71" i="3"/>
  <c r="C71" i="3"/>
  <c r="AP70" i="3"/>
  <c r="AN70" i="3"/>
  <c r="AE70" i="3"/>
  <c r="W70" i="3"/>
  <c r="S70" i="3"/>
  <c r="K70" i="3"/>
  <c r="M70" i="3" s="1"/>
  <c r="F70" i="3"/>
  <c r="H70" i="3" s="1"/>
  <c r="C70" i="3"/>
  <c r="AP69" i="3"/>
  <c r="AN69" i="3"/>
  <c r="AE69" i="3"/>
  <c r="K69" i="3"/>
  <c r="M69" i="3" s="1"/>
  <c r="F69" i="3"/>
  <c r="H69" i="3" s="1"/>
  <c r="C69" i="3"/>
  <c r="AP68" i="3"/>
  <c r="AN68" i="3"/>
  <c r="AE68" i="3"/>
  <c r="AB68" i="3"/>
  <c r="Y68" i="3"/>
  <c r="W68" i="3"/>
  <c r="S68" i="3"/>
  <c r="P68" i="3"/>
  <c r="N68" i="3"/>
  <c r="K68" i="3"/>
  <c r="M68" i="3" s="1"/>
  <c r="F68" i="3"/>
  <c r="H68" i="3" s="1"/>
  <c r="C68" i="3"/>
  <c r="AP67" i="3"/>
  <c r="AN67" i="3"/>
  <c r="AE67" i="3"/>
  <c r="K67" i="3"/>
  <c r="M67" i="3" s="1"/>
  <c r="F67" i="3"/>
  <c r="H67" i="3" s="1"/>
  <c r="C67" i="3"/>
  <c r="AP66" i="3"/>
  <c r="AN66" i="3"/>
  <c r="AJ66" i="3"/>
  <c r="AE66" i="3"/>
  <c r="X66" i="3"/>
  <c r="W66" i="3"/>
  <c r="S66" i="3"/>
  <c r="K66" i="3"/>
  <c r="M66" i="3" s="1"/>
  <c r="F66" i="3"/>
  <c r="H66" i="3" s="1"/>
  <c r="C66" i="3"/>
  <c r="AP65" i="3"/>
  <c r="AN65" i="3"/>
  <c r="AE65" i="3"/>
  <c r="Y65" i="3"/>
  <c r="W65" i="3"/>
  <c r="P65" i="3"/>
  <c r="K65" i="3"/>
  <c r="M65" i="3" s="1"/>
  <c r="F65" i="3"/>
  <c r="H65" i="3" s="1"/>
  <c r="C65" i="3"/>
  <c r="AP64" i="3"/>
  <c r="AN64" i="3"/>
  <c r="AE64" i="3"/>
  <c r="K64" i="3"/>
  <c r="M64" i="3" s="1"/>
  <c r="F64" i="3"/>
  <c r="H64" i="3" s="1"/>
  <c r="C64" i="3"/>
  <c r="AP63" i="3"/>
  <c r="AN63" i="3"/>
  <c r="AE63" i="3"/>
  <c r="AB63" i="3"/>
  <c r="N63" i="3"/>
  <c r="K63" i="3"/>
  <c r="M63" i="3" s="1"/>
  <c r="F63" i="3"/>
  <c r="H63" i="3" s="1"/>
  <c r="C63" i="3"/>
  <c r="AP62" i="3"/>
  <c r="AN62" i="3"/>
  <c r="AE62" i="3"/>
  <c r="X62" i="3"/>
  <c r="S62" i="3"/>
  <c r="K62" i="3"/>
  <c r="M62" i="3" s="1"/>
  <c r="F62" i="3"/>
  <c r="H62" i="3" s="1"/>
  <c r="C62" i="3"/>
  <c r="AP61" i="3"/>
  <c r="AN61" i="3"/>
  <c r="AE61" i="3"/>
  <c r="Y61" i="3"/>
  <c r="W61" i="3"/>
  <c r="S61" i="3"/>
  <c r="P61" i="3"/>
  <c r="K61" i="3"/>
  <c r="M61" i="3" s="1"/>
  <c r="F61" i="3"/>
  <c r="H61" i="3" s="1"/>
  <c r="C61" i="3"/>
  <c r="AP60" i="3"/>
  <c r="AN60" i="3"/>
  <c r="AE60" i="3"/>
  <c r="W60" i="3"/>
  <c r="K60" i="3"/>
  <c r="M60" i="3" s="1"/>
  <c r="F60" i="3"/>
  <c r="H60" i="3" s="1"/>
  <c r="C60" i="3"/>
  <c r="AP59" i="3"/>
  <c r="AN59" i="3"/>
  <c r="AE59" i="3"/>
  <c r="Y59" i="3"/>
  <c r="W59" i="3"/>
  <c r="K59" i="3"/>
  <c r="M59" i="3" s="1"/>
  <c r="F59" i="3"/>
  <c r="H59" i="3" s="1"/>
  <c r="C59" i="3"/>
  <c r="AP58" i="3"/>
  <c r="AN58" i="3"/>
  <c r="AE58" i="3"/>
  <c r="Y58" i="3"/>
  <c r="W58" i="3"/>
  <c r="K58" i="3"/>
  <c r="M58" i="3" s="1"/>
  <c r="F58" i="3"/>
  <c r="H58" i="3" s="1"/>
  <c r="C58" i="3"/>
  <c r="AP57" i="3"/>
  <c r="AN57" i="3"/>
  <c r="AE57" i="3"/>
  <c r="Y57" i="3"/>
  <c r="W57" i="3"/>
  <c r="K57" i="3"/>
  <c r="M57" i="3" s="1"/>
  <c r="F57" i="3"/>
  <c r="H57" i="3" s="1"/>
  <c r="C57" i="3"/>
  <c r="AP56" i="3"/>
  <c r="AN56" i="3"/>
  <c r="AE56" i="3"/>
  <c r="W56" i="3"/>
  <c r="P56" i="3"/>
  <c r="K56" i="3"/>
  <c r="M56" i="3" s="1"/>
  <c r="F56" i="3"/>
  <c r="H56" i="3" s="1"/>
  <c r="C56" i="3"/>
  <c r="AP55" i="3"/>
  <c r="AN55" i="3"/>
  <c r="AE55" i="3"/>
  <c r="K55" i="3"/>
  <c r="M55" i="3" s="1"/>
  <c r="F55" i="3"/>
  <c r="H55" i="3" s="1"/>
  <c r="C55" i="3"/>
  <c r="AP54" i="3"/>
  <c r="AN54" i="3"/>
  <c r="AE54" i="3"/>
  <c r="W54" i="3"/>
  <c r="K54" i="3"/>
  <c r="M54" i="3" s="1"/>
  <c r="F54" i="3"/>
  <c r="H54" i="3" s="1"/>
  <c r="C54" i="3"/>
  <c r="AP53" i="3"/>
  <c r="AN53" i="3"/>
  <c r="AE53" i="3"/>
  <c r="W53" i="3"/>
  <c r="S53" i="3"/>
  <c r="K53" i="3"/>
  <c r="M53" i="3" s="1"/>
  <c r="F53" i="3"/>
  <c r="H53" i="3" s="1"/>
  <c r="C53" i="3"/>
  <c r="AP52" i="3"/>
  <c r="AN52" i="3"/>
  <c r="AE52" i="3"/>
  <c r="K52" i="3"/>
  <c r="M52" i="3" s="1"/>
  <c r="F52" i="3"/>
  <c r="H52" i="3" s="1"/>
  <c r="C52" i="3"/>
  <c r="AP51" i="3"/>
  <c r="AN51" i="3"/>
  <c r="AE51" i="3"/>
  <c r="K51" i="3"/>
  <c r="M51" i="3" s="1"/>
  <c r="F51" i="3"/>
  <c r="H51" i="3" s="1"/>
  <c r="C51" i="3"/>
  <c r="AP50" i="3"/>
  <c r="AN50" i="3"/>
  <c r="AE50" i="3"/>
  <c r="AB50" i="3"/>
  <c r="W50" i="3"/>
  <c r="K50" i="3"/>
  <c r="M50" i="3" s="1"/>
  <c r="F50" i="3"/>
  <c r="H50" i="3" s="1"/>
  <c r="C50" i="3"/>
  <c r="AP49" i="3"/>
  <c r="AN49" i="3"/>
  <c r="AE49" i="3"/>
  <c r="W49" i="3"/>
  <c r="S49" i="3"/>
  <c r="K49" i="3"/>
  <c r="M49" i="3" s="1"/>
  <c r="F49" i="3"/>
  <c r="H49" i="3" s="1"/>
  <c r="C49" i="3"/>
  <c r="AP48" i="3"/>
  <c r="AN48" i="3"/>
  <c r="AE48" i="3"/>
  <c r="W48" i="3"/>
  <c r="K48" i="3"/>
  <c r="M48" i="3" s="1"/>
  <c r="F48" i="3"/>
  <c r="H48" i="3" s="1"/>
  <c r="C48" i="3"/>
  <c r="AP47" i="3"/>
  <c r="AN47" i="3"/>
  <c r="AG47" i="3"/>
  <c r="AE47" i="3"/>
  <c r="W47" i="3"/>
  <c r="S47" i="3"/>
  <c r="K47" i="3"/>
  <c r="M47" i="3" s="1"/>
  <c r="F47" i="3"/>
  <c r="H47" i="3" s="1"/>
  <c r="C47" i="3"/>
  <c r="AP46" i="3"/>
  <c r="AN46" i="3"/>
  <c r="AE46" i="3"/>
  <c r="K46" i="3"/>
  <c r="M46" i="3" s="1"/>
  <c r="F46" i="3"/>
  <c r="H46" i="3" s="1"/>
  <c r="C46" i="3"/>
  <c r="AP45" i="3"/>
  <c r="AN45" i="3"/>
  <c r="AE45" i="3"/>
  <c r="W45" i="3"/>
  <c r="K45" i="3"/>
  <c r="M45" i="3" s="1"/>
  <c r="F45" i="3"/>
  <c r="H45" i="3" s="1"/>
  <c r="C45" i="3"/>
  <c r="AP44" i="3"/>
  <c r="AN44" i="3"/>
  <c r="AE44" i="3"/>
  <c r="Y44" i="3"/>
  <c r="W44" i="3"/>
  <c r="K44" i="3"/>
  <c r="M44" i="3" s="1"/>
  <c r="F44" i="3"/>
  <c r="H44" i="3" s="1"/>
  <c r="C44" i="3"/>
  <c r="AP43" i="3"/>
  <c r="AN43" i="3"/>
  <c r="AE43" i="3"/>
  <c r="W43" i="3"/>
  <c r="K43" i="3"/>
  <c r="M43" i="3" s="1"/>
  <c r="F43" i="3"/>
  <c r="H43" i="3" s="1"/>
  <c r="C43" i="3"/>
  <c r="AP42" i="3"/>
  <c r="AN42" i="3"/>
  <c r="AE42" i="3"/>
  <c r="Y42" i="3"/>
  <c r="W42" i="3"/>
  <c r="S42" i="3"/>
  <c r="K42" i="3"/>
  <c r="M42" i="3" s="1"/>
  <c r="F42" i="3"/>
  <c r="H42" i="3" s="1"/>
  <c r="C42" i="3"/>
  <c r="AP41" i="3"/>
  <c r="AN41" i="3"/>
  <c r="AE41" i="3"/>
  <c r="W41" i="3"/>
  <c r="K41" i="3"/>
  <c r="M41" i="3" s="1"/>
  <c r="F41" i="3"/>
  <c r="H41" i="3" s="1"/>
  <c r="C41" i="3"/>
  <c r="AP40" i="3"/>
  <c r="AN40" i="3"/>
  <c r="AE40" i="3"/>
  <c r="W40" i="3"/>
  <c r="K40" i="3"/>
  <c r="M40" i="3" s="1"/>
  <c r="F40" i="3"/>
  <c r="H40" i="3" s="1"/>
  <c r="C40" i="3"/>
  <c r="AP39" i="3"/>
  <c r="AN39" i="3"/>
  <c r="AE39" i="3"/>
  <c r="K39" i="3"/>
  <c r="M39" i="3" s="1"/>
  <c r="F39" i="3"/>
  <c r="H39" i="3" s="1"/>
  <c r="C39" i="3"/>
  <c r="AP38" i="3"/>
  <c r="AN38" i="3"/>
  <c r="AE38" i="3"/>
  <c r="AA38" i="3"/>
  <c r="X38" i="3"/>
  <c r="S38" i="3"/>
  <c r="K38" i="3"/>
  <c r="M38" i="3" s="1"/>
  <c r="F38" i="3"/>
  <c r="H38" i="3" s="1"/>
  <c r="C38" i="3"/>
  <c r="AP37" i="3"/>
  <c r="AN37" i="3"/>
  <c r="AE37" i="3"/>
  <c r="Y37" i="3"/>
  <c r="K37" i="3"/>
  <c r="M37" i="3" s="1"/>
  <c r="F37" i="3"/>
  <c r="H37" i="3" s="1"/>
  <c r="C37" i="3"/>
  <c r="AP36" i="3"/>
  <c r="AN36" i="3"/>
  <c r="AE36" i="3"/>
  <c r="AB36" i="3"/>
  <c r="W36" i="3"/>
  <c r="K36" i="3"/>
  <c r="M36" i="3" s="1"/>
  <c r="F36" i="3"/>
  <c r="H36" i="3" s="1"/>
  <c r="C36" i="3"/>
  <c r="AP35" i="3"/>
  <c r="AN35" i="3"/>
  <c r="AE35" i="3"/>
  <c r="Y35" i="3"/>
  <c r="W35" i="3"/>
  <c r="K35" i="3"/>
  <c r="M35" i="3" s="1"/>
  <c r="F35" i="3"/>
  <c r="H35" i="3" s="1"/>
  <c r="C35" i="3"/>
  <c r="AP34" i="3"/>
  <c r="AN34" i="3"/>
  <c r="AE34" i="3"/>
  <c r="Y34" i="3"/>
  <c r="K34" i="3"/>
  <c r="M34" i="3" s="1"/>
  <c r="F34" i="3"/>
  <c r="H34" i="3" s="1"/>
  <c r="C34" i="3"/>
  <c r="AP33" i="3"/>
  <c r="AN33" i="3"/>
  <c r="AE33" i="3"/>
  <c r="AB33" i="3"/>
  <c r="Y33" i="3"/>
  <c r="W33" i="3"/>
  <c r="S33" i="3"/>
  <c r="K33" i="3"/>
  <c r="M33" i="3" s="1"/>
  <c r="F33" i="3"/>
  <c r="H33" i="3" s="1"/>
  <c r="C33" i="3"/>
  <c r="AP32" i="3"/>
  <c r="AN32" i="3"/>
  <c r="AE32" i="3"/>
  <c r="K32" i="3"/>
  <c r="M32" i="3" s="1"/>
  <c r="F32" i="3"/>
  <c r="H32" i="3" s="1"/>
  <c r="C32" i="3"/>
  <c r="AP31" i="3"/>
  <c r="AN31" i="3"/>
  <c r="AE31" i="3"/>
  <c r="W31" i="3"/>
  <c r="R31" i="3"/>
  <c r="K31" i="3"/>
  <c r="M31" i="3" s="1"/>
  <c r="F31" i="3"/>
  <c r="H31" i="3" s="1"/>
  <c r="C31" i="3"/>
  <c r="AP30" i="3"/>
  <c r="AN30" i="3"/>
  <c r="AE30" i="3"/>
  <c r="W30" i="3"/>
  <c r="K30" i="3"/>
  <c r="M30" i="3" s="1"/>
  <c r="F30" i="3"/>
  <c r="H30" i="3" s="1"/>
  <c r="C30" i="3"/>
  <c r="AP29" i="3"/>
  <c r="AN29" i="3"/>
  <c r="AE29" i="3"/>
  <c r="Y29" i="3"/>
  <c r="K29" i="3"/>
  <c r="M29" i="3" s="1"/>
  <c r="F29" i="3"/>
  <c r="H29" i="3" s="1"/>
  <c r="C29" i="3"/>
  <c r="AP28" i="3"/>
  <c r="AN28" i="3"/>
  <c r="AE28" i="3"/>
  <c r="Y28" i="3"/>
  <c r="W28" i="3"/>
  <c r="K28" i="3"/>
  <c r="M28" i="3" s="1"/>
  <c r="F28" i="3"/>
  <c r="H28" i="3" s="1"/>
  <c r="C28" i="3"/>
  <c r="AP27" i="3"/>
  <c r="AN27" i="3"/>
  <c r="AI27" i="3"/>
  <c r="AE27" i="3"/>
  <c r="Y27" i="3"/>
  <c r="W27" i="3"/>
  <c r="O27" i="3"/>
  <c r="K27" i="3"/>
  <c r="M27" i="3" s="1"/>
  <c r="F27" i="3"/>
  <c r="H27" i="3" s="1"/>
  <c r="C27" i="3"/>
  <c r="AP26" i="3"/>
  <c r="AN26" i="3"/>
  <c r="AE26" i="3"/>
  <c r="AB26" i="3"/>
  <c r="AA26" i="3"/>
  <c r="W26" i="3"/>
  <c r="T26" i="3"/>
  <c r="K26" i="3"/>
  <c r="M26" i="3" s="1"/>
  <c r="F26" i="3"/>
  <c r="H26" i="3" s="1"/>
  <c r="C26" i="3"/>
  <c r="AP25" i="3"/>
  <c r="AN25" i="3"/>
  <c r="AE25" i="3"/>
  <c r="K25" i="3"/>
  <c r="M25" i="3" s="1"/>
  <c r="F25" i="3"/>
  <c r="H25" i="3" s="1"/>
  <c r="C25" i="3"/>
  <c r="AP24" i="3"/>
  <c r="AN24" i="3"/>
  <c r="AE24" i="3"/>
  <c r="W24" i="3"/>
  <c r="S24" i="3"/>
  <c r="K24" i="3"/>
  <c r="M24" i="3" s="1"/>
  <c r="F24" i="3"/>
  <c r="H24" i="3" s="1"/>
  <c r="C24" i="3"/>
  <c r="AP23" i="3"/>
  <c r="AN23" i="3"/>
  <c r="AE23" i="3"/>
  <c r="W23" i="3"/>
  <c r="K23" i="3"/>
  <c r="M23" i="3" s="1"/>
  <c r="F23" i="3"/>
  <c r="H23" i="3" s="1"/>
  <c r="C23" i="3"/>
  <c r="AP22" i="3"/>
  <c r="AN22" i="3"/>
  <c r="AE22" i="3"/>
  <c r="W22" i="3"/>
  <c r="K22" i="3"/>
  <c r="M22" i="3" s="1"/>
  <c r="F22" i="3"/>
  <c r="H22" i="3" s="1"/>
  <c r="C22" i="3"/>
  <c r="AP21" i="3"/>
  <c r="AN21" i="3"/>
  <c r="AE21" i="3"/>
  <c r="W21" i="3"/>
  <c r="K21" i="3"/>
  <c r="M21" i="3" s="1"/>
  <c r="F21" i="3"/>
  <c r="H21" i="3" s="1"/>
  <c r="C21" i="3"/>
  <c r="AP20" i="3"/>
  <c r="AN20" i="3"/>
  <c r="AE20" i="3"/>
  <c r="W20" i="3"/>
  <c r="K20" i="3"/>
  <c r="M20" i="3" s="1"/>
  <c r="F20" i="3"/>
  <c r="H20" i="3" s="1"/>
  <c r="C20" i="3"/>
  <c r="AP19" i="3"/>
  <c r="AN19" i="3"/>
  <c r="AE19" i="3"/>
  <c r="Y19" i="3"/>
  <c r="W19" i="3"/>
  <c r="K19" i="3"/>
  <c r="M19" i="3" s="1"/>
  <c r="F19" i="3"/>
  <c r="H19" i="3" s="1"/>
  <c r="C19" i="3"/>
  <c r="AP18" i="3"/>
  <c r="AN18" i="3"/>
  <c r="AE18" i="3"/>
  <c r="Y18" i="3"/>
  <c r="W18" i="3"/>
  <c r="K18" i="3"/>
  <c r="M18" i="3" s="1"/>
  <c r="F18" i="3"/>
  <c r="H18" i="3" s="1"/>
  <c r="C18" i="3"/>
  <c r="AP17" i="3"/>
  <c r="AN17" i="3"/>
  <c r="AE17" i="3"/>
  <c r="S17" i="3"/>
  <c r="K17" i="3"/>
  <c r="M17" i="3" s="1"/>
  <c r="F17" i="3"/>
  <c r="H17" i="3" s="1"/>
  <c r="C17" i="3"/>
  <c r="AP16" i="3"/>
  <c r="AN16" i="3"/>
  <c r="AE16" i="3"/>
  <c r="L16" i="3"/>
  <c r="K16" i="3"/>
  <c r="M16" i="3" s="1"/>
  <c r="F16" i="3"/>
  <c r="H16" i="3" s="1"/>
  <c r="C16" i="3"/>
  <c r="AP15" i="3"/>
  <c r="AN15" i="3"/>
  <c r="AE15" i="3"/>
  <c r="L15" i="3"/>
  <c r="K15" i="3"/>
  <c r="M15" i="3" s="1"/>
  <c r="F15" i="3"/>
  <c r="H15" i="3" s="1"/>
  <c r="C15" i="3"/>
  <c r="AP14" i="3"/>
  <c r="AN14" i="3"/>
  <c r="AE14" i="3"/>
  <c r="L14" i="3"/>
  <c r="K14" i="3"/>
  <c r="M14" i="3" s="1"/>
  <c r="F14" i="3"/>
  <c r="H14" i="3" s="1"/>
  <c r="C14" i="3"/>
  <c r="AP13" i="3"/>
  <c r="AN13" i="3"/>
  <c r="AE13" i="3"/>
  <c r="Y13" i="3"/>
  <c r="L13" i="3"/>
  <c r="K13" i="3"/>
  <c r="M13" i="3" s="1"/>
  <c r="F13" i="3"/>
  <c r="H13" i="3" s="1"/>
  <c r="D13" i="3"/>
  <c r="C13" i="3"/>
  <c r="AP12" i="3"/>
  <c r="AN12" i="3"/>
  <c r="AE12" i="3"/>
  <c r="L12" i="3"/>
  <c r="K12" i="3"/>
  <c r="M12" i="3" s="1"/>
  <c r="F12" i="3"/>
  <c r="H12" i="3" s="1"/>
  <c r="D12" i="3"/>
  <c r="C12" i="3"/>
  <c r="AP11" i="3"/>
  <c r="AN11" i="3"/>
  <c r="AE11" i="3"/>
  <c r="K11" i="3"/>
  <c r="M11" i="3" s="1"/>
  <c r="F11" i="3"/>
  <c r="H11" i="3" s="1"/>
  <c r="C11" i="3"/>
  <c r="AP10" i="3"/>
  <c r="AN10" i="3"/>
  <c r="AE10" i="3"/>
  <c r="K10" i="3"/>
  <c r="M10" i="3" s="1"/>
  <c r="F10" i="3"/>
  <c r="H10" i="3" s="1"/>
  <c r="C10" i="3"/>
  <c r="AP9" i="3"/>
  <c r="AN9" i="3"/>
  <c r="AE9" i="3"/>
  <c r="K9" i="3"/>
  <c r="M9" i="3" s="1"/>
  <c r="F9" i="3"/>
  <c r="H9" i="3" s="1"/>
  <c r="C9" i="3"/>
  <c r="AP8" i="3"/>
  <c r="AN8" i="3"/>
  <c r="AE8" i="3"/>
  <c r="K8" i="3"/>
  <c r="M8" i="3" s="1"/>
  <c r="F8" i="3"/>
  <c r="H8" i="3" s="1"/>
  <c r="C8" i="3"/>
  <c r="AO5" i="3"/>
  <c r="AM5" i="3"/>
  <c r="AL5" i="3"/>
  <c r="AK5" i="3"/>
  <c r="AJ5" i="3"/>
  <c r="AH5" i="3"/>
  <c r="AG5" i="3"/>
  <c r="AF5" i="3"/>
  <c r="AE5" i="3"/>
  <c r="AC5" i="3"/>
  <c r="AB5" i="3"/>
  <c r="AA5" i="3"/>
  <c r="Z5" i="3"/>
  <c r="S5" i="3"/>
  <c r="Q5" i="3"/>
  <c r="O5" i="3"/>
  <c r="N5" i="3"/>
  <c r="C2" i="3"/>
  <c r="G6" i="1"/>
  <c r="C3" i="1"/>
  <c r="AO257" i="8" l="1"/>
  <c r="I257" i="8"/>
  <c r="E257" i="8"/>
  <c r="J257" i="8" s="1"/>
  <c r="I326" i="3"/>
  <c r="J326" i="3" s="1"/>
  <c r="E326" i="3"/>
  <c r="U326" i="3" s="1"/>
  <c r="AS326" i="3" s="1"/>
  <c r="I184" i="4"/>
  <c r="D3" i="4" s="1"/>
  <c r="D6" i="4"/>
  <c r="N179" i="4"/>
  <c r="N178" i="4"/>
  <c r="AP325" i="3"/>
  <c r="I325" i="3"/>
  <c r="J325" i="3" s="1"/>
  <c r="E325" i="3"/>
  <c r="U325" i="3" s="1"/>
  <c r="I256" i="8"/>
  <c r="E256" i="8"/>
  <c r="J256" i="8" s="1"/>
  <c r="N162" i="4"/>
  <c r="I324" i="3"/>
  <c r="J324" i="3" s="1"/>
  <c r="E324" i="3"/>
  <c r="U324" i="3" s="1"/>
  <c r="AS324" i="3" s="1"/>
  <c r="AO255" i="8"/>
  <c r="I255" i="8"/>
  <c r="E255" i="8"/>
  <c r="J255" i="8" s="1"/>
  <c r="I323" i="3"/>
  <c r="J323" i="3" s="1"/>
  <c r="U323" i="3"/>
  <c r="AS323" i="3" s="1"/>
  <c r="I322" i="3"/>
  <c r="J322" i="3" s="1"/>
  <c r="E322" i="3"/>
  <c r="U322" i="3" s="1"/>
  <c r="AS322" i="3" s="1"/>
  <c r="I254" i="8"/>
  <c r="E254" i="8"/>
  <c r="J254" i="8" s="1"/>
  <c r="I253" i="8"/>
  <c r="E253" i="8"/>
  <c r="J253" i="8" s="1"/>
  <c r="K252" i="8"/>
  <c r="M248" i="7"/>
  <c r="I321" i="3"/>
  <c r="J321" i="3" s="1"/>
  <c r="E321" i="3"/>
  <c r="U321" i="3" s="1"/>
  <c r="AS321" i="3" s="1"/>
  <c r="X5" i="8"/>
  <c r="AH5" i="8"/>
  <c r="W5" i="8"/>
  <c r="AO249" i="8"/>
  <c r="AM5" i="8"/>
  <c r="AO251" i="8"/>
  <c r="I271" i="8"/>
  <c r="E271" i="8"/>
  <c r="J271" i="8" s="1"/>
  <c r="U271" i="8" s="1"/>
  <c r="AR271" i="8" s="1"/>
  <c r="I270" i="8"/>
  <c r="E270" i="8"/>
  <c r="J270" i="8" s="1"/>
  <c r="U270" i="8" s="1"/>
  <c r="AR270" i="8" s="1"/>
  <c r="E269" i="8"/>
  <c r="J269" i="8" s="1"/>
  <c r="U269" i="8" s="1"/>
  <c r="AR269" i="8" s="1"/>
  <c r="I269" i="8"/>
  <c r="E268" i="8"/>
  <c r="J268" i="8" s="1"/>
  <c r="U268" i="8" s="1"/>
  <c r="AR268" i="8" s="1"/>
  <c r="I268" i="8"/>
  <c r="I267" i="8"/>
  <c r="E267" i="8"/>
  <c r="J267" i="8" s="1"/>
  <c r="U267" i="8" s="1"/>
  <c r="AR267" i="8" s="1"/>
  <c r="I266" i="8"/>
  <c r="E266" i="8"/>
  <c r="J266" i="8" s="1"/>
  <c r="U266" i="8" s="1"/>
  <c r="AR266" i="8" s="1"/>
  <c r="E265" i="8"/>
  <c r="J265" i="8" s="1"/>
  <c r="U265" i="8" s="1"/>
  <c r="AR265" i="8" s="1"/>
  <c r="I265" i="8"/>
  <c r="I264" i="8"/>
  <c r="E264" i="8"/>
  <c r="J264" i="8" s="1"/>
  <c r="U264" i="8" s="1"/>
  <c r="AR264" i="8" s="1"/>
  <c r="E263" i="8"/>
  <c r="J263" i="8" s="1"/>
  <c r="U263" i="8" s="1"/>
  <c r="AR263" i="8" s="1"/>
  <c r="I263" i="8"/>
  <c r="I262" i="8"/>
  <c r="E262" i="8"/>
  <c r="J262" i="8" s="1"/>
  <c r="U262" i="8" s="1"/>
  <c r="AR262" i="8" s="1"/>
  <c r="E261" i="8"/>
  <c r="J261" i="8" s="1"/>
  <c r="U261" i="8" s="1"/>
  <c r="AR261" i="8" s="1"/>
  <c r="I261" i="8"/>
  <c r="E260" i="8"/>
  <c r="J260" i="8" s="1"/>
  <c r="U260" i="8" s="1"/>
  <c r="AR260" i="8" s="1"/>
  <c r="I260" i="8"/>
  <c r="E259" i="8"/>
  <c r="J259" i="8" s="1"/>
  <c r="U259" i="8" s="1"/>
  <c r="AR259" i="8" s="1"/>
  <c r="I259" i="8"/>
  <c r="E258" i="8"/>
  <c r="J258" i="8" s="1"/>
  <c r="U258" i="8" s="1"/>
  <c r="AR258" i="8" s="1"/>
  <c r="I258" i="8"/>
  <c r="U257" i="8"/>
  <c r="AR257" i="8" s="1"/>
  <c r="U256" i="8"/>
  <c r="AR256" i="8" s="1"/>
  <c r="U255" i="8"/>
  <c r="U254" i="8"/>
  <c r="AR254" i="8" s="1"/>
  <c r="U253" i="8"/>
  <c r="AR253" i="8" s="1"/>
  <c r="E244" i="8"/>
  <c r="J244" i="8" s="1"/>
  <c r="U244" i="8" s="1"/>
  <c r="AR244" i="8" s="1"/>
  <c r="I244" i="8"/>
  <c r="E243" i="8"/>
  <c r="J243" i="8" s="1"/>
  <c r="U243" i="8" s="1"/>
  <c r="AR243" i="8" s="1"/>
  <c r="I243" i="8"/>
  <c r="I242" i="8"/>
  <c r="E242" i="8"/>
  <c r="J242" i="8" s="1"/>
  <c r="U242" i="8" s="1"/>
  <c r="AR242" i="8" s="1"/>
  <c r="I241" i="8"/>
  <c r="E241" i="8"/>
  <c r="J241" i="8" s="1"/>
  <c r="U241" i="8" s="1"/>
  <c r="AR241" i="8" s="1"/>
  <c r="I240" i="8"/>
  <c r="E240" i="8"/>
  <c r="J240" i="8" s="1"/>
  <c r="U240" i="8" s="1"/>
  <c r="AR240" i="8" s="1"/>
  <c r="E239" i="8"/>
  <c r="J239" i="8" s="1"/>
  <c r="U239" i="8" s="1"/>
  <c r="AR239" i="8" s="1"/>
  <c r="I239" i="8"/>
  <c r="I238" i="8"/>
  <c r="E238" i="8"/>
  <c r="J238" i="8" s="1"/>
  <c r="U238" i="8" s="1"/>
  <c r="AR238" i="8" s="1"/>
  <c r="I237" i="8"/>
  <c r="E237" i="8"/>
  <c r="J237" i="8" s="1"/>
  <c r="U237" i="8" s="1"/>
  <c r="AR237" i="8" s="1"/>
  <c r="I236" i="8"/>
  <c r="E236" i="8"/>
  <c r="J236" i="8" s="1"/>
  <c r="U236" i="8" s="1"/>
  <c r="AR236" i="8" s="1"/>
  <c r="E235" i="8"/>
  <c r="J235" i="8" s="1"/>
  <c r="U235" i="8" s="1"/>
  <c r="AR235" i="8" s="1"/>
  <c r="I235" i="8"/>
  <c r="I234" i="8"/>
  <c r="E234" i="8"/>
  <c r="J234" i="8" s="1"/>
  <c r="U234" i="8" s="1"/>
  <c r="AR234" i="8" s="1"/>
  <c r="I233" i="8"/>
  <c r="E233" i="8"/>
  <c r="J233" i="8" s="1"/>
  <c r="U233" i="8" s="1"/>
  <c r="AR233" i="8" s="1"/>
  <c r="E232" i="8"/>
  <c r="J232" i="8" s="1"/>
  <c r="U232" i="8" s="1"/>
  <c r="AR232" i="8" s="1"/>
  <c r="I232" i="8"/>
  <c r="I231" i="8"/>
  <c r="E231" i="8"/>
  <c r="J231" i="8" s="1"/>
  <c r="U231" i="8" s="1"/>
  <c r="AR231" i="8" s="1"/>
  <c r="I230" i="8"/>
  <c r="E230" i="8"/>
  <c r="J230" i="8" s="1"/>
  <c r="U230" i="8" s="1"/>
  <c r="AR230" i="8" s="1"/>
  <c r="I229" i="8"/>
  <c r="E229" i="8"/>
  <c r="J229" i="8" s="1"/>
  <c r="U229" i="8" s="1"/>
  <c r="AR229" i="8" s="1"/>
  <c r="E228" i="8"/>
  <c r="J228" i="8" s="1"/>
  <c r="U228" i="8" s="1"/>
  <c r="AR228" i="8" s="1"/>
  <c r="I228" i="8"/>
  <c r="I227" i="8"/>
  <c r="E227" i="8"/>
  <c r="J227" i="8" s="1"/>
  <c r="U227" i="8" s="1"/>
  <c r="AR227" i="8" s="1"/>
  <c r="E226" i="8"/>
  <c r="J226" i="8" s="1"/>
  <c r="U226" i="8" s="1"/>
  <c r="AR226" i="8" s="1"/>
  <c r="I226" i="8"/>
  <c r="E225" i="8"/>
  <c r="J225" i="8" s="1"/>
  <c r="U225" i="8" s="1"/>
  <c r="AR225" i="8" s="1"/>
  <c r="I225" i="8"/>
  <c r="E224" i="8"/>
  <c r="J224" i="8" s="1"/>
  <c r="U224" i="8" s="1"/>
  <c r="AR224" i="8" s="1"/>
  <c r="I224" i="8"/>
  <c r="E223" i="8"/>
  <c r="J223" i="8" s="1"/>
  <c r="U223" i="8" s="1"/>
  <c r="AR223" i="8" s="1"/>
  <c r="I223" i="8"/>
  <c r="I222" i="8"/>
  <c r="E222" i="8"/>
  <c r="J222" i="8" s="1"/>
  <c r="U222" i="8" s="1"/>
  <c r="AR222" i="8" s="1"/>
  <c r="E221" i="8"/>
  <c r="J221" i="8" s="1"/>
  <c r="U221" i="8" s="1"/>
  <c r="AR221" i="8" s="1"/>
  <c r="I221" i="8"/>
  <c r="I220" i="8"/>
  <c r="E220" i="8"/>
  <c r="J220" i="8" s="1"/>
  <c r="U220" i="8" s="1"/>
  <c r="AR220" i="8" s="1"/>
  <c r="I219" i="8"/>
  <c r="E219" i="8"/>
  <c r="J219" i="8" s="1"/>
  <c r="U219" i="8" s="1"/>
  <c r="AR219" i="8" s="1"/>
  <c r="I218" i="8"/>
  <c r="E218" i="8"/>
  <c r="J218" i="8" s="1"/>
  <c r="U218" i="8" s="1"/>
  <c r="AR218" i="8" s="1"/>
  <c r="I217" i="8"/>
  <c r="E217" i="8"/>
  <c r="J217" i="8" s="1"/>
  <c r="U217" i="8" s="1"/>
  <c r="AR217" i="8" s="1"/>
  <c r="I216" i="8"/>
  <c r="E216" i="8"/>
  <c r="J216" i="8" s="1"/>
  <c r="U216" i="8" s="1"/>
  <c r="AR216" i="8" s="1"/>
  <c r="E215" i="8"/>
  <c r="J215" i="8" s="1"/>
  <c r="U215" i="8" s="1"/>
  <c r="AR215" i="8" s="1"/>
  <c r="I215" i="8"/>
  <c r="E214" i="8"/>
  <c r="J214" i="8" s="1"/>
  <c r="U214" i="8" s="1"/>
  <c r="AR214" i="8" s="1"/>
  <c r="I214" i="8"/>
  <c r="I213" i="8"/>
  <c r="E213" i="8"/>
  <c r="J213" i="8" s="1"/>
  <c r="U213" i="8" s="1"/>
  <c r="AR213" i="8" s="1"/>
  <c r="E212" i="8"/>
  <c r="J212" i="8" s="1"/>
  <c r="U212" i="8" s="1"/>
  <c r="AR212" i="8" s="1"/>
  <c r="I212" i="8"/>
  <c r="I211" i="8"/>
  <c r="E211" i="8"/>
  <c r="J211" i="8" s="1"/>
  <c r="U211" i="8" s="1"/>
  <c r="AR211" i="8" s="1"/>
  <c r="I210" i="8"/>
  <c r="E210" i="8"/>
  <c r="J210" i="8" s="1"/>
  <c r="U210" i="8" s="1"/>
  <c r="AR210" i="8" s="1"/>
  <c r="E209" i="8"/>
  <c r="J209" i="8" s="1"/>
  <c r="U209" i="8" s="1"/>
  <c r="AR209" i="8" s="1"/>
  <c r="I209" i="8"/>
  <c r="E208" i="8"/>
  <c r="J208" i="8" s="1"/>
  <c r="U208" i="8" s="1"/>
  <c r="AR208" i="8" s="1"/>
  <c r="I208" i="8"/>
  <c r="E207" i="8"/>
  <c r="J207" i="8" s="1"/>
  <c r="U207" i="8" s="1"/>
  <c r="AR207" i="8" s="1"/>
  <c r="I207" i="8"/>
  <c r="I206" i="8"/>
  <c r="E206" i="8"/>
  <c r="J206" i="8" s="1"/>
  <c r="U206" i="8" s="1"/>
  <c r="AR206" i="8" s="1"/>
  <c r="I205" i="8"/>
  <c r="E205" i="8"/>
  <c r="J205" i="8" s="1"/>
  <c r="U205" i="8" s="1"/>
  <c r="AR205" i="8" s="1"/>
  <c r="E204" i="8"/>
  <c r="J204" i="8" s="1"/>
  <c r="U204" i="8" s="1"/>
  <c r="AR204" i="8" s="1"/>
  <c r="I204" i="8"/>
  <c r="E203" i="8"/>
  <c r="J203" i="8" s="1"/>
  <c r="U203" i="8" s="1"/>
  <c r="AR203" i="8" s="1"/>
  <c r="I203" i="8"/>
  <c r="I202" i="8"/>
  <c r="E202" i="8"/>
  <c r="J202" i="8" s="1"/>
  <c r="U202" i="8" s="1"/>
  <c r="AR202" i="8" s="1"/>
  <c r="I201" i="8"/>
  <c r="E201" i="8"/>
  <c r="J201" i="8" s="1"/>
  <c r="U201" i="8" s="1"/>
  <c r="AR201" i="8" s="1"/>
  <c r="E200" i="8"/>
  <c r="J200" i="8" s="1"/>
  <c r="U200" i="8" s="1"/>
  <c r="AR200" i="8" s="1"/>
  <c r="I200" i="8"/>
  <c r="E199" i="8"/>
  <c r="J199" i="8" s="1"/>
  <c r="U199" i="8" s="1"/>
  <c r="AR199" i="8" s="1"/>
  <c r="I199" i="8"/>
  <c r="E198" i="8"/>
  <c r="J198" i="8" s="1"/>
  <c r="U198" i="8" s="1"/>
  <c r="AR198" i="8" s="1"/>
  <c r="I198" i="8"/>
  <c r="I197" i="8"/>
  <c r="E197" i="8"/>
  <c r="J197" i="8" s="1"/>
  <c r="U197" i="8" s="1"/>
  <c r="AR197" i="8" s="1"/>
  <c r="E196" i="8"/>
  <c r="J196" i="8" s="1"/>
  <c r="U196" i="8" s="1"/>
  <c r="AR196" i="8" s="1"/>
  <c r="I196" i="8"/>
  <c r="I195" i="8"/>
  <c r="E195" i="8"/>
  <c r="J195" i="8" s="1"/>
  <c r="U195" i="8" s="1"/>
  <c r="AR195" i="8" s="1"/>
  <c r="I194" i="8"/>
  <c r="E194" i="8"/>
  <c r="J194" i="8" s="1"/>
  <c r="U194" i="8" s="1"/>
  <c r="AR194" i="8" s="1"/>
  <c r="E193" i="8"/>
  <c r="J193" i="8" s="1"/>
  <c r="U193" i="8" s="1"/>
  <c r="AR193" i="8" s="1"/>
  <c r="I193" i="8"/>
  <c r="E192" i="8"/>
  <c r="J192" i="8" s="1"/>
  <c r="U192" i="8" s="1"/>
  <c r="AR192" i="8" s="1"/>
  <c r="I192" i="8"/>
  <c r="I191" i="8"/>
  <c r="E191" i="8"/>
  <c r="J191" i="8" s="1"/>
  <c r="U191" i="8" s="1"/>
  <c r="AR191" i="8" s="1"/>
  <c r="I190" i="8"/>
  <c r="E190" i="8"/>
  <c r="J190" i="8" s="1"/>
  <c r="U190" i="8" s="1"/>
  <c r="AR190" i="8" s="1"/>
  <c r="E189" i="8"/>
  <c r="J189" i="8" s="1"/>
  <c r="U189" i="8" s="1"/>
  <c r="AR189" i="8" s="1"/>
  <c r="I189" i="8"/>
  <c r="I188" i="8"/>
  <c r="E188" i="8"/>
  <c r="J188" i="8" s="1"/>
  <c r="U188" i="8" s="1"/>
  <c r="AR188" i="8" s="1"/>
  <c r="I187" i="8"/>
  <c r="E187" i="8"/>
  <c r="J187" i="8" s="1"/>
  <c r="U187" i="8" s="1"/>
  <c r="AR187" i="8" s="1"/>
  <c r="I186" i="8"/>
  <c r="E186" i="8"/>
  <c r="J186" i="8" s="1"/>
  <c r="U186" i="8" s="1"/>
  <c r="AR186" i="8" s="1"/>
  <c r="I185" i="8"/>
  <c r="E185" i="8"/>
  <c r="J185" i="8" s="1"/>
  <c r="U185" i="8" s="1"/>
  <c r="AR185" i="8" s="1"/>
  <c r="I184" i="8"/>
  <c r="E184" i="8"/>
  <c r="J184" i="8" s="1"/>
  <c r="U184" i="8" s="1"/>
  <c r="AR184" i="8" s="1"/>
  <c r="I183" i="8"/>
  <c r="E183" i="8"/>
  <c r="J183" i="8" s="1"/>
  <c r="U183" i="8" s="1"/>
  <c r="AR183" i="8" s="1"/>
  <c r="E182" i="8"/>
  <c r="J182" i="8" s="1"/>
  <c r="U182" i="8" s="1"/>
  <c r="AR182" i="8" s="1"/>
  <c r="I182" i="8"/>
  <c r="E181" i="8"/>
  <c r="J181" i="8" s="1"/>
  <c r="U181" i="8" s="1"/>
  <c r="I181" i="8"/>
  <c r="I180" i="8"/>
  <c r="E180" i="8"/>
  <c r="J180" i="8" s="1"/>
  <c r="U180" i="8" s="1"/>
  <c r="AR180" i="8" s="1"/>
  <c r="E179" i="8"/>
  <c r="J179" i="8" s="1"/>
  <c r="U179" i="8" s="1"/>
  <c r="AR179" i="8" s="1"/>
  <c r="I179" i="8"/>
  <c r="I178" i="8"/>
  <c r="E178" i="8"/>
  <c r="J178" i="8" s="1"/>
  <c r="U178" i="8" s="1"/>
  <c r="AR178" i="8" s="1"/>
  <c r="E177" i="8"/>
  <c r="J177" i="8" s="1"/>
  <c r="U177" i="8" s="1"/>
  <c r="AR177" i="8" s="1"/>
  <c r="I177" i="8"/>
  <c r="E176" i="8"/>
  <c r="J176" i="8" s="1"/>
  <c r="U176" i="8" s="1"/>
  <c r="AR176" i="8" s="1"/>
  <c r="I176" i="8"/>
  <c r="E175" i="8"/>
  <c r="J175" i="8" s="1"/>
  <c r="U175" i="8" s="1"/>
  <c r="AR175" i="8" s="1"/>
  <c r="I175" i="8"/>
  <c r="I174" i="8"/>
  <c r="E174" i="8"/>
  <c r="J174" i="8" s="1"/>
  <c r="U174" i="8" s="1"/>
  <c r="AR174" i="8" s="1"/>
  <c r="I173" i="8"/>
  <c r="E173" i="8"/>
  <c r="J173" i="8" s="1"/>
  <c r="U173" i="8" s="1"/>
  <c r="AR173" i="8" s="1"/>
  <c r="I172" i="8"/>
  <c r="E172" i="8"/>
  <c r="J172" i="8" s="1"/>
  <c r="U172" i="8" s="1"/>
  <c r="AR172" i="8" s="1"/>
  <c r="E171" i="8"/>
  <c r="J171" i="8" s="1"/>
  <c r="U171" i="8" s="1"/>
  <c r="AR171" i="8" s="1"/>
  <c r="I171" i="8"/>
  <c r="E170" i="8"/>
  <c r="J170" i="8" s="1"/>
  <c r="U170" i="8" s="1"/>
  <c r="AR170" i="8" s="1"/>
  <c r="I170" i="8"/>
  <c r="I169" i="8"/>
  <c r="E169" i="8"/>
  <c r="J169" i="8" s="1"/>
  <c r="U169" i="8" s="1"/>
  <c r="AR169" i="8" s="1"/>
  <c r="I168" i="8"/>
  <c r="E168" i="8"/>
  <c r="J168" i="8" s="1"/>
  <c r="U168" i="8" s="1"/>
  <c r="AR168" i="8" s="1"/>
  <c r="I167" i="8"/>
  <c r="E167" i="8"/>
  <c r="J167" i="8" s="1"/>
  <c r="U167" i="8" s="1"/>
  <c r="AR167" i="8" s="1"/>
  <c r="E166" i="8"/>
  <c r="J166" i="8" s="1"/>
  <c r="U166" i="8" s="1"/>
  <c r="AR166" i="8" s="1"/>
  <c r="I166" i="8"/>
  <c r="I164" i="8"/>
  <c r="E164" i="8"/>
  <c r="J164" i="8" s="1"/>
  <c r="U164" i="8" s="1"/>
  <c r="AR164" i="8" s="1"/>
  <c r="E163" i="8"/>
  <c r="J163" i="8" s="1"/>
  <c r="U163" i="8" s="1"/>
  <c r="AR163" i="8" s="1"/>
  <c r="I163" i="8"/>
  <c r="I162" i="8"/>
  <c r="E162" i="8"/>
  <c r="J162" i="8" s="1"/>
  <c r="U162" i="8" s="1"/>
  <c r="AR162" i="8" s="1"/>
  <c r="E161" i="8"/>
  <c r="J161" i="8" s="1"/>
  <c r="U161" i="8" s="1"/>
  <c r="AR161" i="8" s="1"/>
  <c r="I161" i="8"/>
  <c r="E160" i="8"/>
  <c r="J160" i="8" s="1"/>
  <c r="U160" i="8" s="1"/>
  <c r="AR160" i="8" s="1"/>
  <c r="I160" i="8"/>
  <c r="I159" i="8"/>
  <c r="E159" i="8"/>
  <c r="J159" i="8" s="1"/>
  <c r="U159" i="8" s="1"/>
  <c r="AR159" i="8" s="1"/>
  <c r="I158" i="8"/>
  <c r="E158" i="8"/>
  <c r="J158" i="8" s="1"/>
  <c r="U158" i="8" s="1"/>
  <c r="AR158" i="8" s="1"/>
  <c r="E157" i="8"/>
  <c r="J157" i="8" s="1"/>
  <c r="U157" i="8" s="1"/>
  <c r="AR157" i="8" s="1"/>
  <c r="I157" i="8"/>
  <c r="E156" i="8"/>
  <c r="J156" i="8" s="1"/>
  <c r="U156" i="8" s="1"/>
  <c r="AR156" i="8" s="1"/>
  <c r="I156" i="8"/>
  <c r="E155" i="8"/>
  <c r="J155" i="8" s="1"/>
  <c r="U155" i="8" s="1"/>
  <c r="AR155" i="8" s="1"/>
  <c r="I155" i="8"/>
  <c r="E154" i="8"/>
  <c r="J154" i="8" s="1"/>
  <c r="U154" i="8" s="1"/>
  <c r="AR154" i="8" s="1"/>
  <c r="I154" i="8"/>
  <c r="E153" i="8"/>
  <c r="J153" i="8" s="1"/>
  <c r="U153" i="8" s="1"/>
  <c r="AR153" i="8" s="1"/>
  <c r="I153" i="8"/>
  <c r="I152" i="8"/>
  <c r="E152" i="8"/>
  <c r="J152" i="8" s="1"/>
  <c r="U152" i="8" s="1"/>
  <c r="AR152" i="8" s="1"/>
  <c r="I150" i="8"/>
  <c r="E150" i="8"/>
  <c r="J150" i="8" s="1"/>
  <c r="U150" i="8" s="1"/>
  <c r="AR150" i="8" s="1"/>
  <c r="E149" i="8"/>
  <c r="J149" i="8" s="1"/>
  <c r="U149" i="8" s="1"/>
  <c r="AR149" i="8" s="1"/>
  <c r="I149" i="8"/>
  <c r="E148" i="8"/>
  <c r="J148" i="8" s="1"/>
  <c r="U148" i="8" s="1"/>
  <c r="AR148" i="8" s="1"/>
  <c r="I148" i="8"/>
  <c r="I147" i="8"/>
  <c r="E147" i="8"/>
  <c r="J147" i="8" s="1"/>
  <c r="U147" i="8" s="1"/>
  <c r="AR147" i="8" s="1"/>
  <c r="I146" i="8"/>
  <c r="E146" i="8"/>
  <c r="J146" i="8" s="1"/>
  <c r="U146" i="8" s="1"/>
  <c r="AR146" i="8" s="1"/>
  <c r="E145" i="8"/>
  <c r="J145" i="8" s="1"/>
  <c r="U145" i="8" s="1"/>
  <c r="AR145" i="8" s="1"/>
  <c r="I145" i="8"/>
  <c r="E144" i="8"/>
  <c r="J144" i="8" s="1"/>
  <c r="U144" i="8" s="1"/>
  <c r="AR144" i="8" s="1"/>
  <c r="I144" i="8"/>
  <c r="I143" i="8"/>
  <c r="E143" i="8"/>
  <c r="J143" i="8" s="1"/>
  <c r="U143" i="8" s="1"/>
  <c r="AR143" i="8" s="1"/>
  <c r="I142" i="8"/>
  <c r="E142" i="8"/>
  <c r="J142" i="8" s="1"/>
  <c r="U142" i="8" s="1"/>
  <c r="AR142" i="8" s="1"/>
  <c r="I141" i="8"/>
  <c r="E141" i="8"/>
  <c r="J141" i="8" s="1"/>
  <c r="U141" i="8" s="1"/>
  <c r="AR141" i="8" s="1"/>
  <c r="I140" i="8"/>
  <c r="E140" i="8"/>
  <c r="J140" i="8" s="1"/>
  <c r="U140" i="8" s="1"/>
  <c r="AR140" i="8" s="1"/>
  <c r="I139" i="8"/>
  <c r="E139" i="8"/>
  <c r="J139" i="8" s="1"/>
  <c r="U139" i="8" s="1"/>
  <c r="AR139" i="8" s="1"/>
  <c r="E138" i="8"/>
  <c r="J138" i="8" s="1"/>
  <c r="U138" i="8" s="1"/>
  <c r="AR138" i="8" s="1"/>
  <c r="I138" i="8"/>
  <c r="I137" i="8"/>
  <c r="E137" i="8"/>
  <c r="J137" i="8" s="1"/>
  <c r="U137" i="8" s="1"/>
  <c r="AR137" i="8" s="1"/>
  <c r="I136" i="8"/>
  <c r="E136" i="8"/>
  <c r="J136" i="8" s="1"/>
  <c r="U136" i="8" s="1"/>
  <c r="AR136" i="8" s="1"/>
  <c r="I135" i="8"/>
  <c r="E135" i="8"/>
  <c r="J135" i="8" s="1"/>
  <c r="U135" i="8" s="1"/>
  <c r="AR135" i="8" s="1"/>
  <c r="E134" i="8"/>
  <c r="J134" i="8" s="1"/>
  <c r="U134" i="8" s="1"/>
  <c r="AR134" i="8" s="1"/>
  <c r="I134" i="8"/>
  <c r="E133" i="8"/>
  <c r="J133" i="8" s="1"/>
  <c r="U133" i="8" s="1"/>
  <c r="AR133" i="8" s="1"/>
  <c r="I133" i="8"/>
  <c r="E132" i="8"/>
  <c r="J132" i="8" s="1"/>
  <c r="U132" i="8" s="1"/>
  <c r="AR132" i="8" s="1"/>
  <c r="I132" i="8"/>
  <c r="I131" i="8"/>
  <c r="E131" i="8"/>
  <c r="J131" i="8" s="1"/>
  <c r="U131" i="8" s="1"/>
  <c r="AR131" i="8" s="1"/>
  <c r="I130" i="8"/>
  <c r="E130" i="8"/>
  <c r="J130" i="8" s="1"/>
  <c r="U130" i="8" s="1"/>
  <c r="AR130" i="8" s="1"/>
  <c r="E129" i="8"/>
  <c r="J129" i="8" s="1"/>
  <c r="U129" i="8" s="1"/>
  <c r="AR129" i="8" s="1"/>
  <c r="I129" i="8"/>
  <c r="E128" i="8"/>
  <c r="J128" i="8" s="1"/>
  <c r="U128" i="8" s="1"/>
  <c r="AR128" i="8" s="1"/>
  <c r="I128" i="8"/>
  <c r="I127" i="8"/>
  <c r="E127" i="8"/>
  <c r="J127" i="8" s="1"/>
  <c r="U127" i="8" s="1"/>
  <c r="AR127" i="8" s="1"/>
  <c r="E126" i="8"/>
  <c r="J126" i="8" s="1"/>
  <c r="U126" i="8" s="1"/>
  <c r="AR126" i="8" s="1"/>
  <c r="I126" i="8"/>
  <c r="E125" i="8"/>
  <c r="J125" i="8" s="1"/>
  <c r="U125" i="8" s="1"/>
  <c r="AR125" i="8" s="1"/>
  <c r="I125" i="8"/>
  <c r="E124" i="8"/>
  <c r="J124" i="8" s="1"/>
  <c r="U124" i="8" s="1"/>
  <c r="AR124" i="8" s="1"/>
  <c r="I124" i="8"/>
  <c r="E123" i="8"/>
  <c r="J123" i="8" s="1"/>
  <c r="U123" i="8" s="1"/>
  <c r="AR123" i="8" s="1"/>
  <c r="I123" i="8"/>
  <c r="E122" i="8"/>
  <c r="J122" i="8" s="1"/>
  <c r="U122" i="8" s="1"/>
  <c r="AR122" i="8" s="1"/>
  <c r="I122" i="8"/>
  <c r="I121" i="8"/>
  <c r="E121" i="8"/>
  <c r="J121" i="8" s="1"/>
  <c r="U121" i="8" s="1"/>
  <c r="AR121" i="8" s="1"/>
  <c r="I120" i="8"/>
  <c r="E120" i="8"/>
  <c r="J120" i="8" s="1"/>
  <c r="U120" i="8" s="1"/>
  <c r="AR120" i="8" s="1"/>
  <c r="E119" i="8"/>
  <c r="J119" i="8" s="1"/>
  <c r="U119" i="8" s="1"/>
  <c r="AR119" i="8" s="1"/>
  <c r="I119" i="8"/>
  <c r="E118" i="8"/>
  <c r="J118" i="8" s="1"/>
  <c r="U118" i="8" s="1"/>
  <c r="AR118" i="8" s="1"/>
  <c r="I118" i="8"/>
  <c r="I117" i="8"/>
  <c r="E117" i="8"/>
  <c r="J117" i="8" s="1"/>
  <c r="U117" i="8" s="1"/>
  <c r="AR117" i="8" s="1"/>
  <c r="I116" i="8"/>
  <c r="E116" i="8"/>
  <c r="J116" i="8" s="1"/>
  <c r="U116" i="8" s="1"/>
  <c r="AR116" i="8" s="1"/>
  <c r="I115" i="8"/>
  <c r="E115" i="8"/>
  <c r="J115" i="8" s="1"/>
  <c r="U115" i="8" s="1"/>
  <c r="AR115" i="8" s="1"/>
  <c r="I114" i="8"/>
  <c r="E114" i="8"/>
  <c r="J114" i="8" s="1"/>
  <c r="U114" i="8" s="1"/>
  <c r="AR114" i="8" s="1"/>
  <c r="I113" i="8"/>
  <c r="E113" i="8"/>
  <c r="J113" i="8" s="1"/>
  <c r="U113" i="8" s="1"/>
  <c r="AR113" i="8" s="1"/>
  <c r="E112" i="8"/>
  <c r="J112" i="8" s="1"/>
  <c r="U112" i="8" s="1"/>
  <c r="AR112" i="8" s="1"/>
  <c r="I112" i="8"/>
  <c r="I111" i="8"/>
  <c r="E111" i="8"/>
  <c r="J111" i="8" s="1"/>
  <c r="U111" i="8" s="1"/>
  <c r="AR111" i="8" s="1"/>
  <c r="I110" i="8"/>
  <c r="E110" i="8"/>
  <c r="J110" i="8" s="1"/>
  <c r="U110" i="8" s="1"/>
  <c r="AR110" i="8" s="1"/>
  <c r="E109" i="8"/>
  <c r="J109" i="8" s="1"/>
  <c r="U109" i="8" s="1"/>
  <c r="AR109" i="8" s="1"/>
  <c r="I109" i="8"/>
  <c r="I108" i="8"/>
  <c r="E108" i="8"/>
  <c r="J108" i="8" s="1"/>
  <c r="U108" i="8" s="1"/>
  <c r="AR108" i="8" s="1"/>
  <c r="E107" i="8"/>
  <c r="J107" i="8" s="1"/>
  <c r="U107" i="8" s="1"/>
  <c r="AR107" i="8" s="1"/>
  <c r="I107" i="8"/>
  <c r="E106" i="8"/>
  <c r="J106" i="8" s="1"/>
  <c r="U106" i="8" s="1"/>
  <c r="AR106" i="8" s="1"/>
  <c r="I106" i="8"/>
  <c r="E104" i="8"/>
  <c r="J104" i="8" s="1"/>
  <c r="U104" i="8" s="1"/>
  <c r="AR104" i="8" s="1"/>
  <c r="I104" i="8"/>
  <c r="I103" i="8"/>
  <c r="E103" i="8"/>
  <c r="J103" i="8" s="1"/>
  <c r="U103" i="8" s="1"/>
  <c r="AR103" i="8" s="1"/>
  <c r="E102" i="8"/>
  <c r="J102" i="8" s="1"/>
  <c r="U102" i="8" s="1"/>
  <c r="AR102" i="8" s="1"/>
  <c r="I102" i="8"/>
  <c r="E101" i="8"/>
  <c r="J101" i="8" s="1"/>
  <c r="U101" i="8" s="1"/>
  <c r="AR101" i="8" s="1"/>
  <c r="I101" i="8"/>
  <c r="E100" i="8"/>
  <c r="J100" i="8" s="1"/>
  <c r="U100" i="8" s="1"/>
  <c r="AR100" i="8" s="1"/>
  <c r="I100" i="8"/>
  <c r="E99" i="8"/>
  <c r="J99" i="8" s="1"/>
  <c r="U99" i="8" s="1"/>
  <c r="AR99" i="8" s="1"/>
  <c r="I99" i="8"/>
  <c r="E98" i="8"/>
  <c r="J98" i="8" s="1"/>
  <c r="U98" i="8" s="1"/>
  <c r="AR98" i="8" s="1"/>
  <c r="I98" i="8"/>
  <c r="I97" i="8"/>
  <c r="E97" i="8"/>
  <c r="J97" i="8" s="1"/>
  <c r="U97" i="8" s="1"/>
  <c r="AR97" i="8" s="1"/>
  <c r="I96" i="8"/>
  <c r="E96" i="8"/>
  <c r="J96" i="8" s="1"/>
  <c r="U96" i="8" s="1"/>
  <c r="AR96" i="8" s="1"/>
  <c r="E95" i="8"/>
  <c r="J95" i="8" s="1"/>
  <c r="U95" i="8" s="1"/>
  <c r="AR95" i="8" s="1"/>
  <c r="I95" i="8"/>
  <c r="E94" i="8"/>
  <c r="J94" i="8" s="1"/>
  <c r="U94" i="8" s="1"/>
  <c r="AR94" i="8" s="1"/>
  <c r="I94" i="8"/>
  <c r="I93" i="8"/>
  <c r="E93" i="8"/>
  <c r="J93" i="8" s="1"/>
  <c r="U93" i="8" s="1"/>
  <c r="AR93" i="8" s="1"/>
  <c r="I92" i="8"/>
  <c r="E92" i="8"/>
  <c r="J92" i="8" s="1"/>
  <c r="U92" i="8" s="1"/>
  <c r="AR92" i="8" s="1"/>
  <c r="I91" i="8"/>
  <c r="E91" i="8"/>
  <c r="J91" i="8" s="1"/>
  <c r="U91" i="8" s="1"/>
  <c r="AR91" i="8" s="1"/>
  <c r="I90" i="8"/>
  <c r="E90" i="8"/>
  <c r="J90" i="8" s="1"/>
  <c r="U90" i="8" s="1"/>
  <c r="AR90" i="8" s="1"/>
  <c r="I89" i="8"/>
  <c r="E89" i="8"/>
  <c r="J89" i="8" s="1"/>
  <c r="U89" i="8" s="1"/>
  <c r="AR89" i="8" s="1"/>
  <c r="I88" i="8"/>
  <c r="E88" i="8"/>
  <c r="J88" i="8" s="1"/>
  <c r="U88" i="8" s="1"/>
  <c r="AR88" i="8" s="1"/>
  <c r="E87" i="8"/>
  <c r="J87" i="8" s="1"/>
  <c r="U87" i="8" s="1"/>
  <c r="AR87" i="8" s="1"/>
  <c r="I87" i="8"/>
  <c r="E86" i="8"/>
  <c r="J86" i="8" s="1"/>
  <c r="U86" i="8" s="1"/>
  <c r="AR86" i="8" s="1"/>
  <c r="I86" i="8"/>
  <c r="I85" i="8"/>
  <c r="E85" i="8"/>
  <c r="J85" i="8" s="1"/>
  <c r="U85" i="8" s="1"/>
  <c r="AR85" i="8" s="1"/>
  <c r="E84" i="8"/>
  <c r="J84" i="8" s="1"/>
  <c r="U84" i="8" s="1"/>
  <c r="AR84" i="8" s="1"/>
  <c r="I84" i="8"/>
  <c r="I83" i="8"/>
  <c r="E83" i="8"/>
  <c r="J83" i="8" s="1"/>
  <c r="U83" i="8" s="1"/>
  <c r="AR83" i="8" s="1"/>
  <c r="I82" i="8"/>
  <c r="E82" i="8"/>
  <c r="J82" i="8" s="1"/>
  <c r="U82" i="8" s="1"/>
  <c r="AR82" i="8" s="1"/>
  <c r="E81" i="8"/>
  <c r="J81" i="8" s="1"/>
  <c r="U81" i="8" s="1"/>
  <c r="AR81" i="8" s="1"/>
  <c r="I81" i="8"/>
  <c r="E80" i="8"/>
  <c r="J80" i="8" s="1"/>
  <c r="U80" i="8" s="1"/>
  <c r="AR80" i="8" s="1"/>
  <c r="I80" i="8"/>
  <c r="E79" i="8"/>
  <c r="J79" i="8" s="1"/>
  <c r="U79" i="8" s="1"/>
  <c r="AR79" i="8" s="1"/>
  <c r="I79" i="8"/>
  <c r="E78" i="8"/>
  <c r="J78" i="8" s="1"/>
  <c r="U78" i="8" s="1"/>
  <c r="AR78" i="8" s="1"/>
  <c r="I78" i="8"/>
  <c r="I77" i="8"/>
  <c r="E77" i="8"/>
  <c r="J77" i="8" s="1"/>
  <c r="U77" i="8" s="1"/>
  <c r="AR77" i="8" s="1"/>
  <c r="I76" i="8"/>
  <c r="E76" i="8"/>
  <c r="J76" i="8" s="1"/>
  <c r="U76" i="8" s="1"/>
  <c r="AR76" i="8" s="1"/>
  <c r="I74" i="8"/>
  <c r="E74" i="8"/>
  <c r="J74" i="8" s="1"/>
  <c r="U74" i="8" s="1"/>
  <c r="AR74" i="8" s="1"/>
  <c r="E73" i="8"/>
  <c r="J73" i="8" s="1"/>
  <c r="U73" i="8" s="1"/>
  <c r="AR73" i="8" s="1"/>
  <c r="I73" i="8"/>
  <c r="E72" i="8"/>
  <c r="J72" i="8" s="1"/>
  <c r="U72" i="8" s="1"/>
  <c r="AR72" i="8" s="1"/>
  <c r="I72" i="8"/>
  <c r="I71" i="8"/>
  <c r="E71" i="8"/>
  <c r="J71" i="8" s="1"/>
  <c r="U71" i="8" s="1"/>
  <c r="AR71" i="8" s="1"/>
  <c r="E70" i="8"/>
  <c r="J70" i="8" s="1"/>
  <c r="U70" i="8" s="1"/>
  <c r="AR70" i="8" s="1"/>
  <c r="I70" i="8"/>
  <c r="I69" i="8"/>
  <c r="E69" i="8"/>
  <c r="J69" i="8" s="1"/>
  <c r="U69" i="8" s="1"/>
  <c r="AR69" i="8" s="1"/>
  <c r="I68" i="8"/>
  <c r="E68" i="8"/>
  <c r="J68" i="8" s="1"/>
  <c r="U68" i="8" s="1"/>
  <c r="AR68" i="8" s="1"/>
  <c r="I67" i="8"/>
  <c r="E67" i="8"/>
  <c r="J67" i="8" s="1"/>
  <c r="U67" i="8" s="1"/>
  <c r="AR67" i="8" s="1"/>
  <c r="E66" i="8"/>
  <c r="J66" i="8" s="1"/>
  <c r="U66" i="8" s="1"/>
  <c r="AR66" i="8" s="1"/>
  <c r="I66" i="8"/>
  <c r="I65" i="8"/>
  <c r="E65" i="8"/>
  <c r="J65" i="8" s="1"/>
  <c r="U65" i="8" s="1"/>
  <c r="AR65" i="8" s="1"/>
  <c r="I64" i="8"/>
  <c r="E64" i="8"/>
  <c r="J64" i="8" s="1"/>
  <c r="U64" i="8" s="1"/>
  <c r="AR64" i="8" s="1"/>
  <c r="I63" i="8"/>
  <c r="E63" i="8"/>
  <c r="J63" i="8" s="1"/>
  <c r="U63" i="8" s="1"/>
  <c r="AR63" i="8" s="1"/>
  <c r="E62" i="8"/>
  <c r="J62" i="8" s="1"/>
  <c r="U62" i="8" s="1"/>
  <c r="AR62" i="8" s="1"/>
  <c r="I62" i="8"/>
  <c r="E61" i="8"/>
  <c r="J61" i="8" s="1"/>
  <c r="U61" i="8" s="1"/>
  <c r="AR61" i="8" s="1"/>
  <c r="I61" i="8"/>
  <c r="E60" i="8"/>
  <c r="J60" i="8" s="1"/>
  <c r="U60" i="8" s="1"/>
  <c r="AR60" i="8" s="1"/>
  <c r="I60" i="8"/>
  <c r="I59" i="8"/>
  <c r="E59" i="8"/>
  <c r="J59" i="8" s="1"/>
  <c r="U59" i="8" s="1"/>
  <c r="AR59" i="8" s="1"/>
  <c r="I58" i="8"/>
  <c r="E58" i="8"/>
  <c r="J58" i="8" s="1"/>
  <c r="U58" i="8" s="1"/>
  <c r="AR58" i="8" s="1"/>
  <c r="I57" i="8"/>
  <c r="E57" i="8"/>
  <c r="J57" i="8" s="1"/>
  <c r="U57" i="8" s="1"/>
  <c r="AR57" i="8" s="1"/>
  <c r="I56" i="8"/>
  <c r="E56" i="8"/>
  <c r="J56" i="8" s="1"/>
  <c r="U56" i="8" s="1"/>
  <c r="AR56" i="8" s="1"/>
  <c r="E55" i="8"/>
  <c r="J55" i="8" s="1"/>
  <c r="U55" i="8" s="1"/>
  <c r="AR55" i="8" s="1"/>
  <c r="I55" i="8"/>
  <c r="I54" i="8"/>
  <c r="E54" i="8"/>
  <c r="J54" i="8" s="1"/>
  <c r="U54" i="8" s="1"/>
  <c r="AR54" i="8" s="1"/>
  <c r="E53" i="8"/>
  <c r="J53" i="8" s="1"/>
  <c r="U53" i="8" s="1"/>
  <c r="AR53" i="8" s="1"/>
  <c r="I53" i="8"/>
  <c r="E52" i="8"/>
  <c r="J52" i="8" s="1"/>
  <c r="U52" i="8" s="1"/>
  <c r="AR52" i="8" s="1"/>
  <c r="I52" i="8"/>
  <c r="I51" i="8"/>
  <c r="E51" i="8"/>
  <c r="J51" i="8" s="1"/>
  <c r="U51" i="8" s="1"/>
  <c r="AR51" i="8" s="1"/>
  <c r="E50" i="8"/>
  <c r="J50" i="8" s="1"/>
  <c r="U50" i="8" s="1"/>
  <c r="AR50" i="8" s="1"/>
  <c r="I50" i="8"/>
  <c r="E49" i="8"/>
  <c r="J49" i="8" s="1"/>
  <c r="U49" i="8" s="1"/>
  <c r="AR49" i="8" s="1"/>
  <c r="I49" i="8"/>
  <c r="I48" i="8"/>
  <c r="E48" i="8"/>
  <c r="J48" i="8" s="1"/>
  <c r="U48" i="8" s="1"/>
  <c r="AR48" i="8" s="1"/>
  <c r="I47" i="8"/>
  <c r="E47" i="8"/>
  <c r="J47" i="8" s="1"/>
  <c r="U47" i="8" s="1"/>
  <c r="AR47" i="8" s="1"/>
  <c r="I46" i="8"/>
  <c r="E46" i="8"/>
  <c r="J46" i="8" s="1"/>
  <c r="U46" i="8" s="1"/>
  <c r="AR46" i="8" s="1"/>
  <c r="E45" i="8"/>
  <c r="J45" i="8" s="1"/>
  <c r="U45" i="8" s="1"/>
  <c r="AR45" i="8" s="1"/>
  <c r="I45" i="8"/>
  <c r="I44" i="8"/>
  <c r="E44" i="8"/>
  <c r="J44" i="8" s="1"/>
  <c r="U44" i="8" s="1"/>
  <c r="AR44" i="8" s="1"/>
  <c r="I43" i="8"/>
  <c r="E43" i="8"/>
  <c r="J43" i="8" s="1"/>
  <c r="U43" i="8" s="1"/>
  <c r="AR43" i="8" s="1"/>
  <c r="E42" i="8"/>
  <c r="J42" i="8" s="1"/>
  <c r="U42" i="8" s="1"/>
  <c r="AR42" i="8" s="1"/>
  <c r="I42" i="8"/>
  <c r="I41" i="8"/>
  <c r="E41" i="8"/>
  <c r="J41" i="8" s="1"/>
  <c r="U41" i="8" s="1"/>
  <c r="AR41" i="8" s="1"/>
  <c r="E40" i="8"/>
  <c r="J40" i="8" s="1"/>
  <c r="U40" i="8" s="1"/>
  <c r="AR40" i="8" s="1"/>
  <c r="I40" i="8"/>
  <c r="I39" i="8"/>
  <c r="E39" i="8"/>
  <c r="J39" i="8" s="1"/>
  <c r="U39" i="8" s="1"/>
  <c r="AR39" i="8" s="1"/>
  <c r="I38" i="8"/>
  <c r="E38" i="8"/>
  <c r="J38" i="8" s="1"/>
  <c r="U38" i="8" s="1"/>
  <c r="AR38" i="8" s="1"/>
  <c r="E37" i="8"/>
  <c r="J37" i="8" s="1"/>
  <c r="U37" i="8" s="1"/>
  <c r="AR37" i="8" s="1"/>
  <c r="I37" i="8"/>
  <c r="I36" i="8"/>
  <c r="E36" i="8"/>
  <c r="J36" i="8" s="1"/>
  <c r="U36" i="8" s="1"/>
  <c r="AR36" i="8" s="1"/>
  <c r="E35" i="8"/>
  <c r="J35" i="8" s="1"/>
  <c r="U35" i="8" s="1"/>
  <c r="AR35" i="8" s="1"/>
  <c r="I35" i="8"/>
  <c r="I34" i="8"/>
  <c r="E34" i="8"/>
  <c r="J34" i="8" s="1"/>
  <c r="U34" i="8" s="1"/>
  <c r="AR34" i="8" s="1"/>
  <c r="E33" i="8"/>
  <c r="J33" i="8" s="1"/>
  <c r="U33" i="8" s="1"/>
  <c r="AR33" i="8" s="1"/>
  <c r="I33" i="8"/>
  <c r="E32" i="8"/>
  <c r="J32" i="8" s="1"/>
  <c r="U32" i="8" s="1"/>
  <c r="AR32" i="8" s="1"/>
  <c r="I32" i="8"/>
  <c r="E31" i="8"/>
  <c r="J31" i="8" s="1"/>
  <c r="U31" i="8" s="1"/>
  <c r="AR31" i="8" s="1"/>
  <c r="I31" i="8"/>
  <c r="I30" i="8"/>
  <c r="E30" i="8"/>
  <c r="J30" i="8" s="1"/>
  <c r="U30" i="8" s="1"/>
  <c r="AR30" i="8" s="1"/>
  <c r="E29" i="8"/>
  <c r="J29" i="8" s="1"/>
  <c r="U29" i="8" s="1"/>
  <c r="AR29" i="8" s="1"/>
  <c r="I29" i="8"/>
  <c r="I28" i="8"/>
  <c r="E28" i="8"/>
  <c r="J28" i="8" s="1"/>
  <c r="U28" i="8" s="1"/>
  <c r="AR28" i="8" s="1"/>
  <c r="I27" i="8"/>
  <c r="E27" i="8"/>
  <c r="J27" i="8" s="1"/>
  <c r="U27" i="8" s="1"/>
  <c r="AR27" i="8" s="1"/>
  <c r="E26" i="8"/>
  <c r="J26" i="8" s="1"/>
  <c r="U26" i="8" s="1"/>
  <c r="AR26" i="8" s="1"/>
  <c r="I26" i="8"/>
  <c r="I25" i="8"/>
  <c r="E25" i="8"/>
  <c r="J25" i="8" s="1"/>
  <c r="U25" i="8" s="1"/>
  <c r="AR25" i="8" s="1"/>
  <c r="E24" i="8"/>
  <c r="J24" i="8" s="1"/>
  <c r="U24" i="8" s="1"/>
  <c r="AR24" i="8" s="1"/>
  <c r="I24" i="8"/>
  <c r="I23" i="8"/>
  <c r="E23" i="8"/>
  <c r="J23" i="8" s="1"/>
  <c r="U23" i="8" s="1"/>
  <c r="AR23" i="8" s="1"/>
  <c r="E22" i="8"/>
  <c r="J22" i="8" s="1"/>
  <c r="U22" i="8" s="1"/>
  <c r="AR22" i="8" s="1"/>
  <c r="I22" i="8"/>
  <c r="E21" i="8"/>
  <c r="J21" i="8" s="1"/>
  <c r="U21" i="8" s="1"/>
  <c r="AR21" i="8" s="1"/>
  <c r="I21" i="8"/>
  <c r="I20" i="8"/>
  <c r="E20" i="8"/>
  <c r="J20" i="8" s="1"/>
  <c r="U20" i="8" s="1"/>
  <c r="AR20" i="8" s="1"/>
  <c r="E19" i="8"/>
  <c r="J19" i="8" s="1"/>
  <c r="U19" i="8" s="1"/>
  <c r="AR19" i="8" s="1"/>
  <c r="I19" i="8"/>
  <c r="E18" i="8"/>
  <c r="J18" i="8" s="1"/>
  <c r="U18" i="8" s="1"/>
  <c r="AR18" i="8" s="1"/>
  <c r="I18" i="8"/>
  <c r="I17" i="8"/>
  <c r="E17" i="8"/>
  <c r="J17" i="8" s="1"/>
  <c r="U17" i="8" s="1"/>
  <c r="AR17" i="8" s="1"/>
  <c r="E16" i="8"/>
  <c r="J16" i="8" s="1"/>
  <c r="U16" i="8" s="1"/>
  <c r="AR16" i="8" s="1"/>
  <c r="I16" i="8"/>
  <c r="I15" i="8"/>
  <c r="E15" i="8"/>
  <c r="J15" i="8" s="1"/>
  <c r="U15" i="8" s="1"/>
  <c r="AR15" i="8" s="1"/>
  <c r="E14" i="8"/>
  <c r="J14" i="8" s="1"/>
  <c r="U14" i="8" s="1"/>
  <c r="AR14" i="8" s="1"/>
  <c r="I14" i="8"/>
  <c r="E13" i="8"/>
  <c r="J13" i="8" s="1"/>
  <c r="U13" i="8" s="1"/>
  <c r="AR13" i="8" s="1"/>
  <c r="I13" i="8"/>
  <c r="E12" i="8"/>
  <c r="J12" i="8" s="1"/>
  <c r="U12" i="8" s="1"/>
  <c r="AR12" i="8" s="1"/>
  <c r="I12" i="8"/>
  <c r="I11" i="8"/>
  <c r="E11" i="8"/>
  <c r="J11" i="8" s="1"/>
  <c r="U11" i="8" s="1"/>
  <c r="AR11" i="8" s="1"/>
  <c r="I10" i="8"/>
  <c r="E10" i="8"/>
  <c r="J10" i="8" s="1"/>
  <c r="U10" i="8" s="1"/>
  <c r="AR10" i="8" s="1"/>
  <c r="E9" i="8"/>
  <c r="J9" i="8" s="1"/>
  <c r="U9" i="8" s="1"/>
  <c r="AR9" i="8" s="1"/>
  <c r="I9" i="8"/>
  <c r="E8" i="8"/>
  <c r="J8" i="8" s="1"/>
  <c r="U8" i="8" s="1"/>
  <c r="AR8" i="8" s="1"/>
  <c r="I8" i="8"/>
  <c r="AO181" i="8"/>
  <c r="I252" i="8"/>
  <c r="E252" i="8"/>
  <c r="J252" i="8" s="1"/>
  <c r="D6" i="9"/>
  <c r="E6" i="9" s="1"/>
  <c r="I4" i="1" s="1"/>
  <c r="N26" i="9"/>
  <c r="N78" i="9" s="1"/>
  <c r="E2" i="8" s="1"/>
  <c r="C7" i="1" s="1"/>
  <c r="N44" i="4"/>
  <c r="D4" i="4"/>
  <c r="N5" i="4"/>
  <c r="N118" i="4"/>
  <c r="N55" i="4"/>
  <c r="I320" i="3"/>
  <c r="J320" i="3" s="1"/>
  <c r="E320" i="3"/>
  <c r="U320" i="3" s="1"/>
  <c r="AS320" i="3" s="1"/>
  <c r="I251" i="8"/>
  <c r="E251" i="8"/>
  <c r="J251" i="8" s="1"/>
  <c r="E319" i="3"/>
  <c r="U319" i="3" s="1"/>
  <c r="AS319" i="3" s="1"/>
  <c r="I319" i="3"/>
  <c r="J319" i="3" s="1"/>
  <c r="I318" i="3"/>
  <c r="J318" i="3" s="1"/>
  <c r="E318" i="3"/>
  <c r="U318" i="3" s="1"/>
  <c r="AS318" i="3" s="1"/>
  <c r="M314" i="2"/>
  <c r="L1" i="2"/>
  <c r="C6" i="4" s="1"/>
  <c r="M310" i="2"/>
  <c r="C314" i="3"/>
  <c r="M309" i="2"/>
  <c r="C313" i="3"/>
  <c r="E290" i="3"/>
  <c r="U290" i="3" s="1"/>
  <c r="AS290" i="3" s="1"/>
  <c r="I290" i="3"/>
  <c r="J290" i="3" s="1"/>
  <c r="E283" i="3"/>
  <c r="U283" i="3" s="1"/>
  <c r="AS283" i="3" s="1"/>
  <c r="I283" i="3"/>
  <c r="J283" i="3" s="1"/>
  <c r="I264" i="3"/>
  <c r="J264" i="3" s="1"/>
  <c r="E264" i="3"/>
  <c r="U264" i="3" s="1"/>
  <c r="AS264" i="3" s="1"/>
  <c r="I245" i="3"/>
  <c r="J245" i="3" s="1"/>
  <c r="E245" i="3"/>
  <c r="U245" i="3" s="1"/>
  <c r="AS245" i="3" s="1"/>
  <c r="I226" i="3"/>
  <c r="J226" i="3" s="1"/>
  <c r="E226" i="3"/>
  <c r="U226" i="3" s="1"/>
  <c r="AS226" i="3" s="1"/>
  <c r="I218" i="3"/>
  <c r="J218" i="3" s="1"/>
  <c r="E218" i="3"/>
  <c r="U218" i="3" s="1"/>
  <c r="AS218" i="3" s="1"/>
  <c r="I213" i="3"/>
  <c r="J213" i="3" s="1"/>
  <c r="E213" i="3"/>
  <c r="U213" i="3" s="1"/>
  <c r="AS213" i="3" s="1"/>
  <c r="I209" i="3"/>
  <c r="J209" i="3" s="1"/>
  <c r="E209" i="3"/>
  <c r="U209" i="3" s="1"/>
  <c r="AS209" i="3" s="1"/>
  <c r="I204" i="3"/>
  <c r="J204" i="3" s="1"/>
  <c r="E204" i="3"/>
  <c r="U204" i="3" s="1"/>
  <c r="AS204" i="3" s="1"/>
  <c r="I194" i="3"/>
  <c r="J194" i="3" s="1"/>
  <c r="E194" i="3"/>
  <c r="U194" i="3" s="1"/>
  <c r="AS194" i="3" s="1"/>
  <c r="I193" i="3"/>
  <c r="J193" i="3" s="1"/>
  <c r="E193" i="3"/>
  <c r="U193" i="3" s="1"/>
  <c r="AS193" i="3" s="1"/>
  <c r="I189" i="3"/>
  <c r="J189" i="3" s="1"/>
  <c r="E189" i="3"/>
  <c r="U189" i="3" s="1"/>
  <c r="AS189" i="3" s="1"/>
  <c r="I186" i="3"/>
  <c r="J186" i="3" s="1"/>
  <c r="E186" i="3"/>
  <c r="U186" i="3" s="1"/>
  <c r="AS186" i="3" s="1"/>
  <c r="I185" i="3"/>
  <c r="J185" i="3" s="1"/>
  <c r="E185" i="3"/>
  <c r="U185" i="3" s="1"/>
  <c r="AS185" i="3" s="1"/>
  <c r="I175" i="3"/>
  <c r="J175" i="3" s="1"/>
  <c r="E175" i="3"/>
  <c r="U175" i="3" s="1"/>
  <c r="AS175" i="3" s="1"/>
  <c r="I170" i="3"/>
  <c r="J170" i="3" s="1"/>
  <c r="E170" i="3"/>
  <c r="U170" i="3" s="1"/>
  <c r="AS170" i="3" s="1"/>
  <c r="I166" i="3"/>
  <c r="J166" i="3" s="1"/>
  <c r="E166" i="3"/>
  <c r="U166" i="3" s="1"/>
  <c r="AS166" i="3" s="1"/>
  <c r="I164" i="3"/>
  <c r="J164" i="3" s="1"/>
  <c r="E164" i="3"/>
  <c r="U164" i="3" s="1"/>
  <c r="AS164" i="3" s="1"/>
  <c r="I158" i="3"/>
  <c r="J158" i="3" s="1"/>
  <c r="E158" i="3"/>
  <c r="U158" i="3" s="1"/>
  <c r="AS158" i="3" s="1"/>
  <c r="I154" i="3"/>
  <c r="J154" i="3" s="1"/>
  <c r="E154" i="3"/>
  <c r="U154" i="3" s="1"/>
  <c r="AS154" i="3" s="1"/>
  <c r="I151" i="3"/>
  <c r="J151" i="3" s="1"/>
  <c r="E151" i="3"/>
  <c r="U151" i="3" s="1"/>
  <c r="AS151" i="3" s="1"/>
  <c r="I146" i="3"/>
  <c r="J146" i="3" s="1"/>
  <c r="E146" i="3"/>
  <c r="U146" i="3" s="1"/>
  <c r="AS146" i="3" s="1"/>
  <c r="I142" i="3"/>
  <c r="J142" i="3" s="1"/>
  <c r="E142" i="3"/>
  <c r="U142" i="3" s="1"/>
  <c r="AS142" i="3" s="1"/>
  <c r="E139" i="3"/>
  <c r="U139" i="3" s="1"/>
  <c r="AS139" i="3" s="1"/>
  <c r="I139" i="3"/>
  <c r="J139" i="3" s="1"/>
  <c r="I122" i="3"/>
  <c r="J122" i="3" s="1"/>
  <c r="E122" i="3"/>
  <c r="U122" i="3" s="1"/>
  <c r="AS122" i="3" s="1"/>
  <c r="I113" i="3"/>
  <c r="J113" i="3" s="1"/>
  <c r="E113" i="3"/>
  <c r="U113" i="3" s="1"/>
  <c r="AS113" i="3" s="1"/>
  <c r="I112" i="3"/>
  <c r="J112" i="3" s="1"/>
  <c r="E112" i="3"/>
  <c r="U112" i="3" s="1"/>
  <c r="AS112" i="3" s="1"/>
  <c r="I111" i="3"/>
  <c r="J111" i="3" s="1"/>
  <c r="E111" i="3"/>
  <c r="U111" i="3" s="1"/>
  <c r="AS111" i="3" s="1"/>
  <c r="I109" i="3"/>
  <c r="J109" i="3" s="1"/>
  <c r="E109" i="3"/>
  <c r="U109" i="3" s="1"/>
  <c r="AS109" i="3" s="1"/>
  <c r="I107" i="3"/>
  <c r="J107" i="3" s="1"/>
  <c r="E107" i="3"/>
  <c r="U107" i="3" s="1"/>
  <c r="AS107" i="3" s="1"/>
  <c r="I95" i="3"/>
  <c r="J95" i="3" s="1"/>
  <c r="E95" i="3"/>
  <c r="U95" i="3" s="1"/>
  <c r="AS95" i="3" s="1"/>
  <c r="I91" i="3"/>
  <c r="J91" i="3" s="1"/>
  <c r="E91" i="3"/>
  <c r="U91" i="3" s="1"/>
  <c r="AS91" i="3" s="1"/>
  <c r="I82" i="3"/>
  <c r="J82" i="3" s="1"/>
  <c r="E82" i="3"/>
  <c r="U82" i="3" s="1"/>
  <c r="AS82" i="3" s="1"/>
  <c r="I73" i="3"/>
  <c r="J73" i="3" s="1"/>
  <c r="E73" i="3"/>
  <c r="U73" i="3" s="1"/>
  <c r="AS73" i="3" s="1"/>
  <c r="I312" i="3"/>
  <c r="J312" i="3" s="1"/>
  <c r="E312" i="3"/>
  <c r="U312" i="3" s="1"/>
  <c r="AS312" i="3" s="1"/>
  <c r="E311" i="3"/>
  <c r="U311" i="3" s="1"/>
  <c r="AS311" i="3" s="1"/>
  <c r="I311" i="3"/>
  <c r="J311" i="3" s="1"/>
  <c r="I310" i="3"/>
  <c r="J310" i="3" s="1"/>
  <c r="E310" i="3"/>
  <c r="U310" i="3" s="1"/>
  <c r="AS310" i="3" s="1"/>
  <c r="I308" i="3"/>
  <c r="J308" i="3" s="1"/>
  <c r="E308" i="3"/>
  <c r="U308" i="3" s="1"/>
  <c r="AS308" i="3" s="1"/>
  <c r="E307" i="3"/>
  <c r="U307" i="3" s="1"/>
  <c r="AS307" i="3" s="1"/>
  <c r="I307" i="3"/>
  <c r="J307" i="3" s="1"/>
  <c r="E306" i="3"/>
  <c r="U306" i="3" s="1"/>
  <c r="AS306" i="3" s="1"/>
  <c r="I306" i="3"/>
  <c r="J306" i="3" s="1"/>
  <c r="I305" i="3"/>
  <c r="J305" i="3" s="1"/>
  <c r="E305" i="3"/>
  <c r="U305" i="3" s="1"/>
  <c r="AS305" i="3" s="1"/>
  <c r="E304" i="3"/>
  <c r="U304" i="3" s="1"/>
  <c r="AS304" i="3" s="1"/>
  <c r="I304" i="3"/>
  <c r="J304" i="3" s="1"/>
  <c r="I303" i="3"/>
  <c r="J303" i="3" s="1"/>
  <c r="E303" i="3"/>
  <c r="U303" i="3" s="1"/>
  <c r="AS303" i="3" s="1"/>
  <c r="E302" i="3"/>
  <c r="U302" i="3" s="1"/>
  <c r="AS302" i="3" s="1"/>
  <c r="I302" i="3"/>
  <c r="J302" i="3" s="1"/>
  <c r="I301" i="3"/>
  <c r="J301" i="3" s="1"/>
  <c r="E301" i="3"/>
  <c r="U301" i="3" s="1"/>
  <c r="AS301" i="3" s="1"/>
  <c r="I300" i="3"/>
  <c r="J300" i="3" s="1"/>
  <c r="E300" i="3"/>
  <c r="U300" i="3" s="1"/>
  <c r="AS300" i="3" s="1"/>
  <c r="I299" i="3"/>
  <c r="J299" i="3" s="1"/>
  <c r="E299" i="3"/>
  <c r="U299" i="3" s="1"/>
  <c r="AS299" i="3" s="1"/>
  <c r="E298" i="3"/>
  <c r="U298" i="3" s="1"/>
  <c r="AS298" i="3" s="1"/>
  <c r="I298" i="3"/>
  <c r="J298" i="3" s="1"/>
  <c r="I297" i="3"/>
  <c r="J297" i="3" s="1"/>
  <c r="E297" i="3"/>
  <c r="U297" i="3" s="1"/>
  <c r="AS297" i="3" s="1"/>
  <c r="I296" i="3"/>
  <c r="J296" i="3" s="1"/>
  <c r="E296" i="3"/>
  <c r="U296" i="3" s="1"/>
  <c r="AS296" i="3" s="1"/>
  <c r="I295" i="3"/>
  <c r="J295" i="3" s="1"/>
  <c r="E295" i="3"/>
  <c r="U295" i="3" s="1"/>
  <c r="AS295" i="3" s="1"/>
  <c r="I294" i="3"/>
  <c r="J294" i="3" s="1"/>
  <c r="E294" i="3"/>
  <c r="U294" i="3" s="1"/>
  <c r="AS294" i="3" s="1"/>
  <c r="E293" i="3"/>
  <c r="U293" i="3" s="1"/>
  <c r="AS293" i="3" s="1"/>
  <c r="I293" i="3"/>
  <c r="J293" i="3" s="1"/>
  <c r="I292" i="3"/>
  <c r="J292" i="3" s="1"/>
  <c r="E292" i="3"/>
  <c r="U292" i="3" s="1"/>
  <c r="AS292" i="3" s="1"/>
  <c r="E291" i="3"/>
  <c r="U291" i="3" s="1"/>
  <c r="AS291" i="3" s="1"/>
  <c r="I291" i="3"/>
  <c r="J291" i="3" s="1"/>
  <c r="I289" i="3"/>
  <c r="J289" i="3" s="1"/>
  <c r="E289" i="3"/>
  <c r="U289" i="3" s="1"/>
  <c r="AS289" i="3" s="1"/>
  <c r="I288" i="3"/>
  <c r="J288" i="3" s="1"/>
  <c r="E288" i="3"/>
  <c r="U288" i="3" s="1"/>
  <c r="AS288" i="3" s="1"/>
  <c r="I287" i="3"/>
  <c r="J287" i="3" s="1"/>
  <c r="E287" i="3"/>
  <c r="U287" i="3" s="1"/>
  <c r="AS287" i="3" s="1"/>
  <c r="E286" i="3"/>
  <c r="U286" i="3" s="1"/>
  <c r="AS286" i="3" s="1"/>
  <c r="I286" i="3"/>
  <c r="J286" i="3" s="1"/>
  <c r="E285" i="3"/>
  <c r="U285" i="3" s="1"/>
  <c r="AS285" i="3" s="1"/>
  <c r="I285" i="3"/>
  <c r="J285" i="3" s="1"/>
  <c r="I284" i="3"/>
  <c r="J284" i="3" s="1"/>
  <c r="E284" i="3"/>
  <c r="U284" i="3" s="1"/>
  <c r="AS284" i="3" s="1"/>
  <c r="E282" i="3"/>
  <c r="U282" i="3" s="1"/>
  <c r="AS282" i="3" s="1"/>
  <c r="I282" i="3"/>
  <c r="J282" i="3" s="1"/>
  <c r="E281" i="3"/>
  <c r="U281" i="3" s="1"/>
  <c r="AS281" i="3" s="1"/>
  <c r="I281" i="3"/>
  <c r="J281" i="3" s="1"/>
  <c r="E280" i="3"/>
  <c r="U280" i="3" s="1"/>
  <c r="AS280" i="3" s="1"/>
  <c r="I280" i="3"/>
  <c r="J280" i="3" s="1"/>
  <c r="I279" i="3"/>
  <c r="J279" i="3" s="1"/>
  <c r="E279" i="3"/>
  <c r="U279" i="3" s="1"/>
  <c r="AS279" i="3" s="1"/>
  <c r="I278" i="3"/>
  <c r="J278" i="3" s="1"/>
  <c r="E278" i="3"/>
  <c r="U278" i="3" s="1"/>
  <c r="AS278" i="3" s="1"/>
  <c r="I277" i="3"/>
  <c r="J277" i="3" s="1"/>
  <c r="E277" i="3"/>
  <c r="U277" i="3" s="1"/>
  <c r="AS277" i="3" s="1"/>
  <c r="I276" i="3"/>
  <c r="J276" i="3" s="1"/>
  <c r="E276" i="3"/>
  <c r="U276" i="3" s="1"/>
  <c r="AS276" i="3" s="1"/>
  <c r="I275" i="3"/>
  <c r="J275" i="3" s="1"/>
  <c r="E275" i="3"/>
  <c r="U275" i="3" s="1"/>
  <c r="AS275" i="3" s="1"/>
  <c r="E274" i="3"/>
  <c r="U274" i="3" s="1"/>
  <c r="AS274" i="3" s="1"/>
  <c r="I274" i="3"/>
  <c r="J274" i="3" s="1"/>
  <c r="I273" i="3"/>
  <c r="J273" i="3" s="1"/>
  <c r="E273" i="3"/>
  <c r="U273" i="3" s="1"/>
  <c r="AS273" i="3" s="1"/>
  <c r="E272" i="3"/>
  <c r="U272" i="3" s="1"/>
  <c r="AS272" i="3" s="1"/>
  <c r="I272" i="3"/>
  <c r="J272" i="3" s="1"/>
  <c r="I271" i="3"/>
  <c r="J271" i="3" s="1"/>
  <c r="E271" i="3"/>
  <c r="U271" i="3" s="1"/>
  <c r="AS271" i="3" s="1"/>
  <c r="I270" i="3"/>
  <c r="J270" i="3" s="1"/>
  <c r="E270" i="3"/>
  <c r="U270" i="3" s="1"/>
  <c r="AS270" i="3" s="1"/>
  <c r="I269" i="3"/>
  <c r="J269" i="3" s="1"/>
  <c r="E269" i="3"/>
  <c r="U269" i="3" s="1"/>
  <c r="AS269" i="3" s="1"/>
  <c r="I268" i="3"/>
  <c r="J268" i="3" s="1"/>
  <c r="E268" i="3"/>
  <c r="U268" i="3" s="1"/>
  <c r="AS268" i="3" s="1"/>
  <c r="I267" i="3"/>
  <c r="J267" i="3" s="1"/>
  <c r="E267" i="3"/>
  <c r="U267" i="3" s="1"/>
  <c r="AS267" i="3" s="1"/>
  <c r="I266" i="3"/>
  <c r="J266" i="3" s="1"/>
  <c r="E266" i="3"/>
  <c r="U266" i="3" s="1"/>
  <c r="AS266" i="3" s="1"/>
  <c r="E265" i="3"/>
  <c r="U265" i="3" s="1"/>
  <c r="AS265" i="3" s="1"/>
  <c r="I265" i="3"/>
  <c r="J265" i="3" s="1"/>
  <c r="I263" i="3"/>
  <c r="J263" i="3" s="1"/>
  <c r="E263" i="3"/>
  <c r="U263" i="3" s="1"/>
  <c r="AS263" i="3" s="1"/>
  <c r="I262" i="3"/>
  <c r="J262" i="3" s="1"/>
  <c r="E262" i="3"/>
  <c r="U262" i="3" s="1"/>
  <c r="AS262" i="3" s="1"/>
  <c r="I261" i="3"/>
  <c r="J261" i="3" s="1"/>
  <c r="E261" i="3"/>
  <c r="U261" i="3" s="1"/>
  <c r="AS261" i="3" s="1"/>
  <c r="I260" i="3"/>
  <c r="J260" i="3" s="1"/>
  <c r="E260" i="3"/>
  <c r="U260" i="3" s="1"/>
  <c r="AS260" i="3" s="1"/>
  <c r="I259" i="3"/>
  <c r="J259" i="3" s="1"/>
  <c r="E259" i="3"/>
  <c r="U259" i="3" s="1"/>
  <c r="AS259" i="3" s="1"/>
  <c r="I258" i="3"/>
  <c r="J258" i="3" s="1"/>
  <c r="E258" i="3"/>
  <c r="U258" i="3" s="1"/>
  <c r="AS258" i="3" s="1"/>
  <c r="E257" i="3"/>
  <c r="U257" i="3" s="1"/>
  <c r="AS257" i="3" s="1"/>
  <c r="I257" i="3"/>
  <c r="J257" i="3" s="1"/>
  <c r="I256" i="3"/>
  <c r="J256" i="3" s="1"/>
  <c r="E256" i="3"/>
  <c r="U256" i="3" s="1"/>
  <c r="AS256" i="3" s="1"/>
  <c r="E255" i="3"/>
  <c r="U255" i="3" s="1"/>
  <c r="AS255" i="3" s="1"/>
  <c r="I255" i="3"/>
  <c r="J255" i="3" s="1"/>
  <c r="E254" i="3"/>
  <c r="U254" i="3" s="1"/>
  <c r="AS254" i="3" s="1"/>
  <c r="I254" i="3"/>
  <c r="J254" i="3" s="1"/>
  <c r="I253" i="3"/>
  <c r="J253" i="3" s="1"/>
  <c r="E253" i="3"/>
  <c r="U253" i="3" s="1"/>
  <c r="AS253" i="3" s="1"/>
  <c r="E252" i="3"/>
  <c r="U252" i="3" s="1"/>
  <c r="AS252" i="3" s="1"/>
  <c r="I252" i="3"/>
  <c r="J252" i="3" s="1"/>
  <c r="E251" i="3"/>
  <c r="U251" i="3" s="1"/>
  <c r="AS251" i="3" s="1"/>
  <c r="I251" i="3"/>
  <c r="J251" i="3" s="1"/>
  <c r="E250" i="3"/>
  <c r="U250" i="3" s="1"/>
  <c r="AS250" i="3" s="1"/>
  <c r="I250" i="3"/>
  <c r="J250" i="3" s="1"/>
  <c r="E249" i="3"/>
  <c r="U249" i="3" s="1"/>
  <c r="AS249" i="3" s="1"/>
  <c r="I249" i="3"/>
  <c r="J249" i="3" s="1"/>
  <c r="E248" i="3"/>
  <c r="U248" i="3" s="1"/>
  <c r="AS248" i="3" s="1"/>
  <c r="I248" i="3"/>
  <c r="J248" i="3" s="1"/>
  <c r="E247" i="3"/>
  <c r="U247" i="3" s="1"/>
  <c r="AS247" i="3" s="1"/>
  <c r="I247" i="3"/>
  <c r="J247" i="3" s="1"/>
  <c r="I246" i="3"/>
  <c r="J246" i="3" s="1"/>
  <c r="E246" i="3"/>
  <c r="U246" i="3" s="1"/>
  <c r="AS246" i="3" s="1"/>
  <c r="E244" i="3"/>
  <c r="U244" i="3" s="1"/>
  <c r="AS244" i="3" s="1"/>
  <c r="I244" i="3"/>
  <c r="J244" i="3" s="1"/>
  <c r="E243" i="3"/>
  <c r="U243" i="3" s="1"/>
  <c r="AS243" i="3" s="1"/>
  <c r="I243" i="3"/>
  <c r="J243" i="3" s="1"/>
  <c r="E242" i="3"/>
  <c r="U242" i="3" s="1"/>
  <c r="AS242" i="3" s="1"/>
  <c r="I242" i="3"/>
  <c r="J242" i="3" s="1"/>
  <c r="I241" i="3"/>
  <c r="J241" i="3" s="1"/>
  <c r="E241" i="3"/>
  <c r="U241" i="3" s="1"/>
  <c r="AS241" i="3" s="1"/>
  <c r="I240" i="3"/>
  <c r="J240" i="3" s="1"/>
  <c r="E240" i="3"/>
  <c r="U240" i="3" s="1"/>
  <c r="AS240" i="3" s="1"/>
  <c r="E239" i="3"/>
  <c r="U239" i="3" s="1"/>
  <c r="AS239" i="3" s="1"/>
  <c r="I239" i="3"/>
  <c r="J239" i="3" s="1"/>
  <c r="I238" i="3"/>
  <c r="J238" i="3" s="1"/>
  <c r="E238" i="3"/>
  <c r="U238" i="3" s="1"/>
  <c r="AS238" i="3" s="1"/>
  <c r="E237" i="3"/>
  <c r="U237" i="3" s="1"/>
  <c r="AS237" i="3" s="1"/>
  <c r="I237" i="3"/>
  <c r="J237" i="3" s="1"/>
  <c r="E236" i="3"/>
  <c r="U236" i="3" s="1"/>
  <c r="AS236" i="3" s="1"/>
  <c r="I236" i="3"/>
  <c r="J236" i="3" s="1"/>
  <c r="E235" i="3"/>
  <c r="U235" i="3" s="1"/>
  <c r="AS235" i="3" s="1"/>
  <c r="I235" i="3"/>
  <c r="J235" i="3" s="1"/>
  <c r="E234" i="3"/>
  <c r="U234" i="3" s="1"/>
  <c r="AS234" i="3" s="1"/>
  <c r="I234" i="3"/>
  <c r="J234" i="3" s="1"/>
  <c r="E233" i="3"/>
  <c r="U233" i="3" s="1"/>
  <c r="AS233" i="3" s="1"/>
  <c r="I233" i="3"/>
  <c r="J233" i="3" s="1"/>
  <c r="I232" i="3"/>
  <c r="J232" i="3" s="1"/>
  <c r="E232" i="3"/>
  <c r="U232" i="3" s="1"/>
  <c r="AS232" i="3" s="1"/>
  <c r="E231" i="3"/>
  <c r="U231" i="3" s="1"/>
  <c r="AS231" i="3" s="1"/>
  <c r="I231" i="3"/>
  <c r="J231" i="3" s="1"/>
  <c r="I230" i="3"/>
  <c r="J230" i="3" s="1"/>
  <c r="E230" i="3"/>
  <c r="U230" i="3" s="1"/>
  <c r="AS230" i="3" s="1"/>
  <c r="I229" i="3"/>
  <c r="J229" i="3" s="1"/>
  <c r="E229" i="3"/>
  <c r="U229" i="3" s="1"/>
  <c r="AS229" i="3" s="1"/>
  <c r="I228" i="3"/>
  <c r="J228" i="3" s="1"/>
  <c r="E228" i="3"/>
  <c r="U228" i="3" s="1"/>
  <c r="AS228" i="3" s="1"/>
  <c r="E227" i="3"/>
  <c r="U227" i="3" s="1"/>
  <c r="AS227" i="3" s="1"/>
  <c r="I227" i="3"/>
  <c r="J227" i="3" s="1"/>
  <c r="I225" i="3"/>
  <c r="J225" i="3" s="1"/>
  <c r="E225" i="3"/>
  <c r="U225" i="3" s="1"/>
  <c r="AS225" i="3" s="1"/>
  <c r="I224" i="3"/>
  <c r="J224" i="3" s="1"/>
  <c r="E224" i="3"/>
  <c r="U224" i="3" s="1"/>
  <c r="AS224" i="3" s="1"/>
  <c r="E223" i="3"/>
  <c r="U223" i="3" s="1"/>
  <c r="AS223" i="3" s="1"/>
  <c r="I223" i="3"/>
  <c r="J223" i="3" s="1"/>
  <c r="E222" i="3"/>
  <c r="U222" i="3" s="1"/>
  <c r="AS222" i="3" s="1"/>
  <c r="I222" i="3"/>
  <c r="J222" i="3" s="1"/>
  <c r="I221" i="3"/>
  <c r="J221" i="3" s="1"/>
  <c r="E221" i="3"/>
  <c r="U221" i="3" s="1"/>
  <c r="AS221" i="3" s="1"/>
  <c r="I220" i="3"/>
  <c r="J220" i="3" s="1"/>
  <c r="E220" i="3"/>
  <c r="U220" i="3" s="1"/>
  <c r="AS220" i="3" s="1"/>
  <c r="E219" i="3"/>
  <c r="U219" i="3" s="1"/>
  <c r="AS219" i="3" s="1"/>
  <c r="I219" i="3"/>
  <c r="J219" i="3" s="1"/>
  <c r="I217" i="3"/>
  <c r="J217" i="3" s="1"/>
  <c r="E217" i="3"/>
  <c r="U217" i="3" s="1"/>
  <c r="AS217" i="3" s="1"/>
  <c r="I216" i="3"/>
  <c r="J216" i="3" s="1"/>
  <c r="E216" i="3"/>
  <c r="U216" i="3" s="1"/>
  <c r="AS216" i="3" s="1"/>
  <c r="E215" i="3"/>
  <c r="U215" i="3" s="1"/>
  <c r="AS215" i="3" s="1"/>
  <c r="I215" i="3"/>
  <c r="J215" i="3" s="1"/>
  <c r="E214" i="3"/>
  <c r="U214" i="3" s="1"/>
  <c r="AS214" i="3" s="1"/>
  <c r="I214" i="3"/>
  <c r="J214" i="3" s="1"/>
  <c r="I212" i="3"/>
  <c r="J212" i="3" s="1"/>
  <c r="E212" i="3"/>
  <c r="U212" i="3" s="1"/>
  <c r="AS212" i="3" s="1"/>
  <c r="I211" i="3"/>
  <c r="J211" i="3" s="1"/>
  <c r="E211" i="3"/>
  <c r="U211" i="3" s="1"/>
  <c r="AS211" i="3" s="1"/>
  <c r="I210" i="3"/>
  <c r="J210" i="3" s="1"/>
  <c r="E210" i="3"/>
  <c r="U210" i="3" s="1"/>
  <c r="AS210" i="3" s="1"/>
  <c r="I208" i="3"/>
  <c r="J208" i="3" s="1"/>
  <c r="E208" i="3"/>
  <c r="U208" i="3" s="1"/>
  <c r="AS208" i="3" s="1"/>
  <c r="I207" i="3"/>
  <c r="J207" i="3" s="1"/>
  <c r="E207" i="3"/>
  <c r="U207" i="3" s="1"/>
  <c r="AS207" i="3" s="1"/>
  <c r="E206" i="3"/>
  <c r="U206" i="3" s="1"/>
  <c r="AS206" i="3" s="1"/>
  <c r="I206" i="3"/>
  <c r="J206" i="3" s="1"/>
  <c r="I205" i="3"/>
  <c r="J205" i="3" s="1"/>
  <c r="E205" i="3"/>
  <c r="U205" i="3" s="1"/>
  <c r="AS205" i="3" s="1"/>
  <c r="E203" i="3"/>
  <c r="U203" i="3" s="1"/>
  <c r="AS203" i="3" s="1"/>
  <c r="I203" i="3"/>
  <c r="J203" i="3" s="1"/>
  <c r="E202" i="3"/>
  <c r="U202" i="3" s="1"/>
  <c r="AS202" i="3" s="1"/>
  <c r="I202" i="3"/>
  <c r="J202" i="3" s="1"/>
  <c r="I201" i="3"/>
  <c r="J201" i="3" s="1"/>
  <c r="E201" i="3"/>
  <c r="U201" i="3" s="1"/>
  <c r="AS201" i="3" s="1"/>
  <c r="E200" i="3"/>
  <c r="U200" i="3" s="1"/>
  <c r="AS200" i="3" s="1"/>
  <c r="I200" i="3"/>
  <c r="J200" i="3" s="1"/>
  <c r="I199" i="3"/>
  <c r="J199" i="3" s="1"/>
  <c r="E199" i="3"/>
  <c r="U199" i="3" s="1"/>
  <c r="AS199" i="3" s="1"/>
  <c r="E198" i="3"/>
  <c r="U198" i="3" s="1"/>
  <c r="AS198" i="3" s="1"/>
  <c r="I198" i="3"/>
  <c r="J198" i="3" s="1"/>
  <c r="I197" i="3"/>
  <c r="J197" i="3" s="1"/>
  <c r="E197" i="3"/>
  <c r="U197" i="3" s="1"/>
  <c r="AS197" i="3" s="1"/>
  <c r="I196" i="3"/>
  <c r="J196" i="3" s="1"/>
  <c r="E196" i="3"/>
  <c r="U196" i="3" s="1"/>
  <c r="AS196" i="3" s="1"/>
  <c r="E195" i="3"/>
  <c r="U195" i="3" s="1"/>
  <c r="AS195" i="3" s="1"/>
  <c r="I195" i="3"/>
  <c r="J195" i="3" s="1"/>
  <c r="E192" i="3"/>
  <c r="U192" i="3" s="1"/>
  <c r="AS192" i="3" s="1"/>
  <c r="I192" i="3"/>
  <c r="J192" i="3" s="1"/>
  <c r="E191" i="3"/>
  <c r="U191" i="3" s="1"/>
  <c r="AS191" i="3" s="1"/>
  <c r="I191" i="3"/>
  <c r="J191" i="3" s="1"/>
  <c r="I190" i="3"/>
  <c r="J190" i="3" s="1"/>
  <c r="E190" i="3"/>
  <c r="U190" i="3" s="1"/>
  <c r="AS190" i="3" s="1"/>
  <c r="I188" i="3"/>
  <c r="J188" i="3" s="1"/>
  <c r="E188" i="3"/>
  <c r="U188" i="3" s="1"/>
  <c r="AS188" i="3" s="1"/>
  <c r="I187" i="3"/>
  <c r="J187" i="3" s="1"/>
  <c r="E187" i="3"/>
  <c r="U187" i="3" s="1"/>
  <c r="AS187" i="3" s="1"/>
  <c r="I184" i="3"/>
  <c r="J184" i="3" s="1"/>
  <c r="E184" i="3"/>
  <c r="U184" i="3" s="1"/>
  <c r="AS184" i="3" s="1"/>
  <c r="I183" i="3"/>
  <c r="J183" i="3" s="1"/>
  <c r="E183" i="3"/>
  <c r="U183" i="3" s="1"/>
  <c r="AS183" i="3" s="1"/>
  <c r="E182" i="3"/>
  <c r="U182" i="3" s="1"/>
  <c r="AS182" i="3" s="1"/>
  <c r="I182" i="3"/>
  <c r="J182" i="3" s="1"/>
  <c r="I181" i="3"/>
  <c r="J181" i="3" s="1"/>
  <c r="E181" i="3"/>
  <c r="U181" i="3" s="1"/>
  <c r="AS181" i="3" s="1"/>
  <c r="I180" i="3"/>
  <c r="J180" i="3" s="1"/>
  <c r="E180" i="3"/>
  <c r="U180" i="3" s="1"/>
  <c r="AS180" i="3" s="1"/>
  <c r="I179" i="3"/>
  <c r="J179" i="3" s="1"/>
  <c r="E179" i="3"/>
  <c r="U179" i="3" s="1"/>
  <c r="AS179" i="3" s="1"/>
  <c r="I178" i="3"/>
  <c r="J178" i="3" s="1"/>
  <c r="E178" i="3"/>
  <c r="U178" i="3" s="1"/>
  <c r="AS178" i="3" s="1"/>
  <c r="E177" i="3"/>
  <c r="U177" i="3" s="1"/>
  <c r="AS177" i="3" s="1"/>
  <c r="I177" i="3"/>
  <c r="J177" i="3" s="1"/>
  <c r="E176" i="3"/>
  <c r="U176" i="3" s="1"/>
  <c r="AS176" i="3" s="1"/>
  <c r="I176" i="3"/>
  <c r="J176" i="3" s="1"/>
  <c r="I174" i="3"/>
  <c r="J174" i="3" s="1"/>
  <c r="E174" i="3"/>
  <c r="U174" i="3" s="1"/>
  <c r="AS174" i="3" s="1"/>
  <c r="I173" i="3"/>
  <c r="J173" i="3" s="1"/>
  <c r="E173" i="3"/>
  <c r="U173" i="3" s="1"/>
  <c r="AS173" i="3" s="1"/>
  <c r="I172" i="3"/>
  <c r="J172" i="3" s="1"/>
  <c r="E172" i="3"/>
  <c r="U172" i="3" s="1"/>
  <c r="AS172" i="3" s="1"/>
  <c r="I171" i="3"/>
  <c r="J171" i="3" s="1"/>
  <c r="E171" i="3"/>
  <c r="U171" i="3" s="1"/>
  <c r="AS171" i="3" s="1"/>
  <c r="E169" i="3"/>
  <c r="U169" i="3" s="1"/>
  <c r="AS169" i="3" s="1"/>
  <c r="I169" i="3"/>
  <c r="J169" i="3" s="1"/>
  <c r="E168" i="3"/>
  <c r="U168" i="3" s="1"/>
  <c r="AS168" i="3" s="1"/>
  <c r="I168" i="3"/>
  <c r="J168" i="3" s="1"/>
  <c r="E167" i="3"/>
  <c r="U167" i="3" s="1"/>
  <c r="AS167" i="3" s="1"/>
  <c r="I167" i="3"/>
  <c r="J167" i="3" s="1"/>
  <c r="E165" i="3"/>
  <c r="U165" i="3" s="1"/>
  <c r="AS165" i="3" s="1"/>
  <c r="I165" i="3"/>
  <c r="J165" i="3" s="1"/>
  <c r="I162" i="3"/>
  <c r="J162" i="3" s="1"/>
  <c r="E162" i="3"/>
  <c r="U162" i="3" s="1"/>
  <c r="AS162" i="3" s="1"/>
  <c r="E161" i="3"/>
  <c r="U161" i="3" s="1"/>
  <c r="AS161" i="3" s="1"/>
  <c r="I161" i="3"/>
  <c r="J161" i="3" s="1"/>
  <c r="I160" i="3"/>
  <c r="J160" i="3" s="1"/>
  <c r="E160" i="3"/>
  <c r="U160" i="3" s="1"/>
  <c r="AS160" i="3" s="1"/>
  <c r="I159" i="3"/>
  <c r="J159" i="3" s="1"/>
  <c r="E159" i="3"/>
  <c r="U159" i="3" s="1"/>
  <c r="AS159" i="3" s="1"/>
  <c r="I157" i="3"/>
  <c r="J157" i="3" s="1"/>
  <c r="E157" i="3"/>
  <c r="U157" i="3" s="1"/>
  <c r="AS157" i="3" s="1"/>
  <c r="E156" i="3"/>
  <c r="U156" i="3" s="1"/>
  <c r="AS156" i="3" s="1"/>
  <c r="I156" i="3"/>
  <c r="J156" i="3" s="1"/>
  <c r="I155" i="3"/>
  <c r="J155" i="3" s="1"/>
  <c r="E155" i="3"/>
  <c r="U155" i="3" s="1"/>
  <c r="AS155" i="3" s="1"/>
  <c r="E153" i="3"/>
  <c r="U153" i="3" s="1"/>
  <c r="AS153" i="3" s="1"/>
  <c r="I153" i="3"/>
  <c r="J153" i="3" s="1"/>
  <c r="I152" i="3"/>
  <c r="J152" i="3" s="1"/>
  <c r="E152" i="3"/>
  <c r="U152" i="3" s="1"/>
  <c r="AS152" i="3" s="1"/>
  <c r="I150" i="3"/>
  <c r="J150" i="3" s="1"/>
  <c r="E150" i="3"/>
  <c r="U150" i="3" s="1"/>
  <c r="AS150" i="3" s="1"/>
  <c r="E149" i="3"/>
  <c r="U149" i="3" s="1"/>
  <c r="AS149" i="3" s="1"/>
  <c r="I149" i="3"/>
  <c r="J149" i="3" s="1"/>
  <c r="E148" i="3"/>
  <c r="U148" i="3" s="1"/>
  <c r="AS148" i="3" s="1"/>
  <c r="I148" i="3"/>
  <c r="J148" i="3" s="1"/>
  <c r="I147" i="3"/>
  <c r="J147" i="3" s="1"/>
  <c r="E147" i="3"/>
  <c r="U147" i="3" s="1"/>
  <c r="AS147" i="3" s="1"/>
  <c r="I145" i="3"/>
  <c r="J145" i="3" s="1"/>
  <c r="E145" i="3"/>
  <c r="U145" i="3" s="1"/>
  <c r="AS145" i="3" s="1"/>
  <c r="E144" i="3"/>
  <c r="U144" i="3" s="1"/>
  <c r="AS144" i="3" s="1"/>
  <c r="I144" i="3"/>
  <c r="J144" i="3" s="1"/>
  <c r="E143" i="3"/>
  <c r="U143" i="3" s="1"/>
  <c r="AS143" i="3" s="1"/>
  <c r="I143" i="3"/>
  <c r="J143" i="3" s="1"/>
  <c r="E140" i="3"/>
  <c r="U140" i="3" s="1"/>
  <c r="AS140" i="3" s="1"/>
  <c r="I140" i="3"/>
  <c r="J140" i="3" s="1"/>
  <c r="E138" i="3"/>
  <c r="U138" i="3" s="1"/>
  <c r="AS138" i="3" s="1"/>
  <c r="I138" i="3"/>
  <c r="J138" i="3" s="1"/>
  <c r="I137" i="3"/>
  <c r="J137" i="3" s="1"/>
  <c r="E137" i="3"/>
  <c r="U137" i="3" s="1"/>
  <c r="AS137" i="3" s="1"/>
  <c r="I136" i="3"/>
  <c r="J136" i="3" s="1"/>
  <c r="E136" i="3"/>
  <c r="U136" i="3" s="1"/>
  <c r="AS136" i="3" s="1"/>
  <c r="I135" i="3"/>
  <c r="J135" i="3" s="1"/>
  <c r="E135" i="3"/>
  <c r="U135" i="3" s="1"/>
  <c r="AS135" i="3" s="1"/>
  <c r="I134" i="3"/>
  <c r="J134" i="3" s="1"/>
  <c r="E134" i="3"/>
  <c r="U134" i="3" s="1"/>
  <c r="AS134" i="3" s="1"/>
  <c r="E133" i="3"/>
  <c r="U133" i="3" s="1"/>
  <c r="AS133" i="3" s="1"/>
  <c r="I133" i="3"/>
  <c r="J133" i="3" s="1"/>
  <c r="E132" i="3"/>
  <c r="U132" i="3" s="1"/>
  <c r="AS132" i="3" s="1"/>
  <c r="I132" i="3"/>
  <c r="J132" i="3" s="1"/>
  <c r="E131" i="3"/>
  <c r="U131" i="3" s="1"/>
  <c r="AS131" i="3" s="1"/>
  <c r="I131" i="3"/>
  <c r="J131" i="3" s="1"/>
  <c r="I130" i="3"/>
  <c r="J130" i="3" s="1"/>
  <c r="E130" i="3"/>
  <c r="U130" i="3" s="1"/>
  <c r="AS130" i="3" s="1"/>
  <c r="I129" i="3"/>
  <c r="J129" i="3" s="1"/>
  <c r="E129" i="3"/>
  <c r="U129" i="3" s="1"/>
  <c r="AS129" i="3" s="1"/>
  <c r="E128" i="3"/>
  <c r="U128" i="3" s="1"/>
  <c r="AS128" i="3" s="1"/>
  <c r="I128" i="3"/>
  <c r="J128" i="3" s="1"/>
  <c r="E127" i="3"/>
  <c r="U127" i="3" s="1"/>
  <c r="AS127" i="3" s="1"/>
  <c r="I127" i="3"/>
  <c r="J127" i="3" s="1"/>
  <c r="E126" i="3"/>
  <c r="U126" i="3" s="1"/>
  <c r="AS126" i="3" s="1"/>
  <c r="I126" i="3"/>
  <c r="J126" i="3" s="1"/>
  <c r="E125" i="3"/>
  <c r="U125" i="3" s="1"/>
  <c r="AS125" i="3" s="1"/>
  <c r="I125" i="3"/>
  <c r="J125" i="3" s="1"/>
  <c r="E124" i="3"/>
  <c r="U124" i="3" s="1"/>
  <c r="AS124" i="3" s="1"/>
  <c r="I124" i="3"/>
  <c r="J124" i="3" s="1"/>
  <c r="E123" i="3"/>
  <c r="U123" i="3" s="1"/>
  <c r="AS123" i="3" s="1"/>
  <c r="I123" i="3"/>
  <c r="J123" i="3" s="1"/>
  <c r="I121" i="3"/>
  <c r="J121" i="3" s="1"/>
  <c r="E121" i="3"/>
  <c r="U121" i="3" s="1"/>
  <c r="AS121" i="3" s="1"/>
  <c r="I120" i="3"/>
  <c r="J120" i="3" s="1"/>
  <c r="E120" i="3"/>
  <c r="U120" i="3" s="1"/>
  <c r="AS120" i="3" s="1"/>
  <c r="I119" i="3"/>
  <c r="J119" i="3" s="1"/>
  <c r="E119" i="3"/>
  <c r="U119" i="3" s="1"/>
  <c r="AS119" i="3" s="1"/>
  <c r="E118" i="3"/>
  <c r="U118" i="3" s="1"/>
  <c r="AS118" i="3" s="1"/>
  <c r="I118" i="3"/>
  <c r="J118" i="3" s="1"/>
  <c r="I117" i="3"/>
  <c r="J117" i="3" s="1"/>
  <c r="E117" i="3"/>
  <c r="U117" i="3" s="1"/>
  <c r="AS117" i="3" s="1"/>
  <c r="I116" i="3"/>
  <c r="J116" i="3" s="1"/>
  <c r="E116" i="3"/>
  <c r="U116" i="3" s="1"/>
  <c r="AS116" i="3" s="1"/>
  <c r="E115" i="3"/>
  <c r="U115" i="3" s="1"/>
  <c r="AS115" i="3" s="1"/>
  <c r="I115" i="3"/>
  <c r="J115" i="3" s="1"/>
  <c r="E114" i="3"/>
  <c r="U114" i="3" s="1"/>
  <c r="AS114" i="3" s="1"/>
  <c r="I114" i="3"/>
  <c r="J114" i="3" s="1"/>
  <c r="E110" i="3"/>
  <c r="U110" i="3" s="1"/>
  <c r="AS110" i="3" s="1"/>
  <c r="I110" i="3"/>
  <c r="J110" i="3" s="1"/>
  <c r="I108" i="3"/>
  <c r="J108" i="3" s="1"/>
  <c r="E108" i="3"/>
  <c r="U108" i="3" s="1"/>
  <c r="AS108" i="3" s="1"/>
  <c r="I106" i="3"/>
  <c r="J106" i="3" s="1"/>
  <c r="E106" i="3"/>
  <c r="U106" i="3" s="1"/>
  <c r="AS106" i="3" s="1"/>
  <c r="I105" i="3"/>
  <c r="J105" i="3" s="1"/>
  <c r="E105" i="3"/>
  <c r="U105" i="3" s="1"/>
  <c r="AS105" i="3" s="1"/>
  <c r="E104" i="3"/>
  <c r="U104" i="3" s="1"/>
  <c r="AS104" i="3" s="1"/>
  <c r="I104" i="3"/>
  <c r="J104" i="3" s="1"/>
  <c r="I103" i="3"/>
  <c r="J103" i="3" s="1"/>
  <c r="E103" i="3"/>
  <c r="U103" i="3" s="1"/>
  <c r="AS103" i="3" s="1"/>
  <c r="E102" i="3"/>
  <c r="U102" i="3" s="1"/>
  <c r="AS102" i="3" s="1"/>
  <c r="I102" i="3"/>
  <c r="J102" i="3" s="1"/>
  <c r="I101" i="3"/>
  <c r="J101" i="3" s="1"/>
  <c r="E101" i="3"/>
  <c r="U101" i="3" s="1"/>
  <c r="AS101" i="3" s="1"/>
  <c r="E100" i="3"/>
  <c r="U100" i="3" s="1"/>
  <c r="AS100" i="3" s="1"/>
  <c r="I100" i="3"/>
  <c r="J100" i="3" s="1"/>
  <c r="I99" i="3"/>
  <c r="J99" i="3" s="1"/>
  <c r="E99" i="3"/>
  <c r="U99" i="3" s="1"/>
  <c r="AS99" i="3" s="1"/>
  <c r="E98" i="3"/>
  <c r="U98" i="3" s="1"/>
  <c r="AS98" i="3" s="1"/>
  <c r="I98" i="3"/>
  <c r="J98" i="3" s="1"/>
  <c r="E97" i="3"/>
  <c r="U97" i="3" s="1"/>
  <c r="AS97" i="3" s="1"/>
  <c r="I97" i="3"/>
  <c r="J97" i="3" s="1"/>
  <c r="I96" i="3"/>
  <c r="J96" i="3" s="1"/>
  <c r="E96" i="3"/>
  <c r="U96" i="3" s="1"/>
  <c r="AS96" i="3" s="1"/>
  <c r="I94" i="3"/>
  <c r="J94" i="3" s="1"/>
  <c r="E94" i="3"/>
  <c r="U94" i="3" s="1"/>
  <c r="AS94" i="3" s="1"/>
  <c r="I93" i="3"/>
  <c r="J93" i="3" s="1"/>
  <c r="E93" i="3"/>
  <c r="U93" i="3" s="1"/>
  <c r="AS93" i="3" s="1"/>
  <c r="I92" i="3"/>
  <c r="J92" i="3" s="1"/>
  <c r="E92" i="3"/>
  <c r="U92" i="3" s="1"/>
  <c r="AS92" i="3" s="1"/>
  <c r="E90" i="3"/>
  <c r="U90" i="3" s="1"/>
  <c r="AS90" i="3" s="1"/>
  <c r="I90" i="3"/>
  <c r="J90" i="3" s="1"/>
  <c r="I89" i="3"/>
  <c r="J89" i="3" s="1"/>
  <c r="E89" i="3"/>
  <c r="U89" i="3" s="1"/>
  <c r="AS89" i="3" s="1"/>
  <c r="I88" i="3"/>
  <c r="J88" i="3" s="1"/>
  <c r="E88" i="3"/>
  <c r="U88" i="3" s="1"/>
  <c r="AS88" i="3" s="1"/>
  <c r="I87" i="3"/>
  <c r="J87" i="3" s="1"/>
  <c r="E87" i="3"/>
  <c r="U87" i="3" s="1"/>
  <c r="AS87" i="3" s="1"/>
  <c r="E86" i="3"/>
  <c r="U86" i="3" s="1"/>
  <c r="AS86" i="3" s="1"/>
  <c r="I86" i="3"/>
  <c r="J86" i="3" s="1"/>
  <c r="E85" i="3"/>
  <c r="U85" i="3" s="1"/>
  <c r="AS85" i="3" s="1"/>
  <c r="I85" i="3"/>
  <c r="J85" i="3" s="1"/>
  <c r="E84" i="3"/>
  <c r="U84" i="3" s="1"/>
  <c r="AS84" i="3" s="1"/>
  <c r="I84" i="3"/>
  <c r="J84" i="3" s="1"/>
  <c r="I83" i="3"/>
  <c r="J83" i="3" s="1"/>
  <c r="E83" i="3"/>
  <c r="U83" i="3" s="1"/>
  <c r="AS83" i="3" s="1"/>
  <c r="I81" i="3"/>
  <c r="J81" i="3" s="1"/>
  <c r="E81" i="3"/>
  <c r="U81" i="3" s="1"/>
  <c r="AS81" i="3" s="1"/>
  <c r="I80" i="3"/>
  <c r="J80" i="3" s="1"/>
  <c r="E80" i="3"/>
  <c r="U80" i="3" s="1"/>
  <c r="AS80" i="3" s="1"/>
  <c r="I79" i="3"/>
  <c r="J79" i="3" s="1"/>
  <c r="E79" i="3"/>
  <c r="U79" i="3" s="1"/>
  <c r="AS79" i="3" s="1"/>
  <c r="E78" i="3"/>
  <c r="U78" i="3" s="1"/>
  <c r="AS78" i="3" s="1"/>
  <c r="I78" i="3"/>
  <c r="J78" i="3" s="1"/>
  <c r="I77" i="3"/>
  <c r="J77" i="3" s="1"/>
  <c r="E77" i="3"/>
  <c r="U77" i="3" s="1"/>
  <c r="AS77" i="3" s="1"/>
  <c r="E76" i="3"/>
  <c r="U76" i="3" s="1"/>
  <c r="AS76" i="3" s="1"/>
  <c r="I76" i="3"/>
  <c r="J76" i="3" s="1"/>
  <c r="I75" i="3"/>
  <c r="J75" i="3" s="1"/>
  <c r="E75" i="3"/>
  <c r="U75" i="3" s="1"/>
  <c r="AS75" i="3" s="1"/>
  <c r="E74" i="3"/>
  <c r="U74" i="3" s="1"/>
  <c r="AS74" i="3" s="1"/>
  <c r="I74" i="3"/>
  <c r="J74" i="3" s="1"/>
  <c r="E72" i="3"/>
  <c r="U72" i="3" s="1"/>
  <c r="AS72" i="3" s="1"/>
  <c r="I72" i="3"/>
  <c r="J72" i="3" s="1"/>
  <c r="E71" i="3"/>
  <c r="U71" i="3" s="1"/>
  <c r="AS71" i="3" s="1"/>
  <c r="I71" i="3"/>
  <c r="J71" i="3" s="1"/>
  <c r="I70" i="3"/>
  <c r="J70" i="3" s="1"/>
  <c r="E70" i="3"/>
  <c r="U70" i="3" s="1"/>
  <c r="AS70" i="3" s="1"/>
  <c r="E69" i="3"/>
  <c r="U69" i="3" s="1"/>
  <c r="AS69" i="3" s="1"/>
  <c r="I69" i="3"/>
  <c r="J69" i="3" s="1"/>
  <c r="E68" i="3"/>
  <c r="U68" i="3" s="1"/>
  <c r="AS68" i="3" s="1"/>
  <c r="I68" i="3"/>
  <c r="J68" i="3" s="1"/>
  <c r="E67" i="3"/>
  <c r="U67" i="3" s="1"/>
  <c r="AS67" i="3" s="1"/>
  <c r="I67" i="3"/>
  <c r="J67" i="3" s="1"/>
  <c r="E66" i="3"/>
  <c r="U66" i="3" s="1"/>
  <c r="AS66" i="3" s="1"/>
  <c r="I66" i="3"/>
  <c r="J66" i="3" s="1"/>
  <c r="E65" i="3"/>
  <c r="U65" i="3" s="1"/>
  <c r="AS65" i="3" s="1"/>
  <c r="I65" i="3"/>
  <c r="J65" i="3" s="1"/>
  <c r="E64" i="3"/>
  <c r="U64" i="3" s="1"/>
  <c r="AS64" i="3" s="1"/>
  <c r="I64" i="3"/>
  <c r="J64" i="3" s="1"/>
  <c r="I63" i="3"/>
  <c r="J63" i="3" s="1"/>
  <c r="E63" i="3"/>
  <c r="U63" i="3" s="1"/>
  <c r="AS63" i="3" s="1"/>
  <c r="E62" i="3"/>
  <c r="U62" i="3" s="1"/>
  <c r="AS62" i="3" s="1"/>
  <c r="I62" i="3"/>
  <c r="J62" i="3" s="1"/>
  <c r="I61" i="3"/>
  <c r="J61" i="3" s="1"/>
  <c r="E61" i="3"/>
  <c r="U61" i="3" s="1"/>
  <c r="AS61" i="3" s="1"/>
  <c r="E60" i="3"/>
  <c r="U60" i="3" s="1"/>
  <c r="AS60" i="3" s="1"/>
  <c r="I60" i="3"/>
  <c r="J60" i="3" s="1"/>
  <c r="E59" i="3"/>
  <c r="U59" i="3" s="1"/>
  <c r="AS59" i="3" s="1"/>
  <c r="I59" i="3"/>
  <c r="J59" i="3" s="1"/>
  <c r="E58" i="3"/>
  <c r="U58" i="3" s="1"/>
  <c r="AS58" i="3" s="1"/>
  <c r="I58" i="3"/>
  <c r="J58" i="3" s="1"/>
  <c r="I57" i="3"/>
  <c r="J57" i="3" s="1"/>
  <c r="E57" i="3"/>
  <c r="U57" i="3" s="1"/>
  <c r="AS57" i="3" s="1"/>
  <c r="I56" i="3"/>
  <c r="J56" i="3" s="1"/>
  <c r="E56" i="3"/>
  <c r="U56" i="3" s="1"/>
  <c r="AS56" i="3" s="1"/>
  <c r="I55" i="3"/>
  <c r="J55" i="3" s="1"/>
  <c r="E55" i="3"/>
  <c r="U55" i="3" s="1"/>
  <c r="AS55" i="3" s="1"/>
  <c r="E54" i="3"/>
  <c r="U54" i="3" s="1"/>
  <c r="AS54" i="3" s="1"/>
  <c r="I54" i="3"/>
  <c r="J54" i="3" s="1"/>
  <c r="I53" i="3"/>
  <c r="J53" i="3" s="1"/>
  <c r="E53" i="3"/>
  <c r="U53" i="3" s="1"/>
  <c r="AS53" i="3" s="1"/>
  <c r="E52" i="3"/>
  <c r="U52" i="3" s="1"/>
  <c r="AS52" i="3" s="1"/>
  <c r="I52" i="3"/>
  <c r="J52" i="3" s="1"/>
  <c r="E51" i="3"/>
  <c r="U51" i="3" s="1"/>
  <c r="AS51" i="3" s="1"/>
  <c r="I51" i="3"/>
  <c r="J51" i="3" s="1"/>
  <c r="I50" i="3"/>
  <c r="J50" i="3" s="1"/>
  <c r="E50" i="3"/>
  <c r="U50" i="3" s="1"/>
  <c r="AS50" i="3" s="1"/>
  <c r="I49" i="3"/>
  <c r="J49" i="3" s="1"/>
  <c r="E49" i="3"/>
  <c r="U49" i="3" s="1"/>
  <c r="AS49" i="3" s="1"/>
  <c r="E48" i="3"/>
  <c r="U48" i="3" s="1"/>
  <c r="AS48" i="3" s="1"/>
  <c r="I48" i="3"/>
  <c r="J48" i="3" s="1"/>
  <c r="I47" i="3"/>
  <c r="J47" i="3" s="1"/>
  <c r="E47" i="3"/>
  <c r="U47" i="3" s="1"/>
  <c r="AS47" i="3" s="1"/>
  <c r="I46" i="3"/>
  <c r="J46" i="3" s="1"/>
  <c r="E46" i="3"/>
  <c r="U46" i="3" s="1"/>
  <c r="AS46" i="3" s="1"/>
  <c r="E45" i="3"/>
  <c r="U45" i="3" s="1"/>
  <c r="AS45" i="3" s="1"/>
  <c r="I45" i="3"/>
  <c r="J45" i="3" s="1"/>
  <c r="E44" i="3"/>
  <c r="U44" i="3" s="1"/>
  <c r="AS44" i="3" s="1"/>
  <c r="I44" i="3"/>
  <c r="J44" i="3" s="1"/>
  <c r="E43" i="3"/>
  <c r="U43" i="3" s="1"/>
  <c r="AS43" i="3" s="1"/>
  <c r="I43" i="3"/>
  <c r="J43" i="3" s="1"/>
  <c r="E42" i="3"/>
  <c r="U42" i="3" s="1"/>
  <c r="AS42" i="3" s="1"/>
  <c r="I42" i="3"/>
  <c r="J42" i="3" s="1"/>
  <c r="I41" i="3"/>
  <c r="J41" i="3" s="1"/>
  <c r="E41" i="3"/>
  <c r="U41" i="3" s="1"/>
  <c r="AS41" i="3" s="1"/>
  <c r="E40" i="3"/>
  <c r="U40" i="3" s="1"/>
  <c r="AS40" i="3" s="1"/>
  <c r="I40" i="3"/>
  <c r="J40" i="3" s="1"/>
  <c r="E39" i="3"/>
  <c r="U39" i="3" s="1"/>
  <c r="AS39" i="3" s="1"/>
  <c r="I39" i="3"/>
  <c r="J39" i="3" s="1"/>
  <c r="E38" i="3"/>
  <c r="U38" i="3" s="1"/>
  <c r="AS38" i="3" s="1"/>
  <c r="I38" i="3"/>
  <c r="J38" i="3" s="1"/>
  <c r="I37" i="3"/>
  <c r="J37" i="3" s="1"/>
  <c r="E37" i="3"/>
  <c r="U37" i="3" s="1"/>
  <c r="AS37" i="3" s="1"/>
  <c r="I36" i="3"/>
  <c r="J36" i="3" s="1"/>
  <c r="E36" i="3"/>
  <c r="U36" i="3" s="1"/>
  <c r="AS36" i="3" s="1"/>
  <c r="I35" i="3"/>
  <c r="J35" i="3" s="1"/>
  <c r="E35" i="3"/>
  <c r="U35" i="3" s="1"/>
  <c r="AS35" i="3" s="1"/>
  <c r="E34" i="3"/>
  <c r="U34" i="3" s="1"/>
  <c r="AS34" i="3" s="1"/>
  <c r="I34" i="3"/>
  <c r="J34" i="3" s="1"/>
  <c r="I33" i="3"/>
  <c r="J33" i="3" s="1"/>
  <c r="E33" i="3"/>
  <c r="U33" i="3" s="1"/>
  <c r="AS33" i="3" s="1"/>
  <c r="I32" i="3"/>
  <c r="J32" i="3" s="1"/>
  <c r="E32" i="3"/>
  <c r="U32" i="3" s="1"/>
  <c r="AS32" i="3" s="1"/>
  <c r="I31" i="3"/>
  <c r="J31" i="3" s="1"/>
  <c r="E31" i="3"/>
  <c r="U31" i="3" s="1"/>
  <c r="AS31" i="3" s="1"/>
  <c r="I30" i="3"/>
  <c r="J30" i="3" s="1"/>
  <c r="E30" i="3"/>
  <c r="U30" i="3" s="1"/>
  <c r="AS30" i="3" s="1"/>
  <c r="E29" i="3"/>
  <c r="U29" i="3" s="1"/>
  <c r="AS29" i="3" s="1"/>
  <c r="I29" i="3"/>
  <c r="J29" i="3" s="1"/>
  <c r="E28" i="3"/>
  <c r="U28" i="3" s="1"/>
  <c r="AS28" i="3" s="1"/>
  <c r="I28" i="3"/>
  <c r="J28" i="3" s="1"/>
  <c r="E27" i="3"/>
  <c r="U27" i="3" s="1"/>
  <c r="AS27" i="3" s="1"/>
  <c r="I27" i="3"/>
  <c r="J27" i="3" s="1"/>
  <c r="E26" i="3"/>
  <c r="U26" i="3" s="1"/>
  <c r="AS26" i="3" s="1"/>
  <c r="I26" i="3"/>
  <c r="J26" i="3" s="1"/>
  <c r="E25" i="3"/>
  <c r="U25" i="3" s="1"/>
  <c r="AS25" i="3" s="1"/>
  <c r="I25" i="3"/>
  <c r="J25" i="3" s="1"/>
  <c r="E24" i="3"/>
  <c r="U24" i="3" s="1"/>
  <c r="AS24" i="3" s="1"/>
  <c r="I24" i="3"/>
  <c r="J24" i="3" s="1"/>
  <c r="I23" i="3"/>
  <c r="J23" i="3" s="1"/>
  <c r="E23" i="3"/>
  <c r="U23" i="3" s="1"/>
  <c r="AS23" i="3" s="1"/>
  <c r="I22" i="3"/>
  <c r="J22" i="3" s="1"/>
  <c r="E22" i="3"/>
  <c r="U22" i="3" s="1"/>
  <c r="AS22" i="3" s="1"/>
  <c r="I21" i="3"/>
  <c r="J21" i="3" s="1"/>
  <c r="E21" i="3"/>
  <c r="U21" i="3" s="1"/>
  <c r="AS21" i="3" s="1"/>
  <c r="I20" i="3"/>
  <c r="J20" i="3" s="1"/>
  <c r="E20" i="3"/>
  <c r="U20" i="3" s="1"/>
  <c r="AS20" i="3" s="1"/>
  <c r="E19" i="3"/>
  <c r="U19" i="3" s="1"/>
  <c r="AS19" i="3" s="1"/>
  <c r="I19" i="3"/>
  <c r="J19" i="3" s="1"/>
  <c r="E18" i="3"/>
  <c r="U18" i="3" s="1"/>
  <c r="AS18" i="3" s="1"/>
  <c r="I18" i="3"/>
  <c r="J18" i="3" s="1"/>
  <c r="E17" i="3"/>
  <c r="U17" i="3" s="1"/>
  <c r="AS17" i="3" s="1"/>
  <c r="I17" i="3"/>
  <c r="J17" i="3" s="1"/>
  <c r="I16" i="3"/>
  <c r="J16" i="3" s="1"/>
  <c r="E16" i="3"/>
  <c r="U16" i="3" s="1"/>
  <c r="AS16" i="3" s="1"/>
  <c r="I15" i="3"/>
  <c r="J15" i="3" s="1"/>
  <c r="E15" i="3"/>
  <c r="U15" i="3" s="1"/>
  <c r="AS15" i="3" s="1"/>
  <c r="E14" i="3"/>
  <c r="U14" i="3" s="1"/>
  <c r="AS14" i="3" s="1"/>
  <c r="I14" i="3"/>
  <c r="J14" i="3" s="1"/>
  <c r="I13" i="3"/>
  <c r="J13" i="3" s="1"/>
  <c r="E13" i="3"/>
  <c r="U13" i="3" s="1"/>
  <c r="AS13" i="3" s="1"/>
  <c r="I12" i="3"/>
  <c r="J12" i="3" s="1"/>
  <c r="E12" i="3"/>
  <c r="U12" i="3" s="1"/>
  <c r="AS12" i="3" s="1"/>
  <c r="I11" i="3"/>
  <c r="J11" i="3" s="1"/>
  <c r="E11" i="3"/>
  <c r="U11" i="3" s="1"/>
  <c r="AS11" i="3" s="1"/>
  <c r="E10" i="3"/>
  <c r="U10" i="3" s="1"/>
  <c r="AS10" i="3" s="1"/>
  <c r="I10" i="3"/>
  <c r="J10" i="3" s="1"/>
  <c r="I9" i="3"/>
  <c r="J9" i="3" s="1"/>
  <c r="E9" i="3"/>
  <c r="U9" i="3" s="1"/>
  <c r="AS9" i="3" s="1"/>
  <c r="I8" i="3"/>
  <c r="J8" i="3" s="1"/>
  <c r="E8" i="3"/>
  <c r="U8" i="3" s="1"/>
  <c r="AS8" i="3" s="1"/>
  <c r="U251" i="8"/>
  <c r="AR251" i="8" s="1"/>
  <c r="I250" i="8"/>
  <c r="E250" i="8"/>
  <c r="J250" i="8" s="1"/>
  <c r="U250" i="8" s="1"/>
  <c r="AR250" i="8" s="1"/>
  <c r="I249" i="8"/>
  <c r="E249" i="8"/>
  <c r="J249" i="8" s="1"/>
  <c r="U249" i="8" s="1"/>
  <c r="AR249" i="8" s="1"/>
  <c r="N46" i="4"/>
  <c r="N17" i="4"/>
  <c r="M313" i="2"/>
  <c r="C317" i="3"/>
  <c r="I317" i="3" s="1"/>
  <c r="J317" i="3" s="1"/>
  <c r="AP317" i="3"/>
  <c r="I248" i="8"/>
  <c r="E248" i="8"/>
  <c r="J248" i="8" s="1"/>
  <c r="U248" i="8" s="1"/>
  <c r="E317" i="3"/>
  <c r="U317" i="3" s="1"/>
  <c r="K1" i="2"/>
  <c r="C4" i="4" s="1"/>
  <c r="AN316" i="3"/>
  <c r="AN5" i="3" s="1"/>
  <c r="AI5" i="3"/>
  <c r="AP316" i="3"/>
  <c r="Y5" i="3"/>
  <c r="I316" i="3"/>
  <c r="J316" i="3" s="1"/>
  <c r="E316" i="3"/>
  <c r="M312" i="2"/>
  <c r="U316" i="3"/>
  <c r="AO247" i="8"/>
  <c r="AO5" i="8" s="1"/>
  <c r="I247" i="8"/>
  <c r="E247" i="8"/>
  <c r="J247" i="8" s="1"/>
  <c r="U247" i="8" s="1"/>
  <c r="I246" i="8"/>
  <c r="E246" i="8"/>
  <c r="J246" i="8" s="1"/>
  <c r="U246" i="8" s="1"/>
  <c r="AR246" i="8" s="1"/>
  <c r="AP315" i="3"/>
  <c r="K5" i="3"/>
  <c r="M315" i="3"/>
  <c r="M5" i="3" s="1"/>
  <c r="F5" i="3"/>
  <c r="H315" i="3"/>
  <c r="H5" i="3" s="1"/>
  <c r="C5" i="3"/>
  <c r="I315" i="3"/>
  <c r="E315" i="3"/>
  <c r="J1" i="2"/>
  <c r="C3" i="4" s="1"/>
  <c r="M311" i="2"/>
  <c r="E4" i="9"/>
  <c r="H4" i="1" s="1"/>
  <c r="D5" i="9"/>
  <c r="AP314" i="3"/>
  <c r="I314" i="3"/>
  <c r="J314" i="3" s="1"/>
  <c r="E314" i="3"/>
  <c r="U314" i="3" s="1"/>
  <c r="I313" i="3"/>
  <c r="E313" i="3"/>
  <c r="C5" i="9"/>
  <c r="C7" i="9" s="1"/>
  <c r="E3" i="9"/>
  <c r="M245" i="8"/>
  <c r="H245" i="8"/>
  <c r="H5" i="8" s="1"/>
  <c r="F5" i="8"/>
  <c r="I245" i="8"/>
  <c r="E245" i="8"/>
  <c r="C5" i="8"/>
  <c r="N184" i="4" l="1"/>
  <c r="AS325" i="3"/>
  <c r="AP5" i="3"/>
  <c r="AR255" i="8"/>
  <c r="M252" i="8"/>
  <c r="K5" i="8"/>
  <c r="AR181" i="8"/>
  <c r="D7" i="9"/>
  <c r="D5" i="4"/>
  <c r="D7" i="4" s="1"/>
  <c r="E4" i="4"/>
  <c r="H3" i="1" s="1"/>
  <c r="H5" i="1" s="1"/>
  <c r="E6" i="4"/>
  <c r="I3" i="1" s="1"/>
  <c r="I5" i="1" s="1"/>
  <c r="AS317" i="3"/>
  <c r="AR248" i="8"/>
  <c r="I5" i="8"/>
  <c r="AS316" i="3"/>
  <c r="AR247" i="8"/>
  <c r="J315" i="3"/>
  <c r="I5" i="3"/>
  <c r="U315" i="3"/>
  <c r="AS315" i="3" s="1"/>
  <c r="C5" i="4"/>
  <c r="C7" i="4" s="1"/>
  <c r="E3" i="4"/>
  <c r="AS314" i="3"/>
  <c r="J313" i="3"/>
  <c r="E5" i="3"/>
  <c r="U313" i="3"/>
  <c r="G4" i="1"/>
  <c r="E5" i="9"/>
  <c r="E7" i="9" s="1"/>
  <c r="J245" i="8"/>
  <c r="E5" i="8"/>
  <c r="M5" i="8" l="1"/>
  <c r="U252" i="8"/>
  <c r="AR252" i="8" s="1"/>
  <c r="C5" i="1"/>
  <c r="E2" i="3"/>
  <c r="E5" i="4"/>
  <c r="E7" i="4" s="1"/>
  <c r="G3" i="1"/>
  <c r="G5" i="1" s="1"/>
  <c r="J5" i="3"/>
  <c r="AS313" i="3"/>
  <c r="AS5" i="3" s="1"/>
  <c r="D2" i="3" s="1"/>
  <c r="U5" i="3"/>
  <c r="J5" i="8"/>
  <c r="U245" i="8"/>
  <c r="U5" i="8" l="1"/>
  <c r="F2" i="3"/>
  <c r="C4" i="1"/>
  <c r="AR245" i="8"/>
  <c r="AR5" i="8" s="1"/>
  <c r="D2" i="8" s="1"/>
  <c r="F2" i="8" s="1"/>
  <c r="C6" i="1" l="1"/>
  <c r="C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8DD6C91C-FEFD-48CB-83A1-F9866FBCD2B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Supplier balance = (Cash in from both stations) − (Opening + COGS both stations) + Rounding. Positive = supplier owes us.</t>
        </r>
      </text>
    </comment>
    <comment ref="C9" authorId="0" shapeId="0" xr:uid="{5EB9FE10-75EF-41B8-A964-A1254B4FC0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Small reconciliation residual ($113) — likely accumulated rounding across the daily ledger. Previously hidden as a magic number inside C8.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R76" authorId="0" shapeId="0" xr:uid="{4FC75A9C-3D31-4420-A040-883BC2CC2D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Negative daily net is correct: this row records a one-time $6,000 annual rent payment to Ali against only $254 of sales that day. Not a data error.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<sst xmlns="http://schemas.openxmlformats.org/spreadsheetml/2006/main" count="967" uniqueCount="241">
  <si>
    <t>Account</t>
  </si>
  <si>
    <t>Value</t>
  </si>
  <si>
    <t>Opening Balance</t>
  </si>
  <si>
    <t>NET IN HALBA</t>
  </si>
  <si>
    <t>Cost of Stock HALBA</t>
  </si>
  <si>
    <t>NET IN TEKRIT</t>
  </si>
  <si>
    <t>Cost of Stock TEKRIT</t>
  </si>
  <si>
    <t>Initial Odo</t>
  </si>
  <si>
    <t>Sales In Liters</t>
  </si>
  <si>
    <t>Date</t>
  </si>
  <si>
    <t>At new Pricing</t>
  </si>
  <si>
    <t>Benzine 1 A</t>
  </si>
  <si>
    <t>Benzine 1 B</t>
  </si>
  <si>
    <t>Benzine 2 A</t>
  </si>
  <si>
    <t>Benzine B</t>
  </si>
  <si>
    <t>Mezout A</t>
  </si>
  <si>
    <t>Mezout B</t>
  </si>
  <si>
    <t>NOTHING HERE</t>
  </si>
  <si>
    <t>Benzine 1</t>
  </si>
  <si>
    <t>Benzine 2</t>
  </si>
  <si>
    <t>Mezout</t>
  </si>
  <si>
    <t>total</t>
  </si>
  <si>
    <t xml:space="preserve"> Pre Price</t>
  </si>
  <si>
    <t xml:space="preserve"> Post Price</t>
  </si>
  <si>
    <t>Pre Price</t>
  </si>
  <si>
    <t>Post Price</t>
  </si>
  <si>
    <t>Pro Price</t>
  </si>
  <si>
    <t xml:space="preserve">IN - Net </t>
  </si>
  <si>
    <t>Total Purchases</t>
  </si>
  <si>
    <t>Balance</t>
  </si>
  <si>
    <t>CASH IN</t>
  </si>
  <si>
    <t>OUT</t>
  </si>
  <si>
    <t>NET</t>
  </si>
  <si>
    <t>TOTAL</t>
  </si>
  <si>
    <t>BENZINE</t>
  </si>
  <si>
    <t>MEZOUT</t>
  </si>
  <si>
    <t>OTHER</t>
  </si>
  <si>
    <t>PURCHASES</t>
  </si>
  <si>
    <t>EXPENSES</t>
  </si>
  <si>
    <t>Price Change</t>
  </si>
  <si>
    <t>Benzine 1 L</t>
  </si>
  <si>
    <t>Benzine 1 P</t>
  </si>
  <si>
    <t>Total Benzine 1</t>
  </si>
  <si>
    <t>Benzine 2 L</t>
  </si>
  <si>
    <t>Benzine 2 P</t>
  </si>
  <si>
    <t>Total Benzine 2</t>
  </si>
  <si>
    <t>Total Benzine L (1+2)</t>
  </si>
  <si>
    <t>Total Benzine $</t>
  </si>
  <si>
    <t>Mezout L</t>
  </si>
  <si>
    <t>Mezout P</t>
  </si>
  <si>
    <t>Total Mezout</t>
  </si>
  <si>
    <t>Oil</t>
  </si>
  <si>
    <t>Wash</t>
  </si>
  <si>
    <t>Gaz</t>
  </si>
  <si>
    <t>Fragrence</t>
  </si>
  <si>
    <t>Kiosk</t>
  </si>
  <si>
    <t>Payments</t>
  </si>
  <si>
    <t>Coupon</t>
  </si>
  <si>
    <t>Total IN</t>
  </si>
  <si>
    <t>Debts</t>
  </si>
  <si>
    <t>Internal Sale</t>
  </si>
  <si>
    <t>Coupons</t>
  </si>
  <si>
    <t>Difference</t>
  </si>
  <si>
    <t>Purchase Oil</t>
  </si>
  <si>
    <t>Purchase Kiosk</t>
  </si>
  <si>
    <t>Purchase Gaz</t>
  </si>
  <si>
    <t>Other Purchases</t>
  </si>
  <si>
    <t xml:space="preserve">PMNT - Rent </t>
  </si>
  <si>
    <t>Salaries</t>
  </si>
  <si>
    <t>R&amp;M</t>
  </si>
  <si>
    <t xml:space="preserve">Utilities </t>
  </si>
  <si>
    <t>Client Satisfaction</t>
  </si>
  <si>
    <t>Tips</t>
  </si>
  <si>
    <t>New Assets</t>
  </si>
  <si>
    <t>Other</t>
  </si>
  <si>
    <t>Total Expense</t>
  </si>
  <si>
    <t>Profit Sharing</t>
  </si>
  <si>
    <t>Total OUT</t>
  </si>
  <si>
    <t>Notes</t>
  </si>
  <si>
    <t>Daily Total</t>
  </si>
  <si>
    <t>Glass instalments (150) , Municipality (15)</t>
  </si>
  <si>
    <t>Klinex</t>
  </si>
  <si>
    <t>Kiosk Paint</t>
  </si>
  <si>
    <t>Mezout tank hatch repair and hoover purchase</t>
  </si>
  <si>
    <t>Electricity ishtirak</t>
  </si>
  <si>
    <t>Electricity Bill</t>
  </si>
  <si>
    <t>Delivery pick up Paint + municipality</t>
  </si>
  <si>
    <t>Mezout purch from abou Charbel (sold on the sopt / paid thru debt)</t>
  </si>
  <si>
    <t>Electricity Generator</t>
  </si>
  <si>
    <t>Utilities: Mezout - Asset: Deffeye and water</t>
  </si>
  <si>
    <t>Diesel for Pickup</t>
  </si>
  <si>
    <t>Christmas Chocolate and Decoration</t>
  </si>
  <si>
    <t>Prinitng Sationary for Christmas</t>
  </si>
  <si>
    <t>Tony's Salary</t>
  </si>
  <si>
    <t>air pressure gauge for tekrit, 2 Bateries to tekrit (from oil stock sheet)</t>
  </si>
  <si>
    <t>Utilities: mezout for generator + municipality</t>
  </si>
  <si>
    <t>R&amp;M: Preparing oil Change Joura, New Assets: Rfouf</t>
  </si>
  <si>
    <t>Jano's First Transfer included</t>
  </si>
  <si>
    <t xml:space="preserve">OUT </t>
  </si>
  <si>
    <t>IN</t>
  </si>
  <si>
    <t>Type</t>
  </si>
  <si>
    <t>Initial</t>
  </si>
  <si>
    <t>Out</t>
  </si>
  <si>
    <t>In</t>
  </si>
  <si>
    <t>Current</t>
  </si>
  <si>
    <t>Benzine Backup</t>
  </si>
  <si>
    <t>Price</t>
  </si>
  <si>
    <t>Total</t>
  </si>
  <si>
    <t>Total Benzine</t>
  </si>
  <si>
    <t xml:space="preserve">GRAND TOTAL </t>
  </si>
  <si>
    <t>Return to tank</t>
  </si>
  <si>
    <t>Item Type</t>
  </si>
  <si>
    <t>In Stock</t>
  </si>
  <si>
    <t>Sold</t>
  </si>
  <si>
    <t>Restocked</t>
  </si>
  <si>
    <t>Item Name</t>
  </si>
  <si>
    <t>Qty Sold</t>
  </si>
  <si>
    <t>Qty Restocked</t>
  </si>
  <si>
    <t>Kraft max ATF red</t>
  </si>
  <si>
    <t>Shmol 10w-40</t>
  </si>
  <si>
    <t>Shmol 5w-30</t>
  </si>
  <si>
    <t>hitek 20w-50</t>
  </si>
  <si>
    <t>Shmol 20w-50</t>
  </si>
  <si>
    <t>Shmol ATF</t>
  </si>
  <si>
    <t>hitek ATF</t>
  </si>
  <si>
    <t>Morse</t>
  </si>
  <si>
    <t>oil filter</t>
  </si>
  <si>
    <t>hitek 10w-40</t>
  </si>
  <si>
    <t>euro Golf dot 3</t>
  </si>
  <si>
    <t>Kraft max ATF synthetic white</t>
  </si>
  <si>
    <t>Castrol 10w-40</t>
  </si>
  <si>
    <t>Kraft max injector cleaner</t>
  </si>
  <si>
    <t>Kraft max Gasoline plus</t>
  </si>
  <si>
    <t>Castrol 20w-50</t>
  </si>
  <si>
    <t>Castrol 5w-30</t>
  </si>
  <si>
    <t>Castrol 10w-40 4L</t>
  </si>
  <si>
    <t>Castrol 20w-50 4L</t>
  </si>
  <si>
    <t>Castrol Mag 5w-30</t>
  </si>
  <si>
    <t>Castrol Mag 5w-30 4L</t>
  </si>
  <si>
    <t>Max-x 10w-40</t>
  </si>
  <si>
    <t>LBK Dot3</t>
  </si>
  <si>
    <t>Max-x 15w-40</t>
  </si>
  <si>
    <t>Max-x 20w-50</t>
  </si>
  <si>
    <t>Sure guard anitfreeze</t>
  </si>
  <si>
    <t>wipers</t>
  </si>
  <si>
    <t>Battery 45AMP</t>
  </si>
  <si>
    <t>Battery 55AMP</t>
  </si>
  <si>
    <t>Battery 70AMP</t>
  </si>
  <si>
    <t>Battery L3</t>
  </si>
  <si>
    <t>Battery L4</t>
  </si>
  <si>
    <t>Battery L5</t>
  </si>
  <si>
    <t>Shampion 10w-40</t>
  </si>
  <si>
    <t>Shampion 20w-50</t>
  </si>
  <si>
    <t>Shampion 50w-40</t>
  </si>
  <si>
    <t>Shampion ATF</t>
  </si>
  <si>
    <t>Oil filter 1$</t>
  </si>
  <si>
    <t>Coolant pre mixed</t>
  </si>
  <si>
    <t>Shampion Antifreeze</t>
  </si>
  <si>
    <t>Wipers</t>
  </si>
  <si>
    <t>Availabe stock in USD</t>
  </si>
  <si>
    <t>Column1</t>
  </si>
  <si>
    <t>Column2</t>
  </si>
  <si>
    <t>Column3</t>
  </si>
  <si>
    <t>Column4</t>
  </si>
  <si>
    <t>Available</t>
  </si>
  <si>
    <t>Restock</t>
  </si>
  <si>
    <t>Current Gaz Stock</t>
  </si>
  <si>
    <t>Unit Price</t>
  </si>
  <si>
    <t>Stock Value</t>
  </si>
  <si>
    <t xml:space="preserve">TOTAL </t>
  </si>
  <si>
    <t>Benzine 2 B</t>
  </si>
  <si>
    <t>(500 Liters internal transfer)</t>
  </si>
  <si>
    <t>3-4 Jan</t>
  </si>
  <si>
    <t xml:space="preserve">CASH OUT </t>
  </si>
  <si>
    <t>Jarret Gaz, return to the tank due to pump repair (26)</t>
  </si>
  <si>
    <t>دفتر فواتير</t>
  </si>
  <si>
    <t>Municipality</t>
  </si>
  <si>
    <t>سحب من المحطة تجريب فرد</t>
  </si>
  <si>
    <t>سحب من المحطة تجريب فرد وتحويل من خزان لخزان</t>
  </si>
  <si>
    <t>3-Jan and 4-Jan</t>
  </si>
  <si>
    <t>Maintenance</t>
  </si>
  <si>
    <t>Other: Maintenance</t>
  </si>
  <si>
    <t>initial</t>
  </si>
  <si>
    <t>out</t>
  </si>
  <si>
    <t>in</t>
  </si>
  <si>
    <t>Cost internal Sales</t>
  </si>
  <si>
    <t>Internal Purchase from Halba</t>
  </si>
  <si>
    <t>internal transfer within tekrit</t>
  </si>
  <si>
    <t>Retun due to Maintenance</t>
  </si>
  <si>
    <t>Internal transfer from Halba (coupons)</t>
  </si>
  <si>
    <t>internal transfer from Halba</t>
  </si>
  <si>
    <t>#REF!</t>
  </si>
  <si>
    <t>Stock</t>
  </si>
  <si>
    <t>Sales</t>
  </si>
  <si>
    <t>Purchases</t>
  </si>
  <si>
    <t>New Assets: Oil Umbrella</t>
  </si>
  <si>
    <t>Client Satisfaction: Klinex</t>
  </si>
  <si>
    <t>Maintenance Benzine pump (qty returned to stock)</t>
  </si>
  <si>
    <t>Item</t>
  </si>
  <si>
    <t>9-Feb</t>
  </si>
  <si>
    <t>11-Feb</t>
  </si>
  <si>
    <t xml:space="preserve">dot 3 </t>
  </si>
  <si>
    <t>Payment: 20K from Jano</t>
  </si>
  <si>
    <t>Rent: one year rent for Ali</t>
  </si>
  <si>
    <t>17-Feb</t>
  </si>
  <si>
    <t>20-Feb</t>
  </si>
  <si>
    <t>Castrol Mag 10w-40</t>
  </si>
  <si>
    <t>25-Feb</t>
  </si>
  <si>
    <t>7-Mar</t>
  </si>
  <si>
    <t>Halba</t>
  </si>
  <si>
    <t>Tekrit</t>
  </si>
  <si>
    <t>Station</t>
  </si>
  <si>
    <t>Difference: Payed by Hanna prior to get mezout on coupns</t>
  </si>
  <si>
    <t>Payment: 500$ from Jano</t>
  </si>
  <si>
    <t>GENERAL BALANCE to Supplier</t>
  </si>
  <si>
    <t>23-Mar</t>
  </si>
  <si>
    <t>Fuel Stock value-Debts</t>
  </si>
  <si>
    <t>Utilities: Internet 3 months</t>
  </si>
  <si>
    <t>transportation fees to hanna for benzine coupons</t>
  </si>
  <si>
    <t>6-Apr</t>
  </si>
  <si>
    <t>Oil stock Value</t>
  </si>
  <si>
    <t>internal transfer</t>
  </si>
  <si>
    <t>within halba 500, to tekrit 3000</t>
  </si>
  <si>
    <t>internal transfer from halba</t>
  </si>
  <si>
    <t>direct sale to Saleh</t>
  </si>
  <si>
    <t>14-Apr</t>
  </si>
  <si>
    <t>internal transfer from tekrit</t>
  </si>
  <si>
    <t>Electricity bill dawle and pickup maintenance</t>
  </si>
  <si>
    <t>coupons</t>
  </si>
  <si>
    <t>OTHER: tenfis makana</t>
  </si>
  <si>
    <t>Rounding / Unexplained</t>
  </si>
  <si>
    <t>Opening Balance (DUE TO SUPPLIER)</t>
  </si>
  <si>
    <t>meslmani</t>
  </si>
  <si>
    <t>Difference: after auditing with Hanna</t>
  </si>
  <si>
    <t>internet bill</t>
  </si>
  <si>
    <t>New asset: water cooler</t>
  </si>
  <si>
    <t>28-Jun</t>
  </si>
  <si>
    <t>Magic plus 15-40</t>
  </si>
  <si>
    <t>Shampion 15-40</t>
  </si>
  <si>
    <t>6272$ as payments from Hanna's balance: today's ghalle: 6161$</t>
  </si>
  <si>
    <t>500 liters mezout to tekrit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</si>
</sst>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_(* #,##0_);_(* \(#,##0\);_(* &quot;-&quot;??_);_(@_)"/>
    <numFmt numFmtId="167" formatCode="[$-409]d\-mmm\-yy"/>
    <numFmt numFmtId="168" formatCode="&quot;$&quot;#,##0.0000"/>
    <numFmt numFmtId="169" formatCode="[$USD]\ #,##0.00_);\([$USD]\ #,##0.00\)"/>
    <numFmt numFmtId="170" formatCode="&quot;$&quot;#,##0.0"/>
  </numFmts>
  <fonts count="37" x14ac:knownFonts="1">
    <font>
      <sz val="11"/>
      <color theme="1"/>
      <name val="Calibri"/>
      <scheme val="minor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b/>
      <sz val="12"/>
      <color rgb="FFDEEAF6"/>
      <name val="Times New Roman"/>
      <family val="1"/>
    </font>
    <font>
      <sz val="12"/>
      <color rgb="FFDEEAF6"/>
      <name val="Times New Roman"/>
      <family val="1"/>
    </font>
    <font>
      <b/>
      <sz val="12"/>
      <color rgb="FFC00000"/>
      <name val="Times New Roman"/>
      <family val="1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C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2"/>
      <color rgb="FF8B0000"/>
      <name val="Times New Roman"/>
      <family val="1"/>
    </font>
    <font>
      <sz val="12"/>
      <color rgb="FF8B000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2"/>
      <name val="Times New Roman"/>
      <family val="1"/>
    </font>
    <font>
      <sz val="14"/>
      <color theme="2"/>
      <name val="Times New Roman"/>
      <family val="1"/>
    </font>
    <font>
      <sz val="11"/>
      <color theme="1"/>
      <name val="Times New Roman"/>
      <family val="1"/>
    </font>
    <font>
      <b/>
      <sz val="14"/>
      <color rgb="FFFFFFFF"/>
      <name val="Times New Roman"/>
    </font>
    <font>
      <b/>
      <i/>
      <sz val="11"/>
      <color rgb="FF595959"/>
      <name val="Times New Roman"/>
    </font>
    <font>
      <i/>
      <sz val="11"/>
      <color rgb="FF595959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0"/>
      <name val="Times New Roman"/>
      <family val="1"/>
    </font>
    <font>
      <b/>
      <sz val="14"/>
      <color rgb="FFC00000"/>
      <name val="Times New Roman"/>
      <family val="1"/>
    </font>
    <font>
      <sz val="14"/>
      <name val="Calibri"/>
      <family val="2"/>
    </font>
    <font>
      <b/>
      <sz val="14"/>
      <color rgb="FF000000"/>
      <name val="Times New Roman"/>
      <family val="1"/>
    </font>
    <font>
      <b/>
      <sz val="11"/>
      <name val="Times New Roman"/>
      <family val="1"/>
    </font>
    <font>
      <b/>
      <sz val="12"/>
      <color theme="2"/>
      <name val="Times New Roman"/>
      <family val="1"/>
    </font>
    <font>
      <b/>
      <sz val="11"/>
      <color theme="2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ADB9CA"/>
        <bgColor rgb="FFADB9CA"/>
      </patternFill>
    </fill>
    <fill>
      <patternFill patternType="solid">
        <fgColor rgb="FF333F4F"/>
        <bgColor rgb="FF333F4F"/>
      </patternFill>
    </fill>
    <fill>
      <patternFill patternType="solid">
        <fgColor rgb="FF595959"/>
        <bgColor rgb="FF595959"/>
      </patternFill>
    </fill>
    <fill>
      <patternFill patternType="solid">
        <fgColor theme="4"/>
        <bgColor theme="4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B7B7B7"/>
        <bgColor rgb="FFB7B7B7"/>
      </patternFill>
    </fill>
    <fill>
      <patternFill patternType="solid">
        <fgColor rgb="FFDAAEC5"/>
        <bgColor rgb="FFDAAEC5"/>
      </patternFill>
    </fill>
    <fill>
      <patternFill patternType="solid">
        <fgColor rgb="FFDEEAF6"/>
        <bgColor rgb="FFDEEAF6"/>
      </patternFill>
    </fill>
    <fill>
      <patternFill patternType="solid">
        <fgColor rgb="FFD6DCE4"/>
        <bgColor rgb="FFD6DCE4"/>
      </patternFill>
    </fill>
    <fill>
      <patternFill patternType="solid">
        <fgColor rgb="FFFF8585"/>
        <bgColor rgb="FFFF8585"/>
      </patternFill>
    </fill>
    <fill>
      <patternFill patternType="solid">
        <fgColor rgb="FF00CC66"/>
        <bgColor rgb="FF00CC66"/>
      </patternFill>
    </fill>
    <fill>
      <patternFill patternType="solid">
        <fgColor rgb="FF00A46D"/>
        <bgColor rgb="FF00A46D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AEC5"/>
        <bgColor indexed="64"/>
      </patternFill>
    </fill>
    <fill>
      <patternFill patternType="solid">
        <fgColor rgb="FFDAAEC5"/>
        <bgColor rgb="FFDEEAF6"/>
      </patternFill>
    </fill>
    <fill>
      <patternFill patternType="solid">
        <fgColor rgb="FFFF85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4998626667073579"/>
        <bgColor rgb="FF999999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00A4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EEAF6"/>
      </patternFill>
    </fill>
    <fill>
      <patternFill patternType="solid">
        <fgColor theme="0"/>
        <bgColor rgb="FF333F4F"/>
      </patternFill>
    </fill>
    <fill>
      <patternFill patternType="solid">
        <fgColor rgb="FF8EAADB"/>
        <bgColor indexed="64"/>
      </patternFill>
    </fill>
    <fill>
      <patternFill patternType="solid">
        <fgColor rgb="FFFFFFFF"/>
        <bgColor indexed="64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16" fontId="5" fillId="0" borderId="0" xfId="0" applyNumberFormat="1" applyFont="1"/>
    <xf numFmtId="0" fontId="2" fillId="0" borderId="0" xfId="0" applyFont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6" fontId="2" fillId="0" borderId="0" xfId="0" applyNumberFormat="1" applyFont="1" applyAlignment="1">
      <alignment horizontal="center" wrapText="1"/>
    </xf>
    <xf numFmtId="164" fontId="1" fillId="7" borderId="1" xfId="0" applyNumberFormat="1" applyFont="1" applyFill="1" applyBorder="1"/>
    <xf numFmtId="164" fontId="5" fillId="0" borderId="0" xfId="0" applyNumberFormat="1" applyFont="1"/>
    <xf numFmtId="165" fontId="5" fillId="0" borderId="0" xfId="0" applyNumberFormat="1" applyFont="1"/>
    <xf numFmtId="0" fontId="8" fillId="0" borderId="0" xfId="0" applyFont="1"/>
    <xf numFmtId="0" fontId="5" fillId="8" borderId="5" xfId="0" applyFont="1" applyFill="1" applyBorder="1"/>
    <xf numFmtId="0" fontId="8" fillId="8" borderId="5" xfId="0" applyFont="1" applyFill="1" applyBorder="1"/>
    <xf numFmtId="0" fontId="2" fillId="10" borderId="5" xfId="0" applyFont="1" applyFill="1" applyBorder="1" applyAlignment="1">
      <alignment horizontal="center" vertical="center"/>
    </xf>
    <xf numFmtId="166" fontId="8" fillId="11" borderId="7" xfId="0" applyNumberFormat="1" applyFont="1" applyFill="1" applyBorder="1"/>
    <xf numFmtId="164" fontId="8" fillId="11" borderId="7" xfId="0" applyNumberFormat="1" applyFont="1" applyFill="1" applyBorder="1"/>
    <xf numFmtId="164" fontId="8" fillId="11" borderId="1" xfId="0" applyNumberFormat="1" applyFont="1" applyFill="1" applyBorder="1"/>
    <xf numFmtId="42" fontId="8" fillId="11" borderId="1" xfId="0" applyNumberFormat="1" applyFont="1" applyFill="1" applyBorder="1"/>
    <xf numFmtId="164" fontId="8" fillId="11" borderId="8" xfId="0" applyNumberFormat="1" applyFont="1" applyFill="1" applyBorder="1"/>
    <xf numFmtId="0" fontId="8" fillId="0" borderId="1" xfId="0" applyFont="1" applyBorder="1"/>
    <xf numFmtId="0" fontId="2" fillId="5" borderId="16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49" fontId="2" fillId="14" borderId="7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49" fontId="10" fillId="15" borderId="1" xfId="0" applyNumberFormat="1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165" fontId="2" fillId="16" borderId="1" xfId="0" applyNumberFormat="1" applyFont="1" applyFill="1" applyBorder="1" applyAlignment="1">
      <alignment horizontal="center" vertical="center" wrapText="1"/>
    </xf>
    <xf numFmtId="49" fontId="2" fillId="16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vertical="center"/>
    </xf>
    <xf numFmtId="167" fontId="5" fillId="4" borderId="20" xfId="0" applyNumberFormat="1" applyFont="1" applyFill="1" applyBorder="1" applyAlignment="1">
      <alignment vertical="center"/>
    </xf>
    <xf numFmtId="166" fontId="5" fillId="5" borderId="21" xfId="0" applyNumberFormat="1" applyFont="1" applyFill="1" applyBorder="1" applyAlignment="1">
      <alignment vertical="center"/>
    </xf>
    <xf numFmtId="168" fontId="5" fillId="5" borderId="1" xfId="0" applyNumberFormat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/>
    </xf>
    <xf numFmtId="166" fontId="5" fillId="5" borderId="1" xfId="0" applyNumberFormat="1" applyFont="1" applyFill="1" applyBorder="1" applyAlignment="1">
      <alignment vertical="center"/>
    </xf>
    <xf numFmtId="164" fontId="5" fillId="5" borderId="22" xfId="0" applyNumberFormat="1" applyFont="1" applyFill="1" applyBorder="1" applyAlignment="1">
      <alignment vertical="center"/>
    </xf>
    <xf numFmtId="166" fontId="5" fillId="12" borderId="23" xfId="0" applyNumberFormat="1" applyFont="1" applyFill="1" applyBorder="1" applyAlignment="1">
      <alignment vertical="center"/>
    </xf>
    <xf numFmtId="168" fontId="5" fillId="12" borderId="1" xfId="0" applyNumberFormat="1" applyFont="1" applyFill="1" applyBorder="1" applyAlignment="1">
      <alignment vertical="center"/>
    </xf>
    <xf numFmtId="164" fontId="5" fillId="12" borderId="1" xfId="0" applyNumberFormat="1" applyFont="1" applyFill="1" applyBorder="1" applyAlignment="1">
      <alignment vertical="center"/>
    </xf>
    <xf numFmtId="165" fontId="5" fillId="2" borderId="1" xfId="0" applyNumberFormat="1" applyFont="1" applyFill="1" applyBorder="1" applyAlignment="1">
      <alignment vertical="center"/>
    </xf>
    <xf numFmtId="164" fontId="5" fillId="2" borderId="24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164" fontId="5" fillId="14" borderId="1" xfId="0" applyNumberFormat="1" applyFont="1" applyFill="1" applyBorder="1" applyAlignment="1">
      <alignment vertical="center"/>
    </xf>
    <xf numFmtId="164" fontId="5" fillId="15" borderId="23" xfId="0" applyNumberFormat="1" applyFont="1" applyFill="1" applyBorder="1" applyAlignment="1">
      <alignment vertical="center"/>
    </xf>
    <xf numFmtId="164" fontId="5" fillId="15" borderId="1" xfId="0" applyNumberFormat="1" applyFont="1" applyFill="1" applyBorder="1" applyAlignment="1">
      <alignment vertical="center"/>
    </xf>
    <xf numFmtId="164" fontId="2" fillId="15" borderId="1" xfId="0" applyNumberFormat="1" applyFont="1" applyFill="1" applyBorder="1" applyAlignment="1">
      <alignment vertical="center"/>
    </xf>
    <xf numFmtId="164" fontId="5" fillId="16" borderId="1" xfId="0" applyNumberFormat="1" applyFont="1" applyFill="1" applyBorder="1" applyAlignment="1">
      <alignment vertical="center"/>
    </xf>
    <xf numFmtId="164" fontId="2" fillId="16" borderId="1" xfId="0" applyNumberFormat="1" applyFont="1" applyFill="1" applyBorder="1" applyAlignment="1">
      <alignment vertical="center"/>
    </xf>
    <xf numFmtId="164" fontId="2" fillId="17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4" fontId="2" fillId="19" borderId="5" xfId="0" applyNumberFormat="1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164" fontId="5" fillId="15" borderId="19" xfId="0" applyNumberFormat="1" applyFont="1" applyFill="1" applyBorder="1" applyAlignment="1">
      <alignment vertical="center"/>
    </xf>
    <xf numFmtId="164" fontId="5" fillId="15" borderId="7" xfId="0" applyNumberFormat="1" applyFont="1" applyFill="1" applyBorder="1" applyAlignment="1">
      <alignment vertical="center"/>
    </xf>
    <xf numFmtId="164" fontId="5" fillId="16" borderId="7" xfId="0" applyNumberFormat="1" applyFont="1" applyFill="1" applyBorder="1" applyAlignment="1">
      <alignment vertical="center"/>
    </xf>
    <xf numFmtId="0" fontId="5" fillId="0" borderId="25" xfId="0" applyFont="1" applyBorder="1" applyAlignment="1">
      <alignment vertical="center"/>
    </xf>
    <xf numFmtId="164" fontId="11" fillId="14" borderId="1" xfId="0" applyNumberFormat="1" applyFont="1" applyFill="1" applyBorder="1" applyAlignment="1">
      <alignment vertical="center"/>
    </xf>
    <xf numFmtId="0" fontId="5" fillId="4" borderId="2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14" borderId="1" xfId="0" applyFont="1" applyFill="1" applyBorder="1"/>
    <xf numFmtId="0" fontId="5" fillId="0" borderId="1" xfId="0" applyFont="1" applyBorder="1"/>
    <xf numFmtId="164" fontId="2" fillId="19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166" fontId="5" fillId="12" borderId="1" xfId="0" applyNumberFormat="1" applyFont="1" applyFill="1" applyBorder="1" applyAlignment="1">
      <alignment vertical="center"/>
    </xf>
    <xf numFmtId="166" fontId="5" fillId="5" borderId="26" xfId="0" applyNumberFormat="1" applyFont="1" applyFill="1" applyBorder="1" applyAlignment="1">
      <alignment vertical="center"/>
    </xf>
    <xf numFmtId="0" fontId="5" fillId="14" borderId="7" xfId="0" applyFont="1" applyFill="1" applyBorder="1"/>
    <xf numFmtId="164" fontId="2" fillId="15" borderId="7" xfId="0" applyNumberFormat="1" applyFont="1" applyFill="1" applyBorder="1" applyAlignment="1">
      <alignment vertical="center"/>
    </xf>
    <xf numFmtId="164" fontId="2" fillId="16" borderId="7" xfId="0" applyNumberFormat="1" applyFont="1" applyFill="1" applyBorder="1" applyAlignment="1">
      <alignment vertical="center"/>
    </xf>
    <xf numFmtId="164" fontId="2" fillId="17" borderId="7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vertical="center"/>
    </xf>
    <xf numFmtId="16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0" fillId="15" borderId="1" xfId="0" applyFont="1" applyFill="1" applyBorder="1" applyAlignment="1">
      <alignment vertical="center"/>
    </xf>
    <xf numFmtId="166" fontId="10" fillId="15" borderId="1" xfId="0" applyNumberFormat="1" applyFont="1" applyFill="1" applyBorder="1" applyAlignment="1">
      <alignment vertical="center"/>
    </xf>
    <xf numFmtId="43" fontId="5" fillId="0" borderId="0" xfId="0" applyNumberFormat="1" applyFont="1"/>
    <xf numFmtId="16" fontId="5" fillId="0" borderId="4" xfId="0" applyNumberFormat="1" applyFont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166" fontId="5" fillId="0" borderId="0" xfId="0" applyNumberFormat="1" applyFont="1"/>
    <xf numFmtId="0" fontId="2" fillId="0" borderId="27" xfId="0" applyFont="1" applyBorder="1" applyAlignment="1">
      <alignment horizontal="center" vertical="center"/>
    </xf>
    <xf numFmtId="166" fontId="2" fillId="0" borderId="28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4" xfId="0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169" fontId="5" fillId="0" borderId="1" xfId="0" applyNumberFormat="1" applyFont="1" applyBorder="1" applyAlignment="1">
      <alignment horizontal="left" vertical="center"/>
    </xf>
    <xf numFmtId="166" fontId="5" fillId="0" borderId="2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4" xfId="0" applyFont="1" applyBorder="1"/>
    <xf numFmtId="166" fontId="5" fillId="0" borderId="2" xfId="0" applyNumberFormat="1" applyFont="1" applyBorder="1"/>
    <xf numFmtId="166" fontId="5" fillId="0" borderId="0" xfId="0" applyNumberFormat="1" applyFont="1" applyAlignment="1">
      <alignment horizontal="left"/>
    </xf>
    <xf numFmtId="0" fontId="5" fillId="0" borderId="0" xfId="0" applyFont="1" applyAlignment="1">
      <alignment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0" fontId="5" fillId="4" borderId="5" xfId="0" applyFont="1" applyFill="1" applyBorder="1"/>
    <xf numFmtId="16" fontId="5" fillId="0" borderId="27" xfId="0" applyNumberFormat="1" applyFont="1" applyBorder="1" applyAlignment="1">
      <alignment horizontal="center" vertical="center"/>
    </xf>
    <xf numFmtId="165" fontId="5" fillId="0" borderId="28" xfId="0" applyNumberFormat="1" applyFont="1" applyBorder="1" applyAlignment="1">
      <alignment vertical="center"/>
    </xf>
    <xf numFmtId="165" fontId="5" fillId="0" borderId="9" xfId="0" applyNumberFormat="1" applyFont="1" applyBorder="1" applyAlignment="1">
      <alignment vertical="center"/>
    </xf>
    <xf numFmtId="16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166" fontId="5" fillId="15" borderId="1" xfId="0" applyNumberFormat="1" applyFont="1" applyFill="1" applyBorder="1"/>
    <xf numFmtId="165" fontId="5" fillId="16" borderId="1" xfId="0" applyNumberFormat="1" applyFont="1" applyFill="1" applyBorder="1" applyAlignment="1">
      <alignment vertical="center"/>
    </xf>
    <xf numFmtId="0" fontId="5" fillId="0" borderId="25" xfId="0" applyFont="1" applyBorder="1"/>
    <xf numFmtId="0" fontId="5" fillId="0" borderId="2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165" fontId="5" fillId="0" borderId="25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" fontId="5" fillId="0" borderId="4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8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" fontId="5" fillId="22" borderId="1" xfId="0" applyNumberFormat="1" applyFont="1" applyFill="1" applyBorder="1" applyAlignment="1">
      <alignment horizontal="center" vertical="center"/>
    </xf>
    <xf numFmtId="166" fontId="5" fillId="22" borderId="1" xfId="0" applyNumberFormat="1" applyFont="1" applyFill="1" applyBorder="1" applyAlignment="1">
      <alignment vertical="center"/>
    </xf>
    <xf numFmtId="168" fontId="5" fillId="22" borderId="1" xfId="0" applyNumberFormat="1" applyFont="1" applyFill="1" applyBorder="1" applyAlignment="1">
      <alignment vertical="center"/>
    </xf>
    <xf numFmtId="164" fontId="5" fillId="22" borderId="1" xfId="0" applyNumberFormat="1" applyFont="1" applyFill="1" applyBorder="1" applyAlignment="1">
      <alignment vertical="center"/>
    </xf>
    <xf numFmtId="0" fontId="5" fillId="22" borderId="1" xfId="0" applyFont="1" applyFill="1" applyBorder="1"/>
    <xf numFmtId="3" fontId="5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/>
    <xf numFmtId="166" fontId="1" fillId="0" borderId="0" xfId="0" applyNumberFormat="1" applyFont="1"/>
    <xf numFmtId="0" fontId="2" fillId="0" borderId="2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2" fillId="0" borderId="34" xfId="0" applyFont="1" applyBorder="1" applyAlignment="1">
      <alignment horizontal="left" vertical="center"/>
    </xf>
    <xf numFmtId="166" fontId="2" fillId="0" borderId="25" xfId="0" applyNumberFormat="1" applyFont="1" applyBorder="1" applyAlignment="1">
      <alignment horizontal="left" vertical="center"/>
    </xf>
    <xf numFmtId="169" fontId="2" fillId="0" borderId="25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166" fontId="5" fillId="0" borderId="25" xfId="0" applyNumberFormat="1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15" borderId="38" xfId="0" applyFont="1" applyFill="1" applyBorder="1" applyAlignment="1">
      <alignment horizontal="center" vertical="center" wrapText="1"/>
    </xf>
    <xf numFmtId="166" fontId="5" fillId="15" borderId="5" xfId="0" applyNumberFormat="1" applyFont="1" applyFill="1" applyBorder="1"/>
    <xf numFmtId="0" fontId="2" fillId="20" borderId="39" xfId="0" applyFont="1" applyFill="1" applyBorder="1" applyAlignment="1">
      <alignment horizontal="center"/>
    </xf>
    <xf numFmtId="0" fontId="2" fillId="20" borderId="40" xfId="0" applyFont="1" applyFill="1" applyBorder="1" applyAlignment="1">
      <alignment horizontal="right"/>
    </xf>
    <xf numFmtId="0" fontId="2" fillId="20" borderId="41" xfId="0" applyFont="1" applyFill="1" applyBorder="1" applyAlignment="1">
      <alignment horizontal="right"/>
    </xf>
    <xf numFmtId="0" fontId="13" fillId="0" borderId="42" xfId="0" applyFont="1" applyBorder="1" applyAlignment="1">
      <alignment vertical="center"/>
    </xf>
    <xf numFmtId="16" fontId="13" fillId="0" borderId="0" xfId="0" applyNumberFormat="1" applyFont="1"/>
    <xf numFmtId="0" fontId="13" fillId="0" borderId="0" xfId="0" applyFont="1"/>
    <xf numFmtId="167" fontId="13" fillId="23" borderId="1" xfId="0" applyNumberFormat="1" applyFont="1" applyFill="1" applyBorder="1" applyAlignment="1">
      <alignment vertical="center"/>
    </xf>
    <xf numFmtId="0" fontId="13" fillId="23" borderId="20" xfId="0" applyFont="1" applyFill="1" applyBorder="1" applyAlignment="1">
      <alignment vertical="center"/>
    </xf>
    <xf numFmtId="168" fontId="13" fillId="24" borderId="1" xfId="0" applyNumberFormat="1" applyFont="1" applyFill="1" applyBorder="1" applyAlignment="1">
      <alignment vertical="center"/>
    </xf>
    <xf numFmtId="164" fontId="13" fillId="25" borderId="42" xfId="0" applyNumberFormat="1" applyFont="1" applyFill="1" applyBorder="1" applyAlignment="1">
      <alignment vertical="center"/>
    </xf>
    <xf numFmtId="164" fontId="13" fillId="26" borderId="42" xfId="0" applyNumberFormat="1" applyFont="1" applyFill="1" applyBorder="1" applyAlignment="1">
      <alignment vertical="center"/>
    </xf>
    <xf numFmtId="164" fontId="13" fillId="15" borderId="23" xfId="0" applyNumberFormat="1" applyFont="1" applyFill="1" applyBorder="1" applyAlignment="1">
      <alignment vertical="center"/>
    </xf>
    <xf numFmtId="164" fontId="13" fillId="15" borderId="1" xfId="0" applyNumberFormat="1" applyFont="1" applyFill="1" applyBorder="1" applyAlignment="1">
      <alignment vertical="center"/>
    </xf>
    <xf numFmtId="164" fontId="14" fillId="15" borderId="1" xfId="0" applyNumberFormat="1" applyFont="1" applyFill="1" applyBorder="1" applyAlignment="1">
      <alignment vertical="center"/>
    </xf>
    <xf numFmtId="164" fontId="13" fillId="16" borderId="1" xfId="0" applyNumberFormat="1" applyFont="1" applyFill="1" applyBorder="1" applyAlignment="1">
      <alignment vertical="center"/>
    </xf>
    <xf numFmtId="164" fontId="14" fillId="16" borderId="1" xfId="0" applyNumberFormat="1" applyFont="1" applyFill="1" applyBorder="1" applyAlignment="1">
      <alignment vertical="center"/>
    </xf>
    <xf numFmtId="164" fontId="14" fillId="27" borderId="1" xfId="0" applyNumberFormat="1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164" fontId="8" fillId="0" borderId="0" xfId="0" applyNumberFormat="1" applyFont="1"/>
    <xf numFmtId="166" fontId="0" fillId="0" borderId="1" xfId="0" applyNumberFormat="1" applyBorder="1" applyAlignment="1">
      <alignment vertical="center"/>
    </xf>
    <xf numFmtId="0" fontId="5" fillId="0" borderId="42" xfId="0" applyFont="1" applyBorder="1" applyAlignment="1">
      <alignment horizontal="left" vertical="center"/>
    </xf>
    <xf numFmtId="0" fontId="6" fillId="0" borderId="42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16" fontId="5" fillId="0" borderId="42" xfId="0" applyNumberFormat="1" applyFont="1" applyBorder="1" applyAlignment="1">
      <alignment vertical="center"/>
    </xf>
    <xf numFmtId="1" fontId="5" fillId="0" borderId="42" xfId="0" applyNumberFormat="1" applyFont="1" applyBorder="1" applyAlignment="1">
      <alignment vertical="center"/>
    </xf>
    <xf numFmtId="0" fontId="2" fillId="0" borderId="42" xfId="0" applyFont="1" applyBorder="1" applyAlignment="1">
      <alignment horizontal="center" vertical="center"/>
    </xf>
    <xf numFmtId="16" fontId="5" fillId="0" borderId="42" xfId="0" applyNumberFormat="1" applyFont="1" applyBorder="1" applyAlignment="1">
      <alignment horizontal="right" vertical="center"/>
    </xf>
    <xf numFmtId="16" fontId="13" fillId="0" borderId="42" xfId="0" applyNumberFormat="1" applyFont="1" applyBorder="1" applyAlignment="1">
      <alignment vertical="center"/>
    </xf>
    <xf numFmtId="0" fontId="5" fillId="0" borderId="44" xfId="0" applyFont="1" applyBorder="1"/>
    <xf numFmtId="16" fontId="5" fillId="0" borderId="43" xfId="0" applyNumberFormat="1" applyFont="1" applyBorder="1"/>
    <xf numFmtId="0" fontId="5" fillId="0" borderId="42" xfId="0" applyFont="1" applyBorder="1"/>
    <xf numFmtId="0" fontId="0" fillId="0" borderId="0" xfId="0" applyAlignment="1">
      <alignment horizontal="center"/>
    </xf>
    <xf numFmtId="0" fontId="16" fillId="32" borderId="46" xfId="0" applyFont="1" applyFill="1" applyBorder="1" applyAlignment="1">
      <alignment horizontal="center" vertical="center" wrapText="1" readingOrder="2"/>
    </xf>
    <xf numFmtId="0" fontId="16" fillId="32" borderId="47" xfId="0" applyFont="1" applyFill="1" applyBorder="1" applyAlignment="1">
      <alignment horizontal="center" vertical="center" wrapText="1" readingOrder="2"/>
    </xf>
    <xf numFmtId="16" fontId="16" fillId="32" borderId="47" xfId="0" applyNumberFormat="1" applyFont="1" applyFill="1" applyBorder="1" applyAlignment="1">
      <alignment horizontal="center" vertical="center" wrapText="1" readingOrder="2"/>
    </xf>
    <xf numFmtId="0" fontId="15" fillId="0" borderId="0" xfId="0" applyFont="1"/>
    <xf numFmtId="0" fontId="5" fillId="32" borderId="45" xfId="0" applyFont="1" applyFill="1" applyBorder="1" applyAlignment="1">
      <alignment horizontal="left" vertical="center"/>
    </xf>
    <xf numFmtId="165" fontId="5" fillId="32" borderId="42" xfId="0" applyNumberFormat="1" applyFont="1" applyFill="1" applyBorder="1" applyAlignment="1">
      <alignment horizontal="left" vertical="center"/>
    </xf>
    <xf numFmtId="1" fontId="17" fillId="32" borderId="42" xfId="0" applyNumberFormat="1" applyFont="1" applyFill="1" applyBorder="1" applyAlignment="1">
      <alignment horizontal="center" vertical="center" wrapText="1" readingOrder="2"/>
    </xf>
    <xf numFmtId="0" fontId="5" fillId="33" borderId="45" xfId="0" applyFont="1" applyFill="1" applyBorder="1" applyAlignment="1">
      <alignment horizontal="left"/>
    </xf>
    <xf numFmtId="165" fontId="5" fillId="33" borderId="42" xfId="0" applyNumberFormat="1" applyFont="1" applyFill="1" applyBorder="1" applyAlignment="1">
      <alignment horizontal="left"/>
    </xf>
    <xf numFmtId="165" fontId="5" fillId="32" borderId="42" xfId="0" applyNumberFormat="1" applyFont="1" applyFill="1" applyBorder="1" applyAlignment="1">
      <alignment horizontal="left"/>
    </xf>
    <xf numFmtId="0" fontId="5" fillId="32" borderId="43" xfId="0" applyFont="1" applyFill="1" applyBorder="1" applyAlignment="1">
      <alignment horizontal="left" vertical="center"/>
    </xf>
    <xf numFmtId="0" fontId="5" fillId="32" borderId="44" xfId="0" applyFont="1" applyFill="1" applyBorder="1" applyAlignment="1">
      <alignment horizontal="left" vertical="center"/>
    </xf>
    <xf numFmtId="165" fontId="17" fillId="32" borderId="44" xfId="0" applyNumberFormat="1" applyFont="1" applyFill="1" applyBorder="1" applyAlignment="1">
      <alignment horizontal="right" vertical="center" wrapText="1" readingOrder="2"/>
    </xf>
    <xf numFmtId="0" fontId="0" fillId="0" borderId="44" xfId="0" applyBorder="1"/>
    <xf numFmtId="44" fontId="2" fillId="0" borderId="0" xfId="0" applyNumberFormat="1" applyFont="1" applyAlignment="1">
      <alignment horizontal="center" wrapText="1"/>
    </xf>
    <xf numFmtId="16" fontId="5" fillId="0" borderId="45" xfId="0" applyNumberFormat="1" applyFont="1" applyBorder="1"/>
    <xf numFmtId="16" fontId="5" fillId="0" borderId="25" xfId="0" applyNumberFormat="1" applyFont="1" applyBorder="1" applyAlignment="1">
      <alignment horizontal="center" vertical="center"/>
    </xf>
    <xf numFmtId="166" fontId="5" fillId="0" borderId="25" xfId="0" applyNumberFormat="1" applyFont="1" applyBorder="1" applyAlignment="1">
      <alignment vertical="center"/>
    </xf>
    <xf numFmtId="168" fontId="5" fillId="0" borderId="25" xfId="0" applyNumberFormat="1" applyFont="1" applyBorder="1" applyAlignment="1">
      <alignment vertical="center"/>
    </xf>
    <xf numFmtId="164" fontId="5" fillId="0" borderId="25" xfId="0" applyNumberFormat="1" applyFont="1" applyBorder="1" applyAlignment="1">
      <alignment vertical="center"/>
    </xf>
    <xf numFmtId="16" fontId="5" fillId="0" borderId="42" xfId="0" applyNumberFormat="1" applyFont="1" applyBorder="1" applyAlignment="1">
      <alignment horizontal="center" vertical="center"/>
    </xf>
    <xf numFmtId="166" fontId="5" fillId="0" borderId="42" xfId="0" applyNumberFormat="1" applyFont="1" applyBorder="1" applyAlignment="1">
      <alignment vertical="center"/>
    </xf>
    <xf numFmtId="168" fontId="5" fillId="0" borderId="42" xfId="0" applyNumberFormat="1" applyFont="1" applyBorder="1" applyAlignment="1">
      <alignment vertical="center"/>
    </xf>
    <xf numFmtId="164" fontId="5" fillId="0" borderId="42" xfId="0" applyNumberFormat="1" applyFont="1" applyBorder="1" applyAlignment="1">
      <alignment vertical="center"/>
    </xf>
    <xf numFmtId="168" fontId="5" fillId="0" borderId="0" xfId="0" applyNumberFormat="1" applyFont="1"/>
    <xf numFmtId="165" fontId="0" fillId="32" borderId="0" xfId="0" applyNumberFormat="1" applyFill="1"/>
    <xf numFmtId="0" fontId="17" fillId="32" borderId="44" xfId="0" applyFont="1" applyFill="1" applyBorder="1" applyAlignment="1">
      <alignment horizontal="right" vertical="center" wrapText="1" readingOrder="2"/>
    </xf>
    <xf numFmtId="4" fontId="17" fillId="32" borderId="42" xfId="0" applyNumberFormat="1" applyFont="1" applyFill="1" applyBorder="1" applyAlignment="1">
      <alignment horizontal="right" vertical="center" wrapText="1" readingOrder="2"/>
    </xf>
    <xf numFmtId="0" fontId="18" fillId="0" borderId="0" xfId="0" applyFont="1"/>
    <xf numFmtId="0" fontId="18" fillId="0" borderId="1" xfId="0" applyFont="1" applyBorder="1" applyAlignment="1">
      <alignment vertical="center"/>
    </xf>
    <xf numFmtId="166" fontId="18" fillId="0" borderId="1" xfId="0" applyNumberFormat="1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166" fontId="19" fillId="0" borderId="1" xfId="0" applyNumberFormat="1" applyFont="1" applyBorder="1" applyAlignment="1">
      <alignment horizontal="left" vertical="center"/>
    </xf>
    <xf numFmtId="16" fontId="19" fillId="0" borderId="4" xfId="0" applyNumberFormat="1" applyFont="1" applyBorder="1" applyAlignment="1">
      <alignment horizontal="center" vertical="center"/>
    </xf>
    <xf numFmtId="164" fontId="0" fillId="0" borderId="0" xfId="0" applyNumberFormat="1"/>
    <xf numFmtId="166" fontId="2" fillId="0" borderId="0" xfId="0" applyNumberFormat="1" applyFont="1"/>
    <xf numFmtId="0" fontId="17" fillId="0" borderId="0" xfId="0" applyFont="1"/>
    <xf numFmtId="1" fontId="17" fillId="0" borderId="0" xfId="0" applyNumberFormat="1" applyFont="1"/>
    <xf numFmtId="0" fontId="21" fillId="0" borderId="0" xfId="0" applyFont="1"/>
    <xf numFmtId="0" fontId="20" fillId="3" borderId="1" xfId="0" applyFont="1" applyFill="1" applyBorder="1" applyAlignment="1">
      <alignment vertical="center"/>
    </xf>
    <xf numFmtId="164" fontId="17" fillId="0" borderId="0" xfId="0" applyNumberFormat="1" applyFont="1"/>
    <xf numFmtId="0" fontId="17" fillId="0" borderId="0" xfId="0" applyFont="1" applyAlignment="1">
      <alignment vertical="center"/>
    </xf>
    <xf numFmtId="0" fontId="20" fillId="0" borderId="0" xfId="0" applyFont="1"/>
    <xf numFmtId="166" fontId="0" fillId="34" borderId="1" xfId="0" applyNumberFormat="1" applyFill="1" applyBorder="1"/>
    <xf numFmtId="166" fontId="1" fillId="34" borderId="1" xfId="0" applyNumberFormat="1" applyFont="1" applyFill="1" applyBorder="1"/>
    <xf numFmtId="168" fontId="1" fillId="34" borderId="1" xfId="0" applyNumberFormat="1" applyFont="1" applyFill="1" applyBorder="1"/>
    <xf numFmtId="164" fontId="5" fillId="0" borderId="20" xfId="0" applyNumberFormat="1" applyFont="1" applyBorder="1" applyAlignment="1">
      <alignment vertical="center"/>
    </xf>
    <xf numFmtId="3" fontId="5" fillId="0" borderId="25" xfId="0" applyNumberFormat="1" applyFont="1" applyBorder="1"/>
    <xf numFmtId="3" fontId="5" fillId="0" borderId="42" xfId="0" applyNumberFormat="1" applyFont="1" applyBorder="1"/>
    <xf numFmtId="165" fontId="17" fillId="0" borderId="0" xfId="0" applyNumberFormat="1" applyFont="1"/>
    <xf numFmtId="1" fontId="20" fillId="0" borderId="0" xfId="0" applyNumberFormat="1" applyFont="1"/>
    <xf numFmtId="165" fontId="2" fillId="0" borderId="0" xfId="0" applyNumberFormat="1" applyFont="1" applyAlignment="1">
      <alignment horizontal="center" wrapText="1"/>
    </xf>
    <xf numFmtId="0" fontId="0" fillId="0" borderId="42" xfId="0" applyBorder="1"/>
    <xf numFmtId="165" fontId="0" fillId="0" borderId="0" xfId="0" applyNumberFormat="1"/>
    <xf numFmtId="164" fontId="2" fillId="6" borderId="1" xfId="0" applyNumberFormat="1" applyFont="1" applyFill="1" applyBorder="1" applyAlignment="1">
      <alignment horizontal="right"/>
    </xf>
    <xf numFmtId="16" fontId="5" fillId="0" borderId="25" xfId="0" applyNumberFormat="1" applyFont="1" applyBorder="1" applyAlignment="1">
      <alignment vertical="center"/>
    </xf>
    <xf numFmtId="16" fontId="5" fillId="0" borderId="42" xfId="0" applyNumberFormat="1" applyFont="1" applyBorder="1"/>
    <xf numFmtId="164" fontId="0" fillId="34" borderId="20" xfId="0" applyNumberFormat="1" applyFill="1" applyBorder="1"/>
    <xf numFmtId="0" fontId="22" fillId="2" borderId="1" xfId="0" applyFont="1" applyFill="1" applyBorder="1" applyAlignment="1">
      <alignment horizontal="center" vertical="center"/>
    </xf>
    <xf numFmtId="0" fontId="23" fillId="0" borderId="0" xfId="0" applyFont="1"/>
    <xf numFmtId="0" fontId="22" fillId="2" borderId="1" xfId="0" applyFont="1" applyFill="1" applyBorder="1" applyAlignment="1">
      <alignment vertical="center"/>
    </xf>
    <xf numFmtId="0" fontId="20" fillId="4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24" fillId="0" borderId="0" xfId="0" applyFont="1"/>
    <xf numFmtId="164" fontId="20" fillId="3" borderId="1" xfId="0" applyNumberFormat="1" applyFont="1" applyFill="1" applyBorder="1" applyAlignment="1">
      <alignment vertical="center"/>
    </xf>
    <xf numFmtId="164" fontId="20" fillId="4" borderId="1" xfId="0" applyNumberFormat="1" applyFont="1" applyFill="1" applyBorder="1" applyAlignment="1">
      <alignment vertical="center"/>
    </xf>
    <xf numFmtId="164" fontId="20" fillId="5" borderId="1" xfId="0" applyNumberFormat="1" applyFont="1" applyFill="1" applyBorder="1" applyAlignment="1">
      <alignment vertical="center"/>
    </xf>
    <xf numFmtId="0" fontId="1" fillId="7" borderId="42" xfId="0" applyFont="1" applyFill="1" applyBorder="1" applyAlignment="1">
      <alignment horizontal="center"/>
    </xf>
    <xf numFmtId="16" fontId="0" fillId="0" borderId="42" xfId="0" applyNumberFormat="1" applyBorder="1"/>
    <xf numFmtId="170" fontId="5" fillId="0" borderId="0" xfId="0" applyNumberFormat="1" applyFont="1"/>
    <xf numFmtId="0" fontId="2" fillId="20" borderId="42" xfId="0" applyFont="1" applyFill="1" applyBorder="1" applyAlignment="1">
      <alignment horizontal="center"/>
    </xf>
    <xf numFmtId="0" fontId="2" fillId="20" borderId="42" xfId="0" applyFont="1" applyFill="1" applyBorder="1" applyAlignment="1">
      <alignment horizontal="right"/>
    </xf>
    <xf numFmtId="164" fontId="25" fillId="35" borderId="1" xfId="0" applyNumberFormat="1" applyFont="1" applyFill="1" applyBorder="1" applyAlignment="1">
      <alignment vertical="center"/>
    </xf>
    <xf numFmtId="0" fontId="26" fillId="36" borderId="0" xfId="0" applyFont="1" applyFill="1"/>
    <xf numFmtId="164" fontId="27" fillId="36" borderId="0" xfId="0" applyNumberFormat="1" applyFont="1" applyFill="1"/>
    <xf numFmtId="0" fontId="2" fillId="4" borderId="17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168" fontId="5" fillId="0" borderId="42" xfId="0" applyNumberFormat="1" applyFont="1" applyBorder="1" applyAlignment="1">
      <alignment horizontal="center" vertical="center"/>
    </xf>
    <xf numFmtId="164" fontId="0" fillId="11" borderId="7" xfId="0" applyNumberFormat="1" applyFill="1" applyBorder="1"/>
    <xf numFmtId="164" fontId="0" fillId="11" borderId="1" xfId="0" applyNumberFormat="1" applyFill="1" applyBorder="1"/>
    <xf numFmtId="166" fontId="0" fillId="11" borderId="1" xfId="0" applyNumberFormat="1" applyFill="1" applyBorder="1"/>
    <xf numFmtId="166" fontId="0" fillId="11" borderId="7" xfId="0" applyNumberFormat="1" applyFill="1" applyBorder="1"/>
    <xf numFmtId="166" fontId="0" fillId="11" borderId="34" xfId="0" applyNumberFormat="1" applyFill="1" applyBorder="1"/>
    <xf numFmtId="42" fontId="0" fillId="11" borderId="1" xfId="0" applyNumberFormat="1" applyFill="1" applyBorder="1"/>
    <xf numFmtId="167" fontId="5" fillId="4" borderId="25" xfId="0" applyNumberFormat="1" applyFont="1" applyFill="1" applyBorder="1" applyAlignment="1">
      <alignment vertical="center"/>
    </xf>
    <xf numFmtId="0" fontId="5" fillId="4" borderId="25" xfId="0" applyFont="1" applyFill="1" applyBorder="1" applyAlignment="1">
      <alignment vertical="center"/>
    </xf>
    <xf numFmtId="168" fontId="5" fillId="5" borderId="25" xfId="0" applyNumberFormat="1" applyFont="1" applyFill="1" applyBorder="1" applyAlignment="1">
      <alignment vertical="center"/>
    </xf>
    <xf numFmtId="164" fontId="5" fillId="5" borderId="25" xfId="0" applyNumberFormat="1" applyFont="1" applyFill="1" applyBorder="1" applyAlignment="1">
      <alignment vertical="center"/>
    </xf>
    <xf numFmtId="166" fontId="5" fillId="5" borderId="25" xfId="0" applyNumberFormat="1" applyFont="1" applyFill="1" applyBorder="1" applyAlignment="1">
      <alignment vertical="center"/>
    </xf>
    <xf numFmtId="166" fontId="5" fillId="12" borderId="25" xfId="0" applyNumberFormat="1" applyFont="1" applyFill="1" applyBorder="1" applyAlignment="1">
      <alignment vertical="center"/>
    </xf>
    <xf numFmtId="168" fontId="5" fillId="12" borderId="25" xfId="0" applyNumberFormat="1" applyFont="1" applyFill="1" applyBorder="1" applyAlignment="1">
      <alignment vertical="center"/>
    </xf>
    <xf numFmtId="164" fontId="5" fillId="12" borderId="25" xfId="0" applyNumberFormat="1" applyFont="1" applyFill="1" applyBorder="1" applyAlignment="1">
      <alignment vertical="center"/>
    </xf>
    <xf numFmtId="164" fontId="5" fillId="2" borderId="25" xfId="0" applyNumberFormat="1" applyFont="1" applyFill="1" applyBorder="1" applyAlignment="1">
      <alignment vertical="center"/>
    </xf>
    <xf numFmtId="164" fontId="15" fillId="6" borderId="1" xfId="0" applyNumberFormat="1" applyFont="1" applyFill="1" applyBorder="1" applyAlignment="1">
      <alignment horizontal="right"/>
    </xf>
    <xf numFmtId="0" fontId="20" fillId="0" borderId="0" xfId="0" applyFont="1" applyAlignment="1">
      <alignment horizontal="center" wrapText="1"/>
    </xf>
    <xf numFmtId="0" fontId="20" fillId="6" borderId="5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164" fontId="20" fillId="6" borderId="1" xfId="0" applyNumberFormat="1" applyFont="1" applyFill="1" applyBorder="1" applyAlignment="1">
      <alignment horizontal="right"/>
    </xf>
    <xf numFmtId="164" fontId="30" fillId="7" borderId="5" xfId="0" applyNumberFormat="1" applyFont="1" applyFill="1" applyBorder="1"/>
    <xf numFmtId="164" fontId="20" fillId="0" borderId="0" xfId="0" applyNumberFormat="1" applyFont="1"/>
    <xf numFmtId="0" fontId="31" fillId="0" borderId="0" xfId="0" applyFont="1" applyAlignment="1">
      <alignment vertical="center"/>
    </xf>
    <xf numFmtId="0" fontId="17" fillId="8" borderId="5" xfId="0" applyFont="1" applyFill="1" applyBorder="1"/>
    <xf numFmtId="0" fontId="31" fillId="8" borderId="5" xfId="0" applyFont="1" applyFill="1" applyBorder="1"/>
    <xf numFmtId="0" fontId="20" fillId="10" borderId="5" xfId="0" applyFont="1" applyFill="1" applyBorder="1" applyAlignment="1">
      <alignment horizontal="center" vertical="center"/>
    </xf>
    <xf numFmtId="166" fontId="31" fillId="11" borderId="1" xfId="0" applyNumberFormat="1" applyFont="1" applyFill="1" applyBorder="1"/>
    <xf numFmtId="0" fontId="31" fillId="0" borderId="1" xfId="0" applyFont="1" applyBorder="1"/>
    <xf numFmtId="0" fontId="20" fillId="4" borderId="7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17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center" vertical="center" wrapText="1"/>
    </xf>
    <xf numFmtId="0" fontId="20" fillId="12" borderId="19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0" fillId="2" borderId="36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49" fontId="20" fillId="14" borderId="7" xfId="0" applyNumberFormat="1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 wrapText="1"/>
    </xf>
    <xf numFmtId="49" fontId="33" fillId="15" borderId="1" xfId="0" applyNumberFormat="1" applyFont="1" applyFill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65" fontId="20" fillId="16" borderId="1" xfId="0" applyNumberFormat="1" applyFont="1" applyFill="1" applyBorder="1" applyAlignment="1">
      <alignment horizontal="center" vertical="center" wrapText="1"/>
    </xf>
    <xf numFmtId="49" fontId="20" fillId="16" borderId="1" xfId="0" applyNumberFormat="1" applyFont="1" applyFill="1" applyBorder="1" applyAlignment="1">
      <alignment horizontal="center" vertical="center" wrapText="1"/>
    </xf>
    <xf numFmtId="0" fontId="20" fillId="17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center" vertical="center" wrapText="1"/>
    </xf>
    <xf numFmtId="167" fontId="17" fillId="4" borderId="1" xfId="0" applyNumberFormat="1" applyFont="1" applyFill="1" applyBorder="1" applyAlignment="1">
      <alignment vertical="center"/>
    </xf>
    <xf numFmtId="166" fontId="17" fillId="5" borderId="21" xfId="0" applyNumberFormat="1" applyFont="1" applyFill="1" applyBorder="1" applyAlignment="1">
      <alignment vertical="center"/>
    </xf>
    <xf numFmtId="168" fontId="17" fillId="5" borderId="1" xfId="0" applyNumberFormat="1" applyFont="1" applyFill="1" applyBorder="1" applyAlignment="1">
      <alignment vertical="center"/>
    </xf>
    <xf numFmtId="164" fontId="17" fillId="5" borderId="1" xfId="0" applyNumberFormat="1" applyFont="1" applyFill="1" applyBorder="1" applyAlignment="1">
      <alignment vertical="center"/>
    </xf>
    <xf numFmtId="166" fontId="17" fillId="5" borderId="1" xfId="0" applyNumberFormat="1" applyFont="1" applyFill="1" applyBorder="1" applyAlignment="1">
      <alignment vertical="center"/>
    </xf>
    <xf numFmtId="164" fontId="17" fillId="5" borderId="22" xfId="0" applyNumberFormat="1" applyFont="1" applyFill="1" applyBorder="1" applyAlignment="1">
      <alignment vertical="center"/>
    </xf>
    <xf numFmtId="166" fontId="17" fillId="12" borderId="23" xfId="0" applyNumberFormat="1" applyFont="1" applyFill="1" applyBorder="1" applyAlignment="1">
      <alignment vertical="center"/>
    </xf>
    <xf numFmtId="168" fontId="17" fillId="12" borderId="1" xfId="0" applyNumberFormat="1" applyFont="1" applyFill="1" applyBorder="1" applyAlignment="1">
      <alignment vertical="center"/>
    </xf>
    <xf numFmtId="164" fontId="17" fillId="12" borderId="1" xfId="0" applyNumberFormat="1" applyFont="1" applyFill="1" applyBorder="1" applyAlignment="1">
      <alignment vertical="center"/>
    </xf>
    <xf numFmtId="165" fontId="17" fillId="2" borderId="1" xfId="0" applyNumberFormat="1" applyFont="1" applyFill="1" applyBorder="1" applyAlignment="1">
      <alignment vertical="center"/>
    </xf>
    <xf numFmtId="164" fontId="17" fillId="2" borderId="24" xfId="0" applyNumberFormat="1" applyFont="1" applyFill="1" applyBorder="1" applyAlignment="1">
      <alignment vertical="center"/>
    </xf>
    <xf numFmtId="164" fontId="17" fillId="2" borderId="1" xfId="0" applyNumberFormat="1" applyFont="1" applyFill="1" applyBorder="1" applyAlignment="1">
      <alignment vertical="center"/>
    </xf>
    <xf numFmtId="164" fontId="20" fillId="19" borderId="1" xfId="0" applyNumberFormat="1" applyFont="1" applyFill="1" applyBorder="1" applyAlignment="1">
      <alignment vertical="center"/>
    </xf>
    <xf numFmtId="164" fontId="17" fillId="14" borderId="1" xfId="0" applyNumberFormat="1" applyFont="1" applyFill="1" applyBorder="1" applyAlignment="1">
      <alignment vertical="center"/>
    </xf>
    <xf numFmtId="164" fontId="17" fillId="15" borderId="23" xfId="0" applyNumberFormat="1" applyFont="1" applyFill="1" applyBorder="1" applyAlignment="1">
      <alignment vertical="center"/>
    </xf>
    <xf numFmtId="164" fontId="17" fillId="15" borderId="1" xfId="0" applyNumberFormat="1" applyFont="1" applyFill="1" applyBorder="1" applyAlignment="1">
      <alignment vertical="center"/>
    </xf>
    <xf numFmtId="164" fontId="20" fillId="15" borderId="1" xfId="0" applyNumberFormat="1" applyFont="1" applyFill="1" applyBorder="1" applyAlignment="1">
      <alignment vertical="center"/>
    </xf>
    <xf numFmtId="164" fontId="17" fillId="16" borderId="1" xfId="0" applyNumberFormat="1" applyFont="1" applyFill="1" applyBorder="1" applyAlignment="1">
      <alignment vertical="center"/>
    </xf>
    <xf numFmtId="164" fontId="20" fillId="16" borderId="1" xfId="0" applyNumberFormat="1" applyFont="1" applyFill="1" applyBorder="1" applyAlignment="1">
      <alignment vertical="center"/>
    </xf>
    <xf numFmtId="164" fontId="20" fillId="17" borderId="1" xfId="0" applyNumberFormat="1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164" fontId="20" fillId="19" borderId="5" xfId="0" applyNumberFormat="1" applyFont="1" applyFill="1" applyBorder="1" applyAlignment="1">
      <alignment vertical="center"/>
    </xf>
    <xf numFmtId="0" fontId="17" fillId="14" borderId="1" xfId="0" applyFont="1" applyFill="1" applyBorder="1"/>
    <xf numFmtId="167" fontId="17" fillId="4" borderId="7" xfId="0" applyNumberFormat="1" applyFont="1" applyFill="1" applyBorder="1" applyAlignment="1">
      <alignment vertical="center"/>
    </xf>
    <xf numFmtId="3" fontId="17" fillId="14" borderId="1" xfId="0" applyNumberFormat="1" applyFont="1" applyFill="1" applyBorder="1" applyAlignment="1">
      <alignment vertical="center"/>
    </xf>
    <xf numFmtId="166" fontId="17" fillId="21" borderId="21" xfId="0" applyNumberFormat="1" applyFont="1" applyFill="1" applyBorder="1" applyAlignment="1">
      <alignment vertical="center"/>
    </xf>
    <xf numFmtId="164" fontId="17" fillId="15" borderId="19" xfId="0" applyNumberFormat="1" applyFont="1" applyFill="1" applyBorder="1" applyAlignment="1">
      <alignment vertical="center"/>
    </xf>
    <xf numFmtId="164" fontId="17" fillId="15" borderId="7" xfId="0" applyNumberFormat="1" applyFont="1" applyFill="1" applyBorder="1" applyAlignment="1">
      <alignment vertical="center"/>
    </xf>
    <xf numFmtId="164" fontId="17" fillId="16" borderId="7" xfId="0" applyNumberFormat="1" applyFont="1" applyFill="1" applyBorder="1" applyAlignment="1">
      <alignment vertical="center"/>
    </xf>
    <xf numFmtId="0" fontId="17" fillId="0" borderId="25" xfId="0" applyFont="1" applyBorder="1" applyAlignment="1">
      <alignment vertical="center"/>
    </xf>
    <xf numFmtId="167" fontId="17" fillId="23" borderId="42" xfId="0" applyNumberFormat="1" applyFont="1" applyFill="1" applyBorder="1" applyAlignment="1">
      <alignment vertical="center"/>
    </xf>
    <xf numFmtId="165" fontId="17" fillId="28" borderId="1" xfId="0" applyNumberFormat="1" applyFont="1" applyFill="1" applyBorder="1" applyAlignment="1">
      <alignment vertical="center"/>
    </xf>
    <xf numFmtId="164" fontId="17" fillId="28" borderId="1" xfId="0" applyNumberFormat="1" applyFont="1" applyFill="1" applyBorder="1" applyAlignment="1">
      <alignment vertical="center"/>
    </xf>
    <xf numFmtId="0" fontId="17" fillId="29" borderId="32" xfId="0" applyFont="1" applyFill="1" applyBorder="1"/>
    <xf numFmtId="3" fontId="17" fillId="25" borderId="42" xfId="0" applyNumberFormat="1" applyFont="1" applyFill="1" applyBorder="1" applyAlignment="1">
      <alignment vertical="center"/>
    </xf>
    <xf numFmtId="0" fontId="17" fillId="25" borderId="42" xfId="0" applyFont="1" applyFill="1" applyBorder="1"/>
    <xf numFmtId="164" fontId="20" fillId="27" borderId="1" xfId="0" applyNumberFormat="1" applyFont="1" applyFill="1" applyBorder="1" applyAlignment="1">
      <alignment vertical="center"/>
    </xf>
    <xf numFmtId="0" fontId="17" fillId="30" borderId="0" xfId="0" applyFont="1" applyFill="1"/>
    <xf numFmtId="164" fontId="20" fillId="31" borderId="0" xfId="0" applyNumberFormat="1" applyFont="1" applyFill="1" applyAlignment="1">
      <alignment vertical="center"/>
    </xf>
    <xf numFmtId="0" fontId="17" fillId="4" borderId="1" xfId="0" applyFont="1" applyFill="1" applyBorder="1" applyAlignment="1">
      <alignment vertical="center"/>
    </xf>
    <xf numFmtId="166" fontId="17" fillId="5" borderId="23" xfId="0" applyNumberFormat="1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3" fontId="17" fillId="14" borderId="1" xfId="0" applyNumberFormat="1" applyFont="1" applyFill="1" applyBorder="1"/>
    <xf numFmtId="0" fontId="17" fillId="0" borderId="1" xfId="0" applyFont="1" applyBorder="1"/>
    <xf numFmtId="164" fontId="21" fillId="0" borderId="0" xfId="0" applyNumberFormat="1" applyFont="1"/>
    <xf numFmtId="164" fontId="17" fillId="2" borderId="7" xfId="0" applyNumberFormat="1" applyFont="1" applyFill="1" applyBorder="1" applyAlignment="1">
      <alignment vertical="center"/>
    </xf>
    <xf numFmtId="0" fontId="5" fillId="15" borderId="44" xfId="0" applyFont="1" applyFill="1" applyBorder="1"/>
    <xf numFmtId="0" fontId="5" fillId="0" borderId="43" xfId="0" applyFont="1" applyBorder="1"/>
    <xf numFmtId="0" fontId="5" fillId="0" borderId="48" xfId="0" applyFont="1" applyBorder="1"/>
    <xf numFmtId="0" fontId="35" fillId="7" borderId="42" xfId="0" applyFont="1" applyFill="1" applyBorder="1" applyAlignment="1">
      <alignment horizontal="center"/>
    </xf>
    <xf numFmtId="0" fontId="36" fillId="7" borderId="42" xfId="0" applyFont="1" applyFill="1" applyBorder="1" applyAlignment="1">
      <alignment horizontal="center"/>
    </xf>
    <xf numFmtId="166" fontId="36" fillId="7" borderId="42" xfId="0" applyNumberFormat="1" applyFont="1" applyFill="1" applyBorder="1" applyAlignment="1">
      <alignment horizontal="center"/>
    </xf>
    <xf numFmtId="164" fontId="36" fillId="7" borderId="42" xfId="0" applyNumberFormat="1" applyFont="1" applyFill="1" applyBorder="1" applyAlignment="1">
      <alignment horizontal="center"/>
    </xf>
    <xf numFmtId="0" fontId="31" fillId="11" borderId="20" xfId="0" applyFont="1" applyFill="1" applyBorder="1" applyAlignment="1">
      <alignment horizontal="center"/>
    </xf>
    <xf numFmtId="0" fontId="31" fillId="11" borderId="23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32" fillId="0" borderId="3" xfId="0" applyFont="1" applyBorder="1"/>
    <xf numFmtId="0" fontId="32" fillId="0" borderId="4" xfId="0" applyFont="1" applyBorder="1"/>
    <xf numFmtId="0" fontId="20" fillId="9" borderId="2" xfId="0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/>
    </xf>
    <xf numFmtId="0" fontId="32" fillId="0" borderId="11" xfId="0" applyFont="1" applyBorder="1"/>
    <xf numFmtId="0" fontId="32" fillId="0" borderId="12" xfId="0" applyFont="1" applyBorder="1"/>
    <xf numFmtId="0" fontId="20" fillId="12" borderId="13" xfId="0" applyFont="1" applyFill="1" applyBorder="1" applyAlignment="1">
      <alignment horizontal="center"/>
    </xf>
    <xf numFmtId="0" fontId="32" fillId="0" borderId="14" xfId="0" applyFont="1" applyBorder="1"/>
    <xf numFmtId="0" fontId="20" fillId="2" borderId="10" xfId="0" applyFont="1" applyFill="1" applyBorder="1" applyAlignment="1">
      <alignment horizontal="center"/>
    </xf>
    <xf numFmtId="0" fontId="20" fillId="9" borderId="13" xfId="0" applyFont="1" applyFill="1" applyBorder="1" applyAlignment="1">
      <alignment horizontal="center" vertical="center"/>
    </xf>
    <xf numFmtId="0" fontId="20" fillId="13" borderId="13" xfId="0" applyFont="1" applyFill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8" fillId="11" borderId="4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9" fillId="0" borderId="3" xfId="0" applyFont="1" applyBorder="1"/>
    <xf numFmtId="0" fontId="9" fillId="0" borderId="4" xfId="0" applyFont="1" applyBorder="1"/>
    <xf numFmtId="0" fontId="2" fillId="9" borderId="2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/>
    </xf>
    <xf numFmtId="0" fontId="9" fillId="0" borderId="11" xfId="0" applyFont="1" applyBorder="1"/>
    <xf numFmtId="0" fontId="9" fillId="0" borderId="12" xfId="0" applyFont="1" applyBorder="1"/>
    <xf numFmtId="0" fontId="2" fillId="12" borderId="13" xfId="0" applyFont="1" applyFill="1" applyBorder="1" applyAlignment="1">
      <alignment horizontal="center"/>
    </xf>
    <xf numFmtId="0" fontId="9" fillId="0" borderId="14" xfId="0" applyFont="1" applyBorder="1"/>
    <xf numFmtId="0" fontId="2" fillId="2" borderId="10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34" fillId="0" borderId="3" xfId="0" applyFont="1" applyBorder="1"/>
    <xf numFmtId="0" fontId="34" fillId="0" borderId="4" xfId="0" applyFont="1" applyBorder="1"/>
    <xf numFmtId="0" fontId="1" fillId="7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2" fillId="20" borderId="2" xfId="0" applyFont="1" applyFill="1" applyBorder="1" applyAlignment="1">
      <alignment horizontal="center" vertical="center" wrapText="1"/>
    </xf>
    <xf numFmtId="0" fontId="5" fillId="20" borderId="29" xfId="0" applyFont="1" applyFill="1" applyBorder="1" applyAlignment="1">
      <alignment horizontal="center" vertical="center" wrapText="1"/>
    </xf>
    <xf numFmtId="0" fontId="9" fillId="0" borderId="33" xfId="0" applyFont="1" applyBorder="1"/>
    <xf numFmtId="0" fontId="9" fillId="0" borderId="35" xfId="0" applyFont="1" applyBorder="1"/>
    <xf numFmtId="0" fontId="8" fillId="20" borderId="30" xfId="0" applyFont="1" applyFill="1" applyBorder="1" applyAlignment="1">
      <alignment horizontal="center" vertical="center" wrapText="1"/>
    </xf>
    <xf numFmtId="0" fontId="9" fillId="0" borderId="31" xfId="0" applyFont="1" applyBorder="1"/>
    <xf numFmtId="0" fontId="9" fillId="0" borderId="32" xfId="0" applyFont="1" applyBorder="1"/>
    <xf numFmtId="0" fontId="1" fillId="0" borderId="42" xfId="0" applyFont="1" applyBorder="1" applyAlignment="1">
      <alignment horizontal="center"/>
    </xf>
    <xf numFmtId="0" fontId="9" fillId="0" borderId="42" xfId="0" applyFont="1" applyBorder="1"/>
    <xf numFmtId="0" fontId="8" fillId="2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3">
    <dxf>
      <fill>
        <patternFill patternType="solid">
          <fgColor rgb="FFFF0000"/>
          <bgColor rgb="FFFF0000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$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4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$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$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$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4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$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$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$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$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$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4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5" formatCode="&quot;$&quot;#,##0.0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5" formatCode="&quot;$&quot;#,##0.00"/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00A46D"/>
          <bgColor rgb="FF00A46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00A46D"/>
          <bgColor rgb="FF00A46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9" defaultTableStyle="TableStyleMedium2" defaultPivotStyle="PivotStyleLight16">
    <tableStyle name="ODOMETERS Halba-style" pivot="0" count="3" xr9:uid="{00000000-0011-0000-FFFF-FFFF00000000}">
      <tableStyleElement type="headerRow" dxfId="192"/>
      <tableStyleElement type="firstRowStripe" dxfId="191"/>
      <tableStyleElement type="secondRowStripe" dxfId="190"/>
    </tableStyle>
    <tableStyle name="Daily Halba-style" pivot="0" count="3" xr9:uid="{00000000-0011-0000-FFFF-FFFF01000000}">
      <tableStyleElement type="headerRow" dxfId="189"/>
      <tableStyleElement type="firstRowStripe" dxfId="188"/>
      <tableStyleElement type="secondRowStripe" dxfId="187"/>
    </tableStyle>
    <tableStyle name="Daily Halba-style 2" pivot="0" count="3" xr9:uid="{00000000-0011-0000-FFFF-FFFF02000000}">
      <tableStyleElement type="headerRow" dxfId="186"/>
      <tableStyleElement type="firstRowStripe" dxfId="185"/>
      <tableStyleElement type="secondRowStripe" dxfId="184"/>
    </tableStyle>
    <tableStyle name="Daily Halba-style 3" pivot="0" count="3" xr9:uid="{00000000-0011-0000-FFFF-FFFF03000000}">
      <tableStyleElement type="headerRow" dxfId="183"/>
      <tableStyleElement type="firstRowStripe" dxfId="182"/>
      <tableStyleElement type="secondRowStripe" dxfId="181"/>
    </tableStyle>
    <tableStyle name="BM Stock Halba-style" pivot="0" count="3" xr9:uid="{00000000-0011-0000-FFFF-FFFF04000000}">
      <tableStyleElement type="headerRow" dxfId="180"/>
      <tableStyleElement type="firstRowStripe" dxfId="179"/>
      <tableStyleElement type="secondRowStripe" dxfId="178"/>
    </tableStyle>
    <tableStyle name="BM Stock Halba-style 2" pivot="0" count="3" xr9:uid="{00000000-0011-0000-FFFF-FFFF05000000}">
      <tableStyleElement type="headerRow" dxfId="177"/>
      <tableStyleElement type="firstRowStripe" dxfId="176"/>
      <tableStyleElement type="secondRowStripe" dxfId="175"/>
    </tableStyle>
    <tableStyle name="Oil Stock Halba-style" pivot="0" count="3" xr9:uid="{00000000-0011-0000-FFFF-FFFF06000000}">
      <tableStyleElement type="headerRow" dxfId="174"/>
      <tableStyleElement type="firstRowStripe" dxfId="173"/>
      <tableStyleElement type="secondRowStripe" dxfId="172"/>
    </tableStyle>
    <tableStyle name="Kiosk And Gaz Halba-style" pivot="0" count="3" xr9:uid="{00000000-0011-0000-FFFF-FFFF07000000}">
      <tableStyleElement type="headerRow" dxfId="171"/>
      <tableStyleElement type="firstRowStripe" dxfId="170"/>
      <tableStyleElement type="secondRowStripe" dxfId="169"/>
    </tableStyle>
    <tableStyle name="Kiosk And Gaz Halba-style 2" pivot="0" count="3" xr9:uid="{00000000-0011-0000-FFFF-FFFF08000000}">
      <tableStyleElement type="headerRow" dxfId="168"/>
      <tableStyleElement type="firstRowStripe" dxfId="167"/>
      <tableStyleElement type="secondRowStripe" dxfId="166"/>
    </tableStyle>
    <tableStyle name="ODOMETERS Tekrit-style" pivot="0" count="3" xr9:uid="{00000000-0011-0000-FFFF-FFFF09000000}">
      <tableStyleElement type="headerRow" dxfId="165"/>
      <tableStyleElement type="firstRowStripe" dxfId="164"/>
      <tableStyleElement type="secondRowStripe" dxfId="163"/>
    </tableStyle>
    <tableStyle name="Daily Tekrit-style" pivot="0" count="3" xr9:uid="{00000000-0011-0000-FFFF-FFFF0A000000}">
      <tableStyleElement type="headerRow" dxfId="162"/>
      <tableStyleElement type="firstRowStripe" dxfId="161"/>
      <tableStyleElement type="secondRowStripe" dxfId="160"/>
    </tableStyle>
    <tableStyle name="Daily Tekrit-style 2" pivot="0" count="3" xr9:uid="{00000000-0011-0000-FFFF-FFFF0B000000}">
      <tableStyleElement type="headerRow" dxfId="159"/>
      <tableStyleElement type="firstRowStripe" dxfId="158"/>
      <tableStyleElement type="secondRowStripe" dxfId="157"/>
    </tableStyle>
    <tableStyle name="Daily Tekrit-style 3" pivot="0" count="3" xr9:uid="{00000000-0011-0000-FFFF-FFFF0C000000}">
      <tableStyleElement type="headerRow" dxfId="156"/>
      <tableStyleElement type="firstRowStripe" dxfId="155"/>
      <tableStyleElement type="secondRowStripe" dxfId="154"/>
    </tableStyle>
    <tableStyle name="BM Stock Tekrit-style" pivot="0" count="3" xr9:uid="{00000000-0011-0000-FFFF-FFFF0D000000}">
      <tableStyleElement type="headerRow" dxfId="153"/>
      <tableStyleElement type="firstRowStripe" dxfId="152"/>
      <tableStyleElement type="secondRowStripe" dxfId="151"/>
    </tableStyle>
    <tableStyle name="BM Stock Tekrit-style 2" pivot="0" count="3" xr9:uid="{00000000-0011-0000-FFFF-FFFF0E000000}">
      <tableStyleElement type="headerRow" dxfId="150"/>
      <tableStyleElement type="firstRowStripe" dxfId="149"/>
      <tableStyleElement type="secondRowStripe" dxfId="148"/>
    </tableStyle>
    <tableStyle name="Oil Stock Tekrit-style" pivot="0" count="3" xr9:uid="{00000000-0011-0000-FFFF-FFFF0F000000}">
      <tableStyleElement type="headerRow" dxfId="147"/>
      <tableStyleElement type="firstRowStripe" dxfId="146"/>
      <tableStyleElement type="secondRowStripe" dxfId="145"/>
    </tableStyle>
    <tableStyle name="Oil Stock Tekrit-style 2" pivot="0" count="3" xr9:uid="{00000000-0011-0000-FFFF-FFFF10000000}">
      <tableStyleElement type="headerRow" dxfId="144"/>
      <tableStyleElement type="firstRowStripe" dxfId="143"/>
      <tableStyleElement type="secondRowStripe" dxfId="142"/>
    </tableStyle>
    <tableStyle name="Kiosk and GazTekrit-style" pivot="0" count="3" xr9:uid="{00000000-0011-0000-FFFF-FFFF11000000}">
      <tableStyleElement type="headerRow" dxfId="141"/>
      <tableStyleElement type="firstRowStripe" dxfId="140"/>
      <tableStyleElement type="secondRowStripe" dxfId="139"/>
    </tableStyle>
    <tableStyle name="Kiosk and GazTekrit-style 2" pivot="0" count="3" xr9:uid="{00000000-0011-0000-FFFF-FFFF12000000}">
      <tableStyleElement type="headerRow" dxfId="138"/>
      <tableStyleElement type="firstRowStripe" dxfId="137"/>
      <tableStyleElement type="secondRowStripe" dxfId="13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8AE9A7F-4D98-4736-B272-C36C2C996AA5}" name="Table7" displayName="Table7" ref="F2:I10" totalsRowCount="1" headerRowDxfId="84" dataDxfId="83">
  <autoFilter ref="F2:I9" xr:uid="{68AE9A7F-4D98-4736-B272-C36C2C996AA5}"/>
  <tableColumns count="4">
    <tableColumn id="1" xr3:uid="{50812BCA-5C88-4EC9-BD7D-7849DB26AC9A}" name="Station" dataDxfId="82" totalsRowDxfId="81"/>
    <tableColumn id="2" xr3:uid="{47B7AF1C-71DC-4114-A7BA-519CA367D2F8}" name="Benzine 1" dataDxfId="80" totalsRowDxfId="79"/>
    <tableColumn id="3" xr3:uid="{0BA2B6DB-8DE8-4291-8D9E-F394CB805DBC}" name="Benzine 2" dataDxfId="78" totalsRowDxfId="77"/>
    <tableColumn id="4" xr3:uid="{194018E3-4F03-442A-8A6A-EF175297DF6A}" name="Mezout" dataDxfId="76" totalsRowDxfId="75"/>
  </tableColumns>
  <tableStyleInfo name="BM Stock Tekrit-style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7:U524">
  <autoFilter ref="A7:U524" xr:uid="{00000000-000C-0000-FFFF-FFFF01000000}"/>
  <tableColumns count="21">
    <tableColumn id="1" xr3:uid="{00000000-0010-0000-0100-000001000000}" name="Date"/>
    <tableColumn id="2" xr3:uid="{00000000-0010-0000-0100-000002000000}" name="Price Change"/>
    <tableColumn id="3" xr3:uid="{00000000-0010-0000-0100-000003000000}" name="Benzine 1 L"/>
    <tableColumn id="4" xr3:uid="{00000000-0010-0000-0100-000004000000}" name="Benzine 1 P"/>
    <tableColumn id="5" xr3:uid="{00000000-0010-0000-0100-000005000000}" name="Total Benzine 1"/>
    <tableColumn id="6" xr3:uid="{00000000-0010-0000-0100-000006000000}" name="Benzine 2 L"/>
    <tableColumn id="7" xr3:uid="{00000000-0010-0000-0100-000007000000}" name="Benzine 2 P"/>
    <tableColumn id="8" xr3:uid="{00000000-0010-0000-0100-000008000000}" name="Total Benzine 2"/>
    <tableColumn id="9" xr3:uid="{00000000-0010-0000-0100-000009000000}" name="Total Benzine L (1+2)"/>
    <tableColumn id="10" xr3:uid="{00000000-0010-0000-0100-00000A000000}" name="Total Benzine $"/>
    <tableColumn id="11" xr3:uid="{00000000-0010-0000-0100-00000B000000}" name="Mezout L"/>
    <tableColumn id="12" xr3:uid="{00000000-0010-0000-0100-00000C000000}" name="Mezout P"/>
    <tableColumn id="13" xr3:uid="{00000000-0010-0000-0100-00000D000000}" name="Total Mezout"/>
    <tableColumn id="14" xr3:uid="{00000000-0010-0000-0100-00000E000000}" name="Oil"/>
    <tableColumn id="15" xr3:uid="{00000000-0010-0000-0100-00000F000000}" name="Wash"/>
    <tableColumn id="16" xr3:uid="{00000000-0010-0000-0100-000010000000}" name="Gaz"/>
    <tableColumn id="17" xr3:uid="{00000000-0010-0000-0100-000011000000}" name="Fragrence"/>
    <tableColumn id="18" xr3:uid="{00000000-0010-0000-0100-000012000000}" name="Kiosk"/>
    <tableColumn id="19" xr3:uid="{00000000-0010-0000-0100-000013000000}" name="Payments"/>
    <tableColumn id="20" xr3:uid="{00000000-0010-0000-0100-000014000000}" name="Coupon"/>
    <tableColumn id="21" xr3:uid="{00000000-0010-0000-0100-000015000000}" name="Total IN"/>
  </tableColumns>
  <tableStyleInfo name="Daily Halba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W7:AQ524">
  <tableColumns count="21">
    <tableColumn id="1" xr3:uid="{00000000-0010-0000-0200-000001000000}" name="Debts"/>
    <tableColumn id="2" xr3:uid="{00000000-0010-0000-0200-000002000000}" name="Internal Sale"/>
    <tableColumn id="3" xr3:uid="{00000000-0010-0000-0200-000003000000}" name="Coupons"/>
    <tableColumn id="4" xr3:uid="{00000000-0010-0000-0200-000004000000}" name="Difference"/>
    <tableColumn id="5" xr3:uid="{00000000-0010-0000-0200-000005000000}" name="Purchase Oil"/>
    <tableColumn id="6" xr3:uid="{00000000-0010-0000-0200-000006000000}" name="Purchase Kiosk"/>
    <tableColumn id="7" xr3:uid="{00000000-0010-0000-0200-000007000000}" name="Purchase Gaz"/>
    <tableColumn id="8" xr3:uid="{00000000-0010-0000-0200-000008000000}" name="Other Purchases"/>
    <tableColumn id="9" xr3:uid="{00000000-0010-0000-0200-000009000000}" name="Total Purchases"/>
    <tableColumn id="10" xr3:uid="{00000000-0010-0000-0200-00000A000000}" name="PMNT - Rent "/>
    <tableColumn id="11" xr3:uid="{00000000-0010-0000-0200-00000B000000}" name="Salaries"/>
    <tableColumn id="12" xr3:uid="{00000000-0010-0000-0200-00000C000000}" name="R&amp;M"/>
    <tableColumn id="13" xr3:uid="{00000000-0010-0000-0200-00000D000000}" name="Utilities "/>
    <tableColumn id="14" xr3:uid="{00000000-0010-0000-0200-00000E000000}" name="Client Satisfaction"/>
    <tableColumn id="15" xr3:uid="{00000000-0010-0000-0200-00000F000000}" name="Tips"/>
    <tableColumn id="16" xr3:uid="{00000000-0010-0000-0200-000010000000}" name="New Assets"/>
    <tableColumn id="17" xr3:uid="{00000000-0010-0000-0200-000011000000}" name="Other"/>
    <tableColumn id="18" xr3:uid="{00000000-0010-0000-0200-000012000000}" name="Total Expense"/>
    <tableColumn id="19" xr3:uid="{00000000-0010-0000-0200-000013000000}" name="Profit Sharing"/>
    <tableColumn id="20" xr3:uid="{00000000-0010-0000-0200-000014000000}" name="Total OUT"/>
    <tableColumn id="21" xr3:uid="{00000000-0010-0000-0200-000015000000}" name="Notes"/>
  </tableColumns>
  <tableStyleInfo name="Daily Halba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S7:AS272">
  <tableColumns count="1">
    <tableColumn id="1" xr3:uid="{00000000-0010-0000-0300-000001000000}" name="Daily Total"/>
  </tableColumns>
  <tableStyleInfo name="Daily Halba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:E7" headerRowDxfId="74" dataDxfId="73" totalsRowDxfId="72">
  <tableColumns count="5">
    <tableColumn id="1" xr3:uid="{00000000-0010-0000-0400-000001000000}" name="Type" dataDxfId="71"/>
    <tableColumn id="2" xr3:uid="{00000000-0010-0000-0400-000002000000}" name="Initial" dataDxfId="70"/>
    <tableColumn id="3" xr3:uid="{00000000-0010-0000-0400-000003000000}" name="Out" dataDxfId="69"/>
    <tableColumn id="4" xr3:uid="{00000000-0010-0000-0400-000004000000}" name="In" dataDxfId="68"/>
    <tableColumn id="5" xr3:uid="{00000000-0010-0000-0400-000005000000}" name="Current" dataDxfId="67"/>
  </tableColumns>
  <tableStyleInfo name="BM Stock Halba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H2:N183" headerRowDxfId="66" dataDxfId="65" totalsRowDxfId="64">
  <tableColumns count="7">
    <tableColumn id="1" xr3:uid="{00000000-0010-0000-0500-000001000000}" name="Date" dataDxfId="63"/>
    <tableColumn id="2" xr3:uid="{00000000-0010-0000-0500-000002000000}" name="Benzine 1" dataDxfId="62"/>
    <tableColumn id="3" xr3:uid="{00000000-0010-0000-0500-000003000000}" name="Benzine 2" dataDxfId="61"/>
    <tableColumn id="4" xr3:uid="{00000000-0010-0000-0500-000004000000}" name="Benzine Backup" dataDxfId="60"/>
    <tableColumn id="5" xr3:uid="{00000000-0010-0000-0500-000005000000}" name="Mezout" dataDxfId="59"/>
    <tableColumn id="6" xr3:uid="{00000000-0010-0000-0500-000006000000}" name="Price" dataDxfId="58"/>
    <tableColumn id="7" xr3:uid="{00000000-0010-0000-0500-000007000000}" name="Total" dataDxfId="57"/>
  </tableColumns>
  <tableStyleInfo name="BM Stock Halba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M323">
  <tableColumns count="13">
    <tableColumn id="1" xr3:uid="{00000000-0010-0000-0000-000001000000}" name="Date"/>
    <tableColumn id="2" xr3:uid="{00000000-0010-0000-0000-000002000000}" name="At new Pricing"/>
    <tableColumn id="3" xr3:uid="{00000000-0010-0000-0000-000003000000}" name="Benzine 1 A"/>
    <tableColumn id="4" xr3:uid="{00000000-0010-0000-0000-000004000000}" name="Benzine 1 B"/>
    <tableColumn id="5" xr3:uid="{00000000-0010-0000-0000-000005000000}" name="Benzine 2 A"/>
    <tableColumn id="6" xr3:uid="{00000000-0010-0000-0000-000006000000}" name="Benzine B"/>
    <tableColumn id="7" xr3:uid="{00000000-0010-0000-0000-000007000000}" name="Mezout A"/>
    <tableColumn id="8" xr3:uid="{00000000-0010-0000-0000-000008000000}" name="Mezout B"/>
    <tableColumn id="9" xr3:uid="{00000000-0010-0000-0000-000009000000}" name="NOTHING HERE"/>
    <tableColumn id="10" xr3:uid="{00000000-0010-0000-0000-00000A000000}" name="Benzine 1"/>
    <tableColumn id="11" xr3:uid="{00000000-0010-0000-0000-00000B000000}" name="Benzine 2"/>
    <tableColumn id="12" xr3:uid="{00000000-0010-0000-0000-00000C000000}" name="Mezout"/>
    <tableColumn id="13" xr3:uid="{00000000-0010-0000-0000-00000D000000}" name="total"/>
  </tableColumns>
  <tableStyleInfo name="ODOMETERS Halba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01F512C-820C-49F6-B418-5583291F9761}" name="Table1" displayName="Table1" ref="A4:O60" totalsRowCount="1" headerRowDxfId="56" dataDxfId="54" totalsRowDxfId="52" headerRowBorderDxfId="55" tableBorderDxfId="53" totalsRowBorderDxfId="51">
  <autoFilter ref="A4:O59" xr:uid="{101F512C-820C-49F6-B418-5583291F9761}"/>
  <tableColumns count="15">
    <tableColumn id="1" xr3:uid="{24EC88B9-CC2C-431B-B599-CFC7621F5296}" name="Item" totalsRowLabel="Balance" dataDxfId="50" totalsRowDxfId="49"/>
    <tableColumn id="3" xr3:uid="{3B0F4810-04F3-4638-AA56-6561F5CDC19E}" name="Price" dataDxfId="48" totalsRowDxfId="47"/>
    <tableColumn id="2" xr3:uid="{54EF14C5-CF9B-4C76-A255-39BBB61A7CF6}" name="9-Feb" dataDxfId="46" totalsRowDxfId="45"/>
    <tableColumn id="4" xr3:uid="{3A2B5A42-D5A4-4710-A8C1-6150FCC5F300}" name="11-Feb" dataDxfId="44" totalsRowDxfId="43"/>
    <tableColumn id="7" xr3:uid="{C5C48DAA-EB37-45C2-824B-FE5C0053FA8A}" name="17-Feb" dataDxfId="42" totalsRowDxfId="41"/>
    <tableColumn id="9" xr3:uid="{C1D5EF2F-9365-4430-B157-6A54E13B5198}" name="20-Feb" dataDxfId="40" totalsRowDxfId="39"/>
    <tableColumn id="10" xr3:uid="{14B51E8F-7C64-4961-95D6-086B92897ED6}" name="25-Feb" totalsRowFunction="custom" dataDxfId="38" totalsRowDxfId="37">
      <totalsRowFormula array="1">SUM(G5:G58*B5:B58)</totalsRowFormula>
    </tableColumn>
    <tableColumn id="11" xr3:uid="{A9F7E876-D822-444F-864F-3D4BCBC49DA8}" name="7-Mar" totalsRowFunction="custom" dataDxfId="36" totalsRowDxfId="35">
      <totalsRowFormula array="1">SUM(H5:H58*B5:B58)</totalsRowFormula>
    </tableColumn>
    <tableColumn id="12" xr3:uid="{1F622BA6-764C-4054-BDF5-10233D15F08D}" name="23-Mar" totalsRowFunction="custom" dataDxfId="34" totalsRowDxfId="33">
      <totalsRowFormula array="1">SUM(I5:I58*B5:B58)</totalsRowFormula>
    </tableColumn>
    <tableColumn id="5" xr3:uid="{B534F265-47BB-4DB2-8849-2FA3474B668C}" name="6-Apr" totalsRowFunction="custom" dataDxfId="32" totalsRowDxfId="31">
      <totalsRowFormula array="1">SUM(J5:J58*B5:B58)</totalsRowFormula>
    </tableColumn>
    <tableColumn id="14" xr3:uid="{B686A2B5-4CA3-44BB-B0DB-3C9D29D9CC77}" name="14-Apr" totalsRowFunction="custom" dataDxfId="30" totalsRowDxfId="29">
      <totalsRowFormula array="1">SUM(K5:K58*B5:B58)</totalsRowFormula>
    </tableColumn>
    <tableColumn id="15" xr3:uid="{3F28AE61-FCC5-4C89-B24A-9684C15765F3}" name="28-Jun" totalsRowFunction="custom" dataDxfId="28" totalsRowDxfId="27">
      <totalsRowFormula array="1">SUM(L5:L58*B5:B58)</totalsRowFormula>
    </tableColumn>
    <tableColumn id="13" xr3:uid="{A24BD412-EAF0-45FA-B335-23F96016D702}" name="Restock" dataDxfId="26" totalsRowDxfId="25"/>
    <tableColumn id="6" xr3:uid="{D48DA26F-C57B-43F7-B0A0-3B9FEE137695}" name="Sold" totalsRowFunction="custom" dataDxfId="24" totalsRowDxfId="23">
      <calculatedColumnFormula>Table1[[#This Row],[14-Apr]]-Table1[[#This Row],[28-Jun]]+Table1[[#This Row],[Restock]]</calculatedColumnFormula>
      <totalsRowFormula>SUM(Table1[Sold])</totalsRowFormula>
    </tableColumn>
    <tableColumn id="8" xr3:uid="{F858370E-AD95-4815-9688-77971CA7C0C7}" name="Value" totalsRowFunction="custom" dataDxfId="22" totalsRowDxfId="21">
      <calculatedColumnFormula>Table1[[#This Row],[Sold]]*Table1[[#This Row],[Price]]</calculatedColumnFormula>
      <totalsRowFormula>SUM(Table1[Value])</totalsRow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:D59">
  <tableColumns count="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</tableColumns>
  <tableStyleInfo name="Kiosk And Gaz Halba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F2:I116">
  <tableColumns count="4">
    <tableColumn id="1" xr3:uid="{00000000-0010-0000-0800-000001000000}" name="Date"/>
    <tableColumn id="2" xr3:uid="{00000000-0010-0000-0800-000002000000}" name="Available"/>
    <tableColumn id="3" xr3:uid="{00000000-0010-0000-0800-000003000000}" name="Sold"/>
    <tableColumn id="4" xr3:uid="{00000000-0010-0000-0800-000004000000}" name="Restock"/>
  </tableColumns>
  <tableStyleInfo name="Kiosk And Gaz Halba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7:U271" headerRowDxfId="135" dataDxfId="134" totalsRowDxfId="133">
  <tableColumns count="21">
    <tableColumn id="1" xr3:uid="{00000000-0010-0000-0A00-000001000000}" name="Date" dataDxfId="132"/>
    <tableColumn id="2" xr3:uid="{00000000-0010-0000-0A00-000002000000}" name="Price Change" dataDxfId="131"/>
    <tableColumn id="3" xr3:uid="{00000000-0010-0000-0A00-000003000000}" name="Benzine 1 L" dataDxfId="130"/>
    <tableColumn id="4" xr3:uid="{00000000-0010-0000-0A00-000004000000}" name="Benzine 1 P" dataDxfId="129"/>
    <tableColumn id="5" xr3:uid="{00000000-0010-0000-0A00-000005000000}" name="Total Benzine 1" dataDxfId="128"/>
    <tableColumn id="6" xr3:uid="{00000000-0010-0000-0A00-000006000000}" name="Benzine 2 L" dataDxfId="127"/>
    <tableColumn id="7" xr3:uid="{00000000-0010-0000-0A00-000007000000}" name="Benzine 2 P" dataDxfId="126"/>
    <tableColumn id="8" xr3:uid="{00000000-0010-0000-0A00-000008000000}" name="Total Benzine 2" dataDxfId="125"/>
    <tableColumn id="9" xr3:uid="{00000000-0010-0000-0A00-000009000000}" name="Total Benzine L (1+2)" dataDxfId="124"/>
    <tableColumn id="10" xr3:uid="{00000000-0010-0000-0A00-00000A000000}" name="Total Benzine $" dataDxfId="123"/>
    <tableColumn id="11" xr3:uid="{00000000-0010-0000-0A00-00000B000000}" name="Mezout L" dataDxfId="122"/>
    <tableColumn id="12" xr3:uid="{00000000-0010-0000-0A00-00000C000000}" name="Mezout P" dataDxfId="121"/>
    <tableColumn id="13" xr3:uid="{00000000-0010-0000-0A00-00000D000000}" name="Total Mezout" dataDxfId="120"/>
    <tableColumn id="14" xr3:uid="{00000000-0010-0000-0A00-00000E000000}" name="Oil" dataDxfId="119"/>
    <tableColumn id="15" xr3:uid="{00000000-0010-0000-0A00-00000F000000}" name="Wash" dataDxfId="118"/>
    <tableColumn id="16" xr3:uid="{00000000-0010-0000-0A00-000010000000}" name="Gaz" dataDxfId="117"/>
    <tableColumn id="17" xr3:uid="{00000000-0010-0000-0A00-000011000000}" name="Fragrence" dataDxfId="116"/>
    <tableColumn id="18" xr3:uid="{00000000-0010-0000-0A00-000012000000}" name="Kiosk" dataDxfId="115"/>
    <tableColumn id="19" xr3:uid="{00000000-0010-0000-0A00-000013000000}" name="Payments" dataDxfId="114"/>
    <tableColumn id="20" xr3:uid="{00000000-0010-0000-0A00-000014000000}" name="Coupon" dataDxfId="113"/>
    <tableColumn id="21" xr3:uid="{00000000-0010-0000-0A00-000015000000}" name="Total IN" dataDxfId="112"/>
  </tableColumns>
  <tableStyleInfo name="Daily Tekrit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W7:AP272" headerRowDxfId="111" dataDxfId="110" totalsRowDxfId="109">
  <tableColumns count="20">
    <tableColumn id="1" xr3:uid="{00000000-0010-0000-0B00-000001000000}" name="Debts" dataDxfId="108"/>
    <tableColumn id="2" xr3:uid="{00000000-0010-0000-0B00-000002000000}" name="Coupons" dataDxfId="107"/>
    <tableColumn id="3" xr3:uid="{00000000-0010-0000-0B00-000003000000}" name="Difference" dataDxfId="106"/>
    <tableColumn id="4" xr3:uid="{00000000-0010-0000-0B00-000004000000}" name="Purchase Oil" dataDxfId="105"/>
    <tableColumn id="5" xr3:uid="{00000000-0010-0000-0B00-000005000000}" name="Purchase Kiosk" dataDxfId="104"/>
    <tableColumn id="6" xr3:uid="{00000000-0010-0000-0B00-000006000000}" name="Purchase Gaz" dataDxfId="103"/>
    <tableColumn id="7" xr3:uid="{00000000-0010-0000-0B00-000007000000}" name="Other Purchases" dataDxfId="102"/>
    <tableColumn id="8" xr3:uid="{00000000-0010-0000-0B00-000008000000}" name="Total Purchases" dataDxfId="101"/>
    <tableColumn id="9" xr3:uid="{00000000-0010-0000-0B00-000009000000}" name="PMNT - Rent " dataDxfId="100"/>
    <tableColumn id="10" xr3:uid="{00000000-0010-0000-0B00-00000A000000}" name="Salaries" dataDxfId="99"/>
    <tableColumn id="11" xr3:uid="{00000000-0010-0000-0B00-00000B000000}" name="R&amp;M" dataDxfId="98"/>
    <tableColumn id="12" xr3:uid="{00000000-0010-0000-0B00-00000C000000}" name="Utilities " dataDxfId="97"/>
    <tableColumn id="13" xr3:uid="{00000000-0010-0000-0B00-00000D000000}" name="Client Satisfaction" dataDxfId="96"/>
    <tableColumn id="14" xr3:uid="{00000000-0010-0000-0B00-00000E000000}" name="Tips" dataDxfId="95"/>
    <tableColumn id="15" xr3:uid="{00000000-0010-0000-0B00-00000F000000}" name="New Assets" dataDxfId="94"/>
    <tableColumn id="16" xr3:uid="{00000000-0010-0000-0B00-000010000000}" name="Other" dataDxfId="93"/>
    <tableColumn id="17" xr3:uid="{00000000-0010-0000-0B00-000011000000}" name="Total Expense" dataDxfId="92"/>
    <tableColumn id="18" xr3:uid="{00000000-0010-0000-0B00-000012000000}" name="Profit Sharing" dataDxfId="91"/>
    <tableColumn id="19" xr3:uid="{00000000-0010-0000-0B00-000013000000}" name="Total OUT" dataDxfId="90"/>
    <tableColumn id="20" xr3:uid="{00000000-0010-0000-0B00-000014000000}" name="Notes" dataDxfId="89"/>
  </tableColumns>
  <tableStyleInfo name="Daily Tekrit-style 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R7:AR271" headerRowDxfId="88" dataDxfId="87" totalsRowDxfId="86">
  <tableColumns count="1">
    <tableColumn id="1" xr3:uid="{00000000-0010-0000-0C00-000001000000}" name="Daily Total" dataDxfId="85"/>
  </tableColumns>
  <tableStyleInfo name="Daily Tekrit-style 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A2:E7">
  <tableColumns count="5">
    <tableColumn id="1" xr3:uid="{00000000-0010-0000-0D00-000001000000}" name="Type"/>
    <tableColumn id="2" xr3:uid="{00000000-0010-0000-0D00-000002000000}" name="initial"/>
    <tableColumn id="3" xr3:uid="{00000000-0010-0000-0D00-000003000000}" name="out"/>
    <tableColumn id="4" xr3:uid="{00000000-0010-0000-0D00-000004000000}" name="in"/>
    <tableColumn id="5" xr3:uid="{00000000-0010-0000-0D00-000005000000}" name="Current"/>
  </tableColumns>
  <tableStyleInfo name="BM Stock Tekrit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H2:P77">
  <tableColumns count="9">
    <tableColumn id="1" xr3:uid="{00000000-0010-0000-0E00-000001000000}" name="Date"/>
    <tableColumn id="2" xr3:uid="{00000000-0010-0000-0E00-000002000000}" name="Benzine 1"/>
    <tableColumn id="3" xr3:uid="{00000000-0010-0000-0E00-000003000000}" name="Benzine 2"/>
    <tableColumn id="4" xr3:uid="{00000000-0010-0000-0E00-000004000000}" name="Benzine Backup"/>
    <tableColumn id="5" xr3:uid="{00000000-0010-0000-0E00-000005000000}" name="Mezout"/>
    <tableColumn id="6" xr3:uid="{00000000-0010-0000-0E00-000006000000}" name="Price"/>
    <tableColumn id="7" xr3:uid="{00000000-0010-0000-0E00-000007000000}" name="Total"/>
    <tableColumn id="8" xr3:uid="{00000000-0010-0000-0E00-000008000000}" name="Notes"/>
    <tableColumn id="9" xr3:uid="{00000000-0010-0000-0E00-000009000000}" name="Cost internal Sales"/>
  </tableColumns>
  <tableStyleInfo name="BM Stock Tekrit-style 2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2:M254" headerRowDxfId="20" totalsRowDxfId="19">
  <tableColumns count="13">
    <tableColumn id="1" xr3:uid="{00000000-0010-0000-0900-000001000000}" name="Date" dataDxfId="18"/>
    <tableColumn id="2" xr3:uid="{00000000-0010-0000-0900-000002000000}" name="At new Pricing" dataDxfId="17"/>
    <tableColumn id="3" xr3:uid="{00000000-0010-0000-0900-000003000000}" name="Benzine 1 A" dataDxfId="16"/>
    <tableColumn id="4" xr3:uid="{00000000-0010-0000-0900-000004000000}" name="Benzine 1 B" dataDxfId="15"/>
    <tableColumn id="5" xr3:uid="{00000000-0010-0000-0900-000005000000}" name="Benzine 2 A" dataDxfId="14"/>
    <tableColumn id="6" xr3:uid="{00000000-0010-0000-0900-000006000000}" name="Benzine 2 B" dataDxfId="13"/>
    <tableColumn id="7" xr3:uid="{00000000-0010-0000-0900-000007000000}" name="Mezout A" dataDxfId="12"/>
    <tableColumn id="8" xr3:uid="{00000000-0010-0000-0900-000008000000}" name="Mezout B" dataDxfId="11"/>
    <tableColumn id="9" xr3:uid="{00000000-0010-0000-0900-000009000000}" name="NOTHING HERE" dataDxfId="10"/>
    <tableColumn id="10" xr3:uid="{00000000-0010-0000-0900-00000A000000}" name="Benzine 1" dataDxfId="9"/>
    <tableColumn id="11" xr3:uid="{00000000-0010-0000-0900-00000B000000}" name="Benzine 2" dataDxfId="8"/>
    <tableColumn id="12" xr3:uid="{00000000-0010-0000-0900-00000C000000}" name="Mezout" dataDxfId="7"/>
    <tableColumn id="13" xr3:uid="{00000000-0010-0000-0900-00000D000000}" name="Total" dataDxfId="6"/>
  </tableColumns>
  <tableStyleInfo name="ODOMETERS Tekrit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A1:F87">
  <tableColumns count="6">
    <tableColumn id="1" xr3:uid="{00000000-0010-0000-0F00-000001000000}" name="Item Type"/>
    <tableColumn id="2" xr3:uid="{00000000-0010-0000-0F00-000002000000}" name="In Stock"/>
    <tableColumn id="3" xr3:uid="{00000000-0010-0000-0F00-000003000000}" name="Sold"/>
    <tableColumn id="4" xr3:uid="{00000000-0010-0000-0F00-000004000000}" name="Restocked"/>
    <tableColumn id="5" xr3:uid="{00000000-0010-0000-0F00-000005000000}" name="Price"/>
    <tableColumn id="6" xr3:uid="{00000000-0010-0000-0F00-000006000000}" name="Value"/>
  </tableColumns>
  <tableStyleInfo name="Oil Stock Tekrit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H1:K136">
  <tableColumns count="4">
    <tableColumn id="1" xr3:uid="{00000000-0010-0000-1000-000001000000}" name="Date"/>
    <tableColumn id="2" xr3:uid="{00000000-0010-0000-1000-000002000000}" name="Item Name"/>
    <tableColumn id="3" xr3:uid="{00000000-0010-0000-1000-000003000000}" name="Qty Sold"/>
    <tableColumn id="4" xr3:uid="{00000000-0010-0000-1000-000004000000}" name="Qty Restocked"/>
  </tableColumns>
  <tableStyleInfo name="Oil Stock Tekrit-style 2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A2:D55">
  <tableColumns count="4">
    <tableColumn id="1" xr3:uid="{00000000-0010-0000-1100-000001000000}" name="Date"/>
    <tableColumn id="2" xr3:uid="{00000000-0010-0000-1100-000002000000}" name="Stock"/>
    <tableColumn id="3" xr3:uid="{00000000-0010-0000-1100-000003000000}" name="Sales"/>
    <tableColumn id="4" xr3:uid="{00000000-0010-0000-1100-000004000000}" name="Purchases"/>
  </tableColumns>
  <tableStyleInfo name="Kiosk and GazTekrit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F2:I24">
  <tableColumns count="4">
    <tableColumn id="1" xr3:uid="{00000000-0010-0000-1200-000001000000}" name="Date"/>
    <tableColumn id="2" xr3:uid="{00000000-0010-0000-1200-000002000000}" name="Available"/>
    <tableColumn id="3" xr3:uid="{00000000-0010-0000-1200-000003000000}" name="Sold"/>
    <tableColumn id="4" xr3:uid="{00000000-0010-0000-1200-000004000000}" name="Restock"/>
  </tableColumns>
  <tableStyleInfo name="Kiosk and GazTekri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4219A2-7856-458A-886B-D2018A1E556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930b654-bf6f-462b-8846-56f0c778b0c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2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Z1002"/>
  <sheetViews>
    <sheetView tabSelected="1" workbookViewId="0">
      <selection activeCell="F3" sqref="F3"/>
    </sheetView>
  </sheetViews>
  <sheetFormatPr defaultColWidth="14.44140625" defaultRowHeight="15" customHeight="1" x14ac:dyDescent="0.35"/>
  <cols>
    <col min="1" max="1" width="8.6640625" style="241" customWidth="1"/>
    <col min="2" max="2" width="45.33203125" style="241" customWidth="1"/>
    <col min="3" max="3" width="23.88671875" style="241" customWidth="1"/>
    <col min="4" max="4" width="8.6640625" style="241" customWidth="1"/>
    <col min="5" max="5" width="11.5546875" style="241" customWidth="1"/>
    <col min="6" max="6" width="30.109375" style="241" bestFit="1" customWidth="1"/>
    <col min="7" max="7" width="18" style="241" customWidth="1"/>
    <col min="8" max="8" width="16.33203125" style="241" customWidth="1"/>
    <col min="9" max="9" width="15.77734375" style="241" customWidth="1"/>
    <col min="10" max="21" width="8.6640625" style="241" customWidth="1"/>
    <col min="22" max="16384" width="14.44140625" style="241"/>
  </cols>
  <sheetData>
    <row r="1" spans="1:26" ht="14.25" customHeight="1" x14ac:dyDescent="0.35">
      <c r="A1" s="239"/>
      <c r="B1" s="399"/>
      <c r="C1" s="399"/>
      <c r="D1" s="239"/>
      <c r="E1" s="239"/>
      <c r="F1" s="400"/>
      <c r="G1" s="400"/>
      <c r="H1" s="400"/>
      <c r="I1" s="400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</row>
    <row r="2" spans="1:26" ht="24.75" customHeight="1" x14ac:dyDescent="0.35">
      <c r="A2" s="239"/>
      <c r="B2" s="261" t="s">
        <v>0</v>
      </c>
      <c r="C2" s="261" t="s">
        <v>1</v>
      </c>
      <c r="D2" s="262"/>
      <c r="E2" s="262"/>
      <c r="F2" s="266" t="s">
        <v>211</v>
      </c>
      <c r="G2" s="266" t="s">
        <v>18</v>
      </c>
      <c r="H2" s="266" t="s">
        <v>19</v>
      </c>
      <c r="I2" s="266" t="s">
        <v>20</v>
      </c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</row>
    <row r="3" spans="1:26" ht="24.75" customHeight="1" x14ac:dyDescent="0.35">
      <c r="A3" s="239"/>
      <c r="B3" s="242" t="s">
        <v>231</v>
      </c>
      <c r="C3" s="268">
        <f>'Daily Halba'!C2</f>
        <v>24612</v>
      </c>
      <c r="D3" s="239"/>
      <c r="E3" s="239"/>
      <c r="F3" s="245" t="s">
        <v>209</v>
      </c>
      <c r="G3" s="240">
        <f>Table_5[[#This Row],[Current]]</f>
        <v>12390</v>
      </c>
      <c r="H3" s="240">
        <f>'BM Stock Halba'!E4</f>
        <v>9030</v>
      </c>
      <c r="I3" s="240">
        <f>'BM Stock Halba'!E6</f>
        <v>3690</v>
      </c>
      <c r="J3" s="239"/>
      <c r="K3" s="240"/>
      <c r="L3" s="239"/>
      <c r="M3" s="239"/>
      <c r="N3" s="239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</row>
    <row r="4" spans="1:26" ht="24.75" customHeight="1" x14ac:dyDescent="0.35">
      <c r="A4" s="239"/>
      <c r="B4" s="264" t="s">
        <v>3</v>
      </c>
      <c r="C4" s="269">
        <f>'Daily Halba'!D2</f>
        <v>1132797.0138716481</v>
      </c>
      <c r="D4" s="239"/>
      <c r="E4" s="239"/>
      <c r="F4" s="245" t="s">
        <v>210</v>
      </c>
      <c r="G4" s="240">
        <f>'BM Stock Tekrit'!E3</f>
        <v>1980</v>
      </c>
      <c r="H4" s="240">
        <f>Table_14[[#This Row],[Current]]</f>
        <v>1191</v>
      </c>
      <c r="I4" s="240">
        <f>'BM Stock Tekrit'!E6</f>
        <v>309.4660000000149</v>
      </c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</row>
    <row r="5" spans="1:26" ht="24.75" customHeight="1" x14ac:dyDescent="0.35">
      <c r="A5" s="239"/>
      <c r="B5" s="264" t="s">
        <v>4</v>
      </c>
      <c r="C5" s="269">
        <f>'BM Stock Halba'!N184</f>
        <v>1100428.8835500001</v>
      </c>
      <c r="D5" s="239"/>
      <c r="E5" s="239"/>
      <c r="F5" s="245" t="s">
        <v>107</v>
      </c>
      <c r="G5" s="240">
        <f>SUM(G3:G4)</f>
        <v>14370</v>
      </c>
      <c r="H5" s="240">
        <f>SUM(H3:H4)</f>
        <v>10221</v>
      </c>
      <c r="I5" s="240">
        <f>SUM(I3:I4)</f>
        <v>3999.4660000000149</v>
      </c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</row>
    <row r="6" spans="1:26" ht="24.75" customHeight="1" x14ac:dyDescent="0.35">
      <c r="A6" s="239"/>
      <c r="B6" s="265" t="s">
        <v>5</v>
      </c>
      <c r="C6" s="270">
        <f>'Daily Tekrit'!D2</f>
        <v>169776.61083083926</v>
      </c>
      <c r="D6" s="239"/>
      <c r="E6" s="239"/>
      <c r="F6" s="245" t="s">
        <v>220</v>
      </c>
      <c r="G6" s="243">
        <f>Table1[[#Totals],[28-Jun]]</f>
        <v>5482.8154960981046</v>
      </c>
      <c r="H6" s="239"/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</row>
    <row r="7" spans="1:26" ht="24.75" customHeight="1" x14ac:dyDescent="0.35">
      <c r="A7" s="239"/>
      <c r="B7" s="265" t="s">
        <v>6</v>
      </c>
      <c r="C7" s="270">
        <f>'Daily Tekrit'!E2</f>
        <v>157127.91100000002</v>
      </c>
      <c r="D7" s="239"/>
      <c r="E7" s="239"/>
      <c r="F7" s="253" t="s">
        <v>216</v>
      </c>
      <c r="G7" s="243">
        <f>(G5+H5)*1.228+I5*1.01+C8+G6</f>
        <v>60237.854308585331</v>
      </c>
      <c r="H7" s="239"/>
      <c r="I7" s="243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</row>
    <row r="8" spans="1:26" ht="24.75" customHeight="1" x14ac:dyDescent="0.35">
      <c r="A8" s="239"/>
      <c r="B8" s="263" t="s">
        <v>214</v>
      </c>
      <c r="C8" s="276">
        <f>C4+C6-C3-C5-C7+C9</f>
        <v>20517.830152487208</v>
      </c>
      <c r="D8" s="239"/>
      <c r="E8" s="239"/>
      <c r="F8" s="240"/>
      <c r="G8" s="243"/>
      <c r="H8" s="243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</row>
    <row r="9" spans="1:26" ht="24.75" customHeight="1" x14ac:dyDescent="0.35">
      <c r="A9" s="239"/>
      <c r="B9" s="277" t="s">
        <v>230</v>
      </c>
      <c r="C9" s="278">
        <v>113</v>
      </c>
      <c r="D9" s="239"/>
      <c r="E9" s="239"/>
      <c r="F9" s="239"/>
      <c r="G9" s="243"/>
      <c r="H9" s="252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</row>
    <row r="10" spans="1:26" ht="24.75" customHeight="1" x14ac:dyDescent="0.35">
      <c r="A10" s="239"/>
      <c r="D10" s="239"/>
      <c r="E10" s="243"/>
      <c r="F10" s="239"/>
      <c r="G10" s="243"/>
      <c r="H10" s="243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</row>
    <row r="11" spans="1:26" ht="14.25" customHeight="1" x14ac:dyDescent="0.35">
      <c r="A11" s="239"/>
      <c r="B11" s="244"/>
      <c r="C11" s="244"/>
      <c r="D11" s="239"/>
      <c r="E11" s="239"/>
      <c r="F11" s="239"/>
      <c r="G11" s="252"/>
      <c r="H11" s="252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</row>
    <row r="12" spans="1:26" ht="14.25" customHeight="1" x14ac:dyDescent="0.35">
      <c r="A12" s="239"/>
      <c r="B12" s="239"/>
      <c r="C12" s="239"/>
      <c r="D12" s="239"/>
      <c r="E12" s="239"/>
      <c r="F12" s="243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</row>
    <row r="13" spans="1:26" ht="14.25" customHeight="1" x14ac:dyDescent="0.35">
      <c r="A13" s="239"/>
      <c r="B13" s="239"/>
      <c r="C13" s="239"/>
      <c r="D13" s="239"/>
      <c r="E13" s="239"/>
      <c r="F13" s="243"/>
      <c r="G13" s="243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</row>
    <row r="14" spans="1:26" ht="14.25" customHeight="1" x14ac:dyDescent="0.35">
      <c r="A14" s="239"/>
      <c r="B14" s="239"/>
      <c r="C14" s="243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</row>
    <row r="15" spans="1:26" ht="14.25" customHeight="1" x14ac:dyDescent="0.35">
      <c r="A15" s="239"/>
      <c r="B15" s="239"/>
      <c r="C15" s="243"/>
      <c r="D15" s="239"/>
      <c r="E15" s="239"/>
      <c r="F15" s="239"/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</row>
    <row r="16" spans="1:26" ht="14.25" customHeight="1" x14ac:dyDescent="0.35">
      <c r="A16" s="239"/>
      <c r="B16" s="239"/>
      <c r="C16" s="243"/>
      <c r="D16" s="239"/>
      <c r="E16" s="239"/>
      <c r="F16" s="239"/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</row>
    <row r="17" spans="1:26" ht="14.25" customHeight="1" x14ac:dyDescent="0.35">
      <c r="A17" s="239"/>
      <c r="B17" s="239"/>
      <c r="C17" s="239"/>
      <c r="D17" s="244"/>
      <c r="E17" s="239"/>
      <c r="F17" s="239"/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</row>
    <row r="18" spans="1:26" ht="14.25" customHeight="1" x14ac:dyDescent="0.35">
      <c r="A18" s="239"/>
      <c r="B18" s="239"/>
      <c r="C18" s="239"/>
      <c r="D18" s="239"/>
      <c r="E18" s="239"/>
      <c r="F18" s="239"/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</row>
    <row r="19" spans="1:26" ht="14.25" customHeight="1" x14ac:dyDescent="0.35">
      <c r="A19" s="239"/>
      <c r="B19" s="239"/>
      <c r="C19" s="239"/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</row>
    <row r="20" spans="1:26" ht="14.25" customHeight="1" x14ac:dyDescent="0.35">
      <c r="A20" s="239"/>
      <c r="B20" s="239"/>
      <c r="C20" s="239"/>
      <c r="D20" s="239"/>
      <c r="E20" s="239"/>
      <c r="F20" s="239"/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</row>
    <row r="21" spans="1:26" ht="14.25" customHeight="1" x14ac:dyDescent="0.35">
      <c r="A21" s="239"/>
      <c r="B21" s="239"/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</row>
    <row r="22" spans="1:26" ht="14.25" customHeight="1" x14ac:dyDescent="0.35">
      <c r="A22" s="239"/>
      <c r="B22" s="239"/>
      <c r="C22" s="239"/>
      <c r="D22" s="239"/>
      <c r="E22" s="239"/>
      <c r="F22" s="239"/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</row>
    <row r="23" spans="1:26" ht="14.25" customHeight="1" x14ac:dyDescent="0.35">
      <c r="A23" s="239"/>
      <c r="B23" s="239"/>
      <c r="C23" s="239"/>
      <c r="D23" s="239"/>
      <c r="E23" s="239"/>
      <c r="F23" s="239"/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</row>
    <row r="24" spans="1:26" ht="14.25" customHeight="1" x14ac:dyDescent="0.35">
      <c r="A24" s="239"/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</row>
    <row r="25" spans="1:26" ht="14.25" customHeight="1" x14ac:dyDescent="0.35">
      <c r="A25" s="239"/>
      <c r="B25" s="239"/>
      <c r="C25" s="239"/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</row>
    <row r="26" spans="1:26" ht="14.25" customHeight="1" x14ac:dyDescent="0.35">
      <c r="A26" s="239"/>
      <c r="B26" s="239"/>
      <c r="C26" s="239"/>
      <c r="D26" s="239"/>
      <c r="E26" s="239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</row>
    <row r="27" spans="1:26" ht="14.25" customHeight="1" x14ac:dyDescent="0.35">
      <c r="A27" s="239"/>
      <c r="B27" s="239"/>
      <c r="C27" s="239"/>
      <c r="D27" s="239"/>
      <c r="E27" s="239"/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</row>
    <row r="28" spans="1:26" ht="14.25" customHeight="1" x14ac:dyDescent="0.35">
      <c r="A28" s="239"/>
      <c r="B28" s="239"/>
      <c r="C28" s="239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</row>
    <row r="29" spans="1:26" ht="14.25" customHeight="1" x14ac:dyDescent="0.35">
      <c r="A29" s="239"/>
      <c r="B29" s="239"/>
      <c r="C29" s="239"/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</row>
    <row r="30" spans="1:26" ht="14.25" customHeight="1" x14ac:dyDescent="0.35">
      <c r="A30" s="239"/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</row>
    <row r="31" spans="1:26" ht="14.25" customHeight="1" x14ac:dyDescent="0.35">
      <c r="A31" s="239"/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</row>
    <row r="32" spans="1:26" ht="14.25" customHeight="1" x14ac:dyDescent="0.35">
      <c r="A32" s="239"/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</row>
    <row r="33" spans="1:26" ht="14.25" customHeight="1" x14ac:dyDescent="0.35">
      <c r="A33" s="239"/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</row>
    <row r="34" spans="1:26" ht="14.25" customHeight="1" x14ac:dyDescent="0.35">
      <c r="A34" s="239"/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</row>
    <row r="35" spans="1:26" ht="14.25" customHeight="1" x14ac:dyDescent="0.35">
      <c r="A35" s="239"/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</row>
    <row r="36" spans="1:26" ht="14.25" customHeight="1" x14ac:dyDescent="0.35">
      <c r="A36" s="239"/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</row>
    <row r="37" spans="1:26" ht="14.25" customHeight="1" x14ac:dyDescent="0.35">
      <c r="A37" s="239"/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</row>
    <row r="38" spans="1:26" ht="14.25" customHeight="1" x14ac:dyDescent="0.35">
      <c r="A38" s="239"/>
      <c r="B38" s="239"/>
      <c r="C38" s="239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</row>
    <row r="39" spans="1:26" ht="14.25" customHeight="1" x14ac:dyDescent="0.35">
      <c r="A39" s="239"/>
      <c r="B39" s="239"/>
      <c r="C39" s="239"/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</row>
    <row r="40" spans="1:26" ht="14.25" customHeight="1" x14ac:dyDescent="0.35">
      <c r="A40" s="239"/>
      <c r="B40" s="239"/>
      <c r="C40" s="239"/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</row>
    <row r="41" spans="1:26" ht="14.25" customHeight="1" x14ac:dyDescent="0.35">
      <c r="A41" s="239"/>
      <c r="B41" s="239"/>
      <c r="C41" s="239"/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</row>
    <row r="42" spans="1:26" ht="14.25" customHeight="1" x14ac:dyDescent="0.35">
      <c r="A42" s="239"/>
      <c r="B42" s="239"/>
      <c r="C42" s="239"/>
      <c r="D42" s="239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</row>
    <row r="43" spans="1:26" ht="14.25" customHeight="1" x14ac:dyDescent="0.35">
      <c r="A43" s="239"/>
      <c r="B43" s="239"/>
      <c r="C43" s="239"/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</row>
    <row r="44" spans="1:26" ht="14.25" customHeight="1" x14ac:dyDescent="0.35">
      <c r="A44" s="239"/>
      <c r="B44" s="239"/>
      <c r="C44" s="239"/>
      <c r="D44" s="239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</row>
    <row r="45" spans="1:26" ht="14.25" customHeight="1" x14ac:dyDescent="0.35">
      <c r="A45" s="239"/>
      <c r="B45" s="239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</row>
    <row r="46" spans="1:26" ht="14.25" customHeight="1" x14ac:dyDescent="0.35">
      <c r="A46" s="239"/>
      <c r="B46" s="239"/>
      <c r="C46" s="239"/>
      <c r="D46" s="239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</row>
    <row r="47" spans="1:26" ht="14.25" customHeight="1" x14ac:dyDescent="0.35">
      <c r="A47" s="239"/>
      <c r="B47" s="239"/>
      <c r="C47" s="239"/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</row>
    <row r="48" spans="1:26" ht="14.25" customHeight="1" x14ac:dyDescent="0.35">
      <c r="A48" s="239"/>
      <c r="B48" s="239"/>
      <c r="C48" s="239"/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</row>
    <row r="49" spans="1:26" ht="14.25" customHeight="1" x14ac:dyDescent="0.35">
      <c r="A49" s="239"/>
      <c r="B49" s="239"/>
      <c r="C49" s="239"/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</row>
    <row r="50" spans="1:26" ht="14.25" customHeight="1" x14ac:dyDescent="0.35">
      <c r="A50" s="239"/>
      <c r="B50" s="239"/>
      <c r="C50" s="239"/>
      <c r="D50" s="239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</row>
    <row r="51" spans="1:26" ht="14.25" customHeight="1" x14ac:dyDescent="0.35">
      <c r="A51" s="239"/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</row>
    <row r="52" spans="1:26" ht="14.25" customHeight="1" x14ac:dyDescent="0.35">
      <c r="A52" s="239"/>
      <c r="B52" s="239"/>
      <c r="C52" s="239"/>
      <c r="D52" s="239"/>
      <c r="E52" s="239"/>
      <c r="F52" s="239"/>
      <c r="G52" s="239"/>
      <c r="H52" s="239"/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</row>
    <row r="53" spans="1:26" ht="14.25" customHeight="1" x14ac:dyDescent="0.35">
      <c r="A53" s="239"/>
      <c r="B53" s="239"/>
      <c r="C53" s="239"/>
      <c r="D53" s="239"/>
      <c r="E53" s="239"/>
      <c r="F53" s="239"/>
      <c r="G53" s="239"/>
      <c r="H53" s="239"/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</row>
    <row r="54" spans="1:26" ht="14.25" customHeight="1" x14ac:dyDescent="0.35">
      <c r="A54" s="239"/>
      <c r="B54" s="239"/>
      <c r="C54" s="239"/>
      <c r="D54" s="239"/>
      <c r="E54" s="239"/>
      <c r="F54" s="239"/>
      <c r="G54" s="239"/>
      <c r="H54" s="239"/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</row>
    <row r="55" spans="1:26" ht="14.25" customHeight="1" x14ac:dyDescent="0.35">
      <c r="A55" s="239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</row>
    <row r="56" spans="1:26" ht="14.25" customHeight="1" x14ac:dyDescent="0.35">
      <c r="A56" s="239"/>
      <c r="B56" s="239"/>
      <c r="C56" s="239"/>
      <c r="D56" s="239"/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</row>
    <row r="57" spans="1:26" ht="14.25" customHeight="1" x14ac:dyDescent="0.35">
      <c r="A57" s="239"/>
      <c r="B57" s="239"/>
      <c r="C57" s="239"/>
      <c r="D57" s="239"/>
      <c r="E57" s="239"/>
      <c r="F57" s="239"/>
      <c r="G57" s="239"/>
      <c r="H57" s="239"/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</row>
    <row r="58" spans="1:26" ht="14.25" customHeight="1" x14ac:dyDescent="0.35">
      <c r="A58" s="239"/>
      <c r="B58" s="239"/>
      <c r="C58" s="239"/>
      <c r="D58" s="239"/>
      <c r="E58" s="239"/>
      <c r="F58" s="239"/>
      <c r="G58" s="239"/>
      <c r="H58" s="239"/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</row>
    <row r="59" spans="1:26" ht="14.25" customHeight="1" x14ac:dyDescent="0.35">
      <c r="A59" s="239"/>
      <c r="B59" s="239"/>
      <c r="C59" s="239"/>
      <c r="D59" s="239"/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</row>
    <row r="60" spans="1:26" ht="14.25" customHeight="1" x14ac:dyDescent="0.35">
      <c r="A60" s="239"/>
      <c r="B60" s="239"/>
      <c r="C60" s="239"/>
      <c r="D60" s="239"/>
      <c r="E60" s="239"/>
      <c r="F60" s="239"/>
      <c r="G60" s="239"/>
      <c r="H60" s="239"/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</row>
    <row r="61" spans="1:26" ht="14.25" customHeight="1" x14ac:dyDescent="0.35">
      <c r="A61" s="239"/>
      <c r="B61" s="239"/>
      <c r="C61" s="239"/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</row>
    <row r="62" spans="1:26" ht="14.25" customHeight="1" x14ac:dyDescent="0.35">
      <c r="A62" s="239"/>
      <c r="B62" s="239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</row>
    <row r="63" spans="1:26" ht="14.25" customHeight="1" x14ac:dyDescent="0.35">
      <c r="A63" s="239"/>
      <c r="B63" s="239"/>
      <c r="C63" s="239"/>
      <c r="D63" s="239"/>
      <c r="E63" s="239"/>
      <c r="F63" s="239"/>
      <c r="G63" s="239"/>
      <c r="H63" s="239"/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</row>
    <row r="64" spans="1:26" ht="14.25" customHeight="1" x14ac:dyDescent="0.35">
      <c r="A64" s="239"/>
      <c r="B64" s="239"/>
      <c r="C64" s="239"/>
      <c r="D64" s="239"/>
      <c r="E64" s="239"/>
      <c r="F64" s="239"/>
      <c r="G64" s="239"/>
      <c r="H64" s="239"/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</row>
    <row r="65" spans="1:26" ht="14.25" customHeight="1" x14ac:dyDescent="0.35">
      <c r="A65" s="239"/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</row>
    <row r="66" spans="1:26" ht="14.25" customHeight="1" x14ac:dyDescent="0.35">
      <c r="A66" s="239"/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</row>
    <row r="67" spans="1:26" ht="14.25" customHeight="1" x14ac:dyDescent="0.35">
      <c r="A67" s="239"/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</row>
    <row r="68" spans="1:26" ht="14.25" customHeight="1" x14ac:dyDescent="0.35">
      <c r="A68" s="239"/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</row>
    <row r="69" spans="1:26" ht="14.25" customHeight="1" x14ac:dyDescent="0.35">
      <c r="A69" s="239"/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</row>
    <row r="70" spans="1:26" ht="14.25" customHeight="1" x14ac:dyDescent="0.35">
      <c r="A70" s="239"/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</row>
    <row r="71" spans="1:26" ht="14.25" customHeight="1" x14ac:dyDescent="0.35">
      <c r="A71" s="239"/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</row>
    <row r="72" spans="1:26" ht="14.25" customHeight="1" x14ac:dyDescent="0.35">
      <c r="A72" s="239"/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</row>
    <row r="73" spans="1:26" ht="14.25" customHeight="1" x14ac:dyDescent="0.35">
      <c r="A73" s="239"/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</row>
    <row r="74" spans="1:26" ht="14.25" customHeight="1" x14ac:dyDescent="0.35">
      <c r="A74" s="239"/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</row>
    <row r="75" spans="1:26" ht="14.25" customHeight="1" x14ac:dyDescent="0.35">
      <c r="A75" s="239"/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</row>
    <row r="76" spans="1:26" ht="14.25" customHeight="1" x14ac:dyDescent="0.35">
      <c r="A76" s="239"/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</row>
    <row r="77" spans="1:26" ht="14.25" customHeight="1" x14ac:dyDescent="0.35">
      <c r="A77" s="239"/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</row>
    <row r="78" spans="1:26" ht="14.25" customHeight="1" x14ac:dyDescent="0.35">
      <c r="A78" s="239"/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</row>
    <row r="79" spans="1:26" ht="14.25" customHeight="1" x14ac:dyDescent="0.35">
      <c r="A79" s="239"/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</row>
    <row r="80" spans="1:26" ht="14.25" customHeight="1" x14ac:dyDescent="0.35">
      <c r="A80" s="239"/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</row>
    <row r="81" spans="1:26" ht="14.25" customHeight="1" x14ac:dyDescent="0.35">
      <c r="A81" s="239"/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</row>
    <row r="82" spans="1:26" ht="14.25" customHeight="1" x14ac:dyDescent="0.35">
      <c r="A82" s="239"/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</row>
    <row r="83" spans="1:26" ht="14.25" customHeight="1" x14ac:dyDescent="0.35">
      <c r="A83" s="239"/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</row>
    <row r="84" spans="1:26" ht="14.25" customHeight="1" x14ac:dyDescent="0.35">
      <c r="A84" s="239"/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</row>
    <row r="85" spans="1:26" ht="14.25" customHeight="1" x14ac:dyDescent="0.35">
      <c r="A85" s="239"/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</row>
    <row r="86" spans="1:26" ht="14.25" customHeight="1" x14ac:dyDescent="0.35">
      <c r="A86" s="239"/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</row>
    <row r="87" spans="1:26" ht="14.25" customHeight="1" x14ac:dyDescent="0.35">
      <c r="A87" s="239"/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</row>
    <row r="88" spans="1:26" ht="14.25" customHeight="1" x14ac:dyDescent="0.35">
      <c r="A88" s="239"/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</row>
    <row r="89" spans="1:26" ht="14.25" customHeight="1" x14ac:dyDescent="0.35">
      <c r="A89" s="239"/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</row>
    <row r="90" spans="1:26" ht="14.25" customHeight="1" x14ac:dyDescent="0.35">
      <c r="A90" s="239"/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</row>
    <row r="91" spans="1:26" ht="14.25" customHeight="1" x14ac:dyDescent="0.35">
      <c r="A91" s="239"/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</row>
    <row r="92" spans="1:26" ht="14.25" customHeight="1" x14ac:dyDescent="0.35">
      <c r="A92" s="239"/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</row>
    <row r="93" spans="1:26" ht="14.25" customHeight="1" x14ac:dyDescent="0.35">
      <c r="A93" s="239"/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</row>
    <row r="94" spans="1:26" ht="14.25" customHeight="1" x14ac:dyDescent="0.35">
      <c r="A94" s="239"/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</row>
    <row r="95" spans="1:26" ht="14.25" customHeight="1" x14ac:dyDescent="0.35">
      <c r="A95" s="239"/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</row>
    <row r="96" spans="1:26" ht="14.25" customHeight="1" x14ac:dyDescent="0.35">
      <c r="A96" s="239"/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</row>
    <row r="97" spans="1:26" ht="14.25" customHeight="1" x14ac:dyDescent="0.35">
      <c r="A97" s="239"/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</row>
    <row r="98" spans="1:26" ht="14.25" customHeight="1" x14ac:dyDescent="0.35">
      <c r="A98" s="239"/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</row>
    <row r="99" spans="1:26" ht="14.25" customHeight="1" x14ac:dyDescent="0.35">
      <c r="A99" s="239"/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</row>
    <row r="100" spans="1:26" ht="14.25" customHeight="1" x14ac:dyDescent="0.35">
      <c r="A100" s="239"/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</row>
    <row r="101" spans="1:26" ht="14.25" customHeight="1" x14ac:dyDescent="0.35">
      <c r="A101" s="239"/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</row>
    <row r="102" spans="1:26" ht="14.25" customHeight="1" x14ac:dyDescent="0.35">
      <c r="A102" s="239"/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</row>
    <row r="103" spans="1:26" ht="14.25" customHeight="1" x14ac:dyDescent="0.35">
      <c r="A103" s="239"/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</row>
    <row r="104" spans="1:26" ht="14.25" customHeight="1" x14ac:dyDescent="0.35">
      <c r="A104" s="239"/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</row>
    <row r="105" spans="1:26" ht="14.25" customHeight="1" x14ac:dyDescent="0.35">
      <c r="A105" s="239"/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</row>
    <row r="106" spans="1:26" ht="14.25" customHeight="1" x14ac:dyDescent="0.35">
      <c r="A106" s="239"/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</row>
    <row r="107" spans="1:26" ht="14.25" customHeight="1" x14ac:dyDescent="0.35">
      <c r="A107" s="239"/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</row>
    <row r="108" spans="1:26" ht="14.25" customHeight="1" x14ac:dyDescent="0.35">
      <c r="A108" s="239"/>
      <c r="B108" s="239"/>
      <c r="C108" s="239"/>
      <c r="D108" s="239"/>
      <c r="E108" s="239"/>
      <c r="F108" s="239"/>
      <c r="G108" s="239"/>
      <c r="H108" s="239"/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</row>
    <row r="109" spans="1:26" ht="14.25" customHeight="1" x14ac:dyDescent="0.35">
      <c r="A109" s="239"/>
      <c r="B109" s="239"/>
      <c r="C109" s="239"/>
      <c r="D109" s="239"/>
      <c r="E109" s="239"/>
      <c r="F109" s="239"/>
      <c r="G109" s="239"/>
      <c r="H109" s="239"/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</row>
    <row r="110" spans="1:26" ht="14.25" customHeight="1" x14ac:dyDescent="0.35">
      <c r="A110" s="239"/>
      <c r="B110" s="239"/>
      <c r="C110" s="239"/>
      <c r="D110" s="239"/>
      <c r="E110" s="239"/>
      <c r="F110" s="239"/>
      <c r="G110" s="239"/>
      <c r="H110" s="239"/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</row>
    <row r="111" spans="1:26" ht="14.25" customHeight="1" x14ac:dyDescent="0.35">
      <c r="A111" s="239"/>
      <c r="B111" s="239"/>
      <c r="C111" s="239"/>
      <c r="D111" s="239"/>
      <c r="E111" s="239"/>
      <c r="F111" s="239"/>
      <c r="G111" s="239"/>
      <c r="H111" s="239"/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</row>
    <row r="112" spans="1:26" ht="14.25" customHeight="1" x14ac:dyDescent="0.35">
      <c r="A112" s="239"/>
      <c r="B112" s="239"/>
      <c r="C112" s="239"/>
      <c r="D112" s="239"/>
      <c r="E112" s="239"/>
      <c r="F112" s="239"/>
      <c r="G112" s="239"/>
      <c r="H112" s="239"/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</row>
    <row r="113" spans="1:26" ht="14.25" customHeight="1" x14ac:dyDescent="0.35">
      <c r="A113" s="239"/>
      <c r="B113" s="239"/>
      <c r="C113" s="239"/>
      <c r="D113" s="239"/>
      <c r="E113" s="239"/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</row>
    <row r="114" spans="1:26" ht="14.25" customHeight="1" x14ac:dyDescent="0.35">
      <c r="A114" s="239"/>
      <c r="B114" s="239"/>
      <c r="C114" s="239"/>
      <c r="D114" s="239"/>
      <c r="E114" s="239"/>
      <c r="F114" s="239"/>
      <c r="G114" s="239"/>
      <c r="H114" s="239"/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</row>
    <row r="115" spans="1:26" ht="14.25" customHeight="1" x14ac:dyDescent="0.35">
      <c r="A115" s="239"/>
      <c r="B115" s="239"/>
      <c r="C115" s="239"/>
      <c r="D115" s="239"/>
      <c r="E115" s="239"/>
      <c r="F115" s="239"/>
      <c r="G115" s="239"/>
      <c r="H115" s="239"/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</row>
    <row r="116" spans="1:26" ht="14.25" customHeight="1" x14ac:dyDescent="0.35">
      <c r="A116" s="239"/>
      <c r="B116" s="239"/>
      <c r="C116" s="239"/>
      <c r="D116" s="239"/>
      <c r="E116" s="239"/>
      <c r="F116" s="239"/>
      <c r="G116" s="239"/>
      <c r="H116" s="239"/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</row>
    <row r="117" spans="1:26" ht="14.25" customHeight="1" x14ac:dyDescent="0.35">
      <c r="A117" s="239"/>
      <c r="B117" s="239"/>
      <c r="C117" s="239"/>
      <c r="D117" s="239"/>
      <c r="E117" s="239"/>
      <c r="F117" s="239"/>
      <c r="G117" s="239"/>
      <c r="H117" s="239"/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</row>
    <row r="118" spans="1:26" ht="14.25" customHeight="1" x14ac:dyDescent="0.35">
      <c r="A118" s="239"/>
      <c r="B118" s="239"/>
      <c r="C118" s="239"/>
      <c r="D118" s="239"/>
      <c r="E118" s="239"/>
      <c r="F118" s="239"/>
      <c r="G118" s="239"/>
      <c r="H118" s="239"/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</row>
    <row r="119" spans="1:26" ht="14.25" customHeight="1" x14ac:dyDescent="0.35">
      <c r="A119" s="239"/>
      <c r="B119" s="239"/>
      <c r="C119" s="239"/>
      <c r="D119" s="239"/>
      <c r="E119" s="239"/>
      <c r="F119" s="239"/>
      <c r="G119" s="239"/>
      <c r="H119" s="239"/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</row>
    <row r="120" spans="1:26" ht="14.25" customHeight="1" x14ac:dyDescent="0.35">
      <c r="A120" s="239"/>
      <c r="B120" s="239"/>
      <c r="C120" s="239"/>
      <c r="D120" s="239"/>
      <c r="E120" s="239"/>
      <c r="F120" s="239"/>
      <c r="G120" s="239"/>
      <c r="H120" s="239"/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</row>
    <row r="121" spans="1:26" ht="14.25" customHeight="1" x14ac:dyDescent="0.35">
      <c r="A121" s="239"/>
      <c r="B121" s="239"/>
      <c r="C121" s="239"/>
      <c r="D121" s="239"/>
      <c r="E121" s="239"/>
      <c r="F121" s="239"/>
      <c r="G121" s="239"/>
      <c r="H121" s="239"/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</row>
    <row r="122" spans="1:26" ht="14.25" customHeight="1" x14ac:dyDescent="0.35">
      <c r="A122" s="239"/>
      <c r="B122" s="239"/>
      <c r="C122" s="239"/>
      <c r="D122" s="239"/>
      <c r="E122" s="239"/>
      <c r="F122" s="239"/>
      <c r="G122" s="239"/>
      <c r="H122" s="239"/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</row>
    <row r="123" spans="1:26" ht="14.25" customHeight="1" x14ac:dyDescent="0.35">
      <c r="A123" s="239"/>
      <c r="B123" s="239"/>
      <c r="C123" s="239"/>
      <c r="D123" s="239"/>
      <c r="E123" s="239"/>
      <c r="F123" s="239"/>
      <c r="G123" s="239"/>
      <c r="H123" s="239"/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</row>
    <row r="124" spans="1:26" ht="14.25" customHeight="1" x14ac:dyDescent="0.35">
      <c r="A124" s="239"/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</row>
    <row r="125" spans="1:26" ht="14.25" customHeight="1" x14ac:dyDescent="0.35">
      <c r="A125" s="239"/>
      <c r="B125" s="239"/>
      <c r="C125" s="239"/>
      <c r="D125" s="239"/>
      <c r="E125" s="239"/>
      <c r="F125" s="239"/>
      <c r="G125" s="239"/>
      <c r="H125" s="239"/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</row>
    <row r="126" spans="1:26" ht="14.25" customHeight="1" x14ac:dyDescent="0.35">
      <c r="A126" s="239"/>
      <c r="B126" s="239"/>
      <c r="C126" s="239"/>
      <c r="D126" s="239"/>
      <c r="E126" s="239"/>
      <c r="F126" s="239"/>
      <c r="G126" s="239"/>
      <c r="H126" s="239"/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</row>
    <row r="127" spans="1:26" ht="14.25" customHeight="1" x14ac:dyDescent="0.35">
      <c r="A127" s="239"/>
      <c r="B127" s="239"/>
      <c r="C127" s="239"/>
      <c r="D127" s="239"/>
      <c r="E127" s="239"/>
      <c r="F127" s="239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</row>
    <row r="128" spans="1:26" ht="14.25" customHeight="1" x14ac:dyDescent="0.35">
      <c r="A128" s="239"/>
      <c r="B128" s="239"/>
      <c r="C128" s="239"/>
      <c r="D128" s="239"/>
      <c r="E128" s="239"/>
      <c r="F128" s="239"/>
      <c r="G128" s="239"/>
      <c r="H128" s="239"/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</row>
    <row r="129" spans="1:26" ht="14.25" customHeight="1" x14ac:dyDescent="0.35">
      <c r="A129" s="239"/>
      <c r="B129" s="239"/>
      <c r="C129" s="239"/>
      <c r="D129" s="239"/>
      <c r="E129" s="239"/>
      <c r="F129" s="239"/>
      <c r="G129" s="239"/>
      <c r="H129" s="239"/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</row>
    <row r="130" spans="1:26" ht="14.25" customHeight="1" x14ac:dyDescent="0.35">
      <c r="A130" s="239"/>
      <c r="B130" s="239"/>
      <c r="C130" s="239"/>
      <c r="D130" s="239"/>
      <c r="E130" s="239"/>
      <c r="F130" s="239"/>
      <c r="G130" s="239"/>
      <c r="H130" s="239"/>
      <c r="I130" s="239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</row>
    <row r="131" spans="1:26" ht="14.25" customHeight="1" x14ac:dyDescent="0.35">
      <c r="A131" s="239"/>
      <c r="B131" s="239"/>
      <c r="C131" s="239"/>
      <c r="D131" s="239"/>
      <c r="E131" s="239"/>
      <c r="F131" s="239"/>
      <c r="G131" s="239"/>
      <c r="H131" s="239"/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</row>
    <row r="132" spans="1:26" ht="14.25" customHeight="1" x14ac:dyDescent="0.35">
      <c r="A132" s="239"/>
      <c r="B132" s="239"/>
      <c r="C132" s="239"/>
      <c r="D132" s="239"/>
      <c r="E132" s="239"/>
      <c r="F132" s="239"/>
      <c r="G132" s="239"/>
      <c r="H132" s="239"/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</row>
    <row r="133" spans="1:26" ht="14.25" customHeight="1" x14ac:dyDescent="0.35">
      <c r="A133" s="239"/>
      <c r="B133" s="239"/>
      <c r="C133" s="239"/>
      <c r="D133" s="239"/>
      <c r="E133" s="239"/>
      <c r="F133" s="239"/>
      <c r="G133" s="239"/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</row>
    <row r="134" spans="1:26" ht="14.25" customHeight="1" x14ac:dyDescent="0.35">
      <c r="A134" s="239"/>
      <c r="B134" s="239"/>
      <c r="C134" s="239"/>
      <c r="D134" s="239"/>
      <c r="E134" s="239"/>
      <c r="F134" s="239"/>
      <c r="G134" s="239"/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</row>
    <row r="135" spans="1:26" ht="14.25" customHeight="1" x14ac:dyDescent="0.35">
      <c r="A135" s="239"/>
      <c r="B135" s="239"/>
      <c r="C135" s="239"/>
      <c r="D135" s="239"/>
      <c r="E135" s="239"/>
      <c r="F135" s="239"/>
      <c r="G135" s="239"/>
      <c r="H135" s="239"/>
      <c r="I135" s="239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</row>
    <row r="136" spans="1:26" ht="14.25" customHeight="1" x14ac:dyDescent="0.35">
      <c r="A136" s="239"/>
      <c r="B136" s="239"/>
      <c r="C136" s="239"/>
      <c r="D136" s="239"/>
      <c r="E136" s="239"/>
      <c r="F136" s="239"/>
      <c r="G136" s="239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</row>
    <row r="137" spans="1:26" ht="14.25" customHeight="1" x14ac:dyDescent="0.35">
      <c r="A137" s="239"/>
      <c r="B137" s="239"/>
      <c r="C137" s="239"/>
      <c r="D137" s="239"/>
      <c r="E137" s="239"/>
      <c r="F137" s="239"/>
      <c r="G137" s="239"/>
      <c r="H137" s="239"/>
      <c r="I137" s="239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</row>
    <row r="138" spans="1:26" ht="14.25" customHeight="1" x14ac:dyDescent="0.35">
      <c r="A138" s="239"/>
      <c r="B138" s="239"/>
      <c r="C138" s="239"/>
      <c r="D138" s="239"/>
      <c r="E138" s="239"/>
      <c r="F138" s="239"/>
      <c r="G138" s="239"/>
      <c r="H138" s="239"/>
      <c r="I138" s="239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</row>
    <row r="139" spans="1:26" ht="14.25" customHeight="1" x14ac:dyDescent="0.35">
      <c r="A139" s="239"/>
      <c r="B139" s="239"/>
      <c r="C139" s="239"/>
      <c r="D139" s="239"/>
      <c r="E139" s="239"/>
      <c r="F139" s="239"/>
      <c r="G139" s="239"/>
      <c r="H139" s="239"/>
      <c r="I139" s="239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</row>
    <row r="140" spans="1:26" ht="14.25" customHeight="1" x14ac:dyDescent="0.35">
      <c r="A140" s="239"/>
      <c r="B140" s="239"/>
      <c r="C140" s="239"/>
      <c r="D140" s="239"/>
      <c r="E140" s="239"/>
      <c r="F140" s="239"/>
      <c r="G140" s="239"/>
      <c r="H140" s="239"/>
      <c r="I140" s="239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  <c r="V140" s="239"/>
      <c r="W140" s="239"/>
      <c r="X140" s="239"/>
      <c r="Y140" s="239"/>
      <c r="Z140" s="239"/>
    </row>
    <row r="141" spans="1:26" ht="14.25" customHeight="1" x14ac:dyDescent="0.35">
      <c r="A141" s="239"/>
      <c r="B141" s="239"/>
      <c r="C141" s="239"/>
      <c r="D141" s="239"/>
      <c r="E141" s="239"/>
      <c r="F141" s="239"/>
      <c r="G141" s="239"/>
      <c r="H141" s="239"/>
      <c r="I141" s="239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239"/>
      <c r="Y141" s="239"/>
      <c r="Z141" s="239"/>
    </row>
    <row r="142" spans="1:26" ht="14.25" customHeight="1" x14ac:dyDescent="0.35">
      <c r="A142" s="239"/>
      <c r="B142" s="239"/>
      <c r="C142" s="239"/>
      <c r="D142" s="239"/>
      <c r="E142" s="239"/>
      <c r="F142" s="239"/>
      <c r="G142" s="239"/>
      <c r="H142" s="239"/>
      <c r="I142" s="239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</row>
    <row r="143" spans="1:26" ht="14.25" customHeight="1" x14ac:dyDescent="0.35">
      <c r="A143" s="239"/>
      <c r="B143" s="239"/>
      <c r="C143" s="239"/>
      <c r="D143" s="239"/>
      <c r="E143" s="239"/>
      <c r="F143" s="239"/>
      <c r="G143" s="239"/>
      <c r="H143" s="239"/>
      <c r="I143" s="239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</row>
    <row r="144" spans="1:26" ht="14.25" customHeight="1" x14ac:dyDescent="0.35">
      <c r="A144" s="239"/>
      <c r="B144" s="239"/>
      <c r="C144" s="239"/>
      <c r="D144" s="239"/>
      <c r="E144" s="239"/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</row>
    <row r="145" spans="1:26" ht="14.25" customHeight="1" x14ac:dyDescent="0.35">
      <c r="A145" s="239"/>
      <c r="B145" s="239"/>
      <c r="C145" s="239"/>
      <c r="D145" s="239"/>
      <c r="E145" s="239"/>
      <c r="F145" s="239"/>
      <c r="G145" s="239"/>
      <c r="H145" s="239"/>
      <c r="I145" s="239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</row>
    <row r="146" spans="1:26" ht="14.25" customHeight="1" x14ac:dyDescent="0.35">
      <c r="A146" s="239"/>
      <c r="B146" s="239"/>
      <c r="C146" s="239"/>
      <c r="D146" s="239"/>
      <c r="E146" s="239"/>
      <c r="F146" s="239"/>
      <c r="G146" s="239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  <c r="V146" s="239"/>
      <c r="W146" s="239"/>
      <c r="X146" s="239"/>
      <c r="Y146" s="239"/>
      <c r="Z146" s="239"/>
    </row>
    <row r="147" spans="1:26" ht="14.25" customHeight="1" x14ac:dyDescent="0.35">
      <c r="A147" s="239"/>
      <c r="B147" s="239"/>
      <c r="C147" s="239"/>
      <c r="D147" s="239"/>
      <c r="E147" s="239"/>
      <c r="F147" s="239"/>
      <c r="G147" s="239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  <c r="V147" s="239"/>
      <c r="W147" s="239"/>
      <c r="X147" s="239"/>
      <c r="Y147" s="239"/>
      <c r="Z147" s="239"/>
    </row>
    <row r="148" spans="1:26" ht="14.25" customHeight="1" x14ac:dyDescent="0.35">
      <c r="A148" s="239"/>
      <c r="B148" s="239"/>
      <c r="C148" s="239"/>
      <c r="D148" s="239"/>
      <c r="E148" s="239"/>
      <c r="F148" s="239"/>
      <c r="G148" s="239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</row>
    <row r="149" spans="1:26" ht="14.25" customHeight="1" x14ac:dyDescent="0.35">
      <c r="A149" s="239"/>
      <c r="B149" s="239"/>
      <c r="C149" s="239"/>
      <c r="D149" s="239"/>
      <c r="E149" s="239"/>
      <c r="F149" s="239"/>
      <c r="G149" s="239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</row>
    <row r="150" spans="1:26" ht="14.25" customHeight="1" x14ac:dyDescent="0.35">
      <c r="A150" s="239"/>
      <c r="B150" s="239"/>
      <c r="C150" s="239"/>
      <c r="D150" s="239"/>
      <c r="E150" s="239"/>
      <c r="F150" s="239"/>
      <c r="G150" s="239"/>
      <c r="H150" s="239"/>
      <c r="I150" s="239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</row>
    <row r="151" spans="1:26" ht="14.25" customHeight="1" x14ac:dyDescent="0.35">
      <c r="A151" s="239"/>
      <c r="B151" s="239"/>
      <c r="C151" s="239"/>
      <c r="D151" s="239"/>
      <c r="E151" s="239"/>
      <c r="F151" s="239"/>
      <c r="G151" s="239"/>
      <c r="H151" s="239"/>
      <c r="I151" s="239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  <c r="V151" s="239"/>
      <c r="W151" s="239"/>
      <c r="X151" s="239"/>
      <c r="Y151" s="239"/>
      <c r="Z151" s="239"/>
    </row>
    <row r="152" spans="1:26" ht="14.25" customHeight="1" x14ac:dyDescent="0.35">
      <c r="A152" s="239"/>
      <c r="B152" s="239"/>
      <c r="C152" s="239"/>
      <c r="D152" s="239"/>
      <c r="E152" s="239"/>
      <c r="F152" s="239"/>
      <c r="G152" s="239"/>
      <c r="H152" s="239"/>
      <c r="I152" s="239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  <c r="V152" s="239"/>
      <c r="W152" s="239"/>
      <c r="X152" s="239"/>
      <c r="Y152" s="239"/>
      <c r="Z152" s="239"/>
    </row>
    <row r="153" spans="1:26" ht="14.25" customHeight="1" x14ac:dyDescent="0.35">
      <c r="A153" s="239"/>
      <c r="B153" s="239"/>
      <c r="C153" s="239"/>
      <c r="D153" s="239"/>
      <c r="E153" s="239"/>
      <c r="F153" s="239"/>
      <c r="G153" s="239"/>
      <c r="H153" s="239"/>
      <c r="I153" s="239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  <c r="V153" s="239"/>
      <c r="W153" s="239"/>
      <c r="X153" s="239"/>
      <c r="Y153" s="239"/>
      <c r="Z153" s="239"/>
    </row>
    <row r="154" spans="1:26" ht="14.25" customHeight="1" x14ac:dyDescent="0.35">
      <c r="A154" s="239"/>
      <c r="B154" s="239"/>
      <c r="C154" s="239"/>
      <c r="D154" s="239"/>
      <c r="E154" s="239"/>
      <c r="F154" s="239"/>
      <c r="G154" s="239"/>
      <c r="H154" s="239"/>
      <c r="I154" s="239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  <c r="V154" s="239"/>
      <c r="W154" s="239"/>
      <c r="X154" s="239"/>
      <c r="Y154" s="239"/>
      <c r="Z154" s="239"/>
    </row>
    <row r="155" spans="1:26" ht="14.25" customHeight="1" x14ac:dyDescent="0.35">
      <c r="A155" s="239"/>
      <c r="B155" s="239"/>
      <c r="C155" s="239"/>
      <c r="D155" s="239"/>
      <c r="E155" s="239"/>
      <c r="F155" s="239"/>
      <c r="G155" s="239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  <c r="V155" s="239"/>
      <c r="W155" s="239"/>
      <c r="X155" s="239"/>
      <c r="Y155" s="239"/>
      <c r="Z155" s="239"/>
    </row>
    <row r="156" spans="1:26" ht="14.25" customHeight="1" x14ac:dyDescent="0.35">
      <c r="A156" s="239"/>
      <c r="B156" s="239"/>
      <c r="C156" s="239"/>
      <c r="D156" s="239"/>
      <c r="E156" s="239"/>
      <c r="F156" s="239"/>
      <c r="G156" s="239"/>
      <c r="H156" s="239"/>
      <c r="I156" s="239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  <c r="V156" s="239"/>
      <c r="W156" s="239"/>
      <c r="X156" s="239"/>
      <c r="Y156" s="239"/>
      <c r="Z156" s="239"/>
    </row>
    <row r="157" spans="1:26" ht="14.25" customHeight="1" x14ac:dyDescent="0.35">
      <c r="A157" s="239"/>
      <c r="B157" s="239"/>
      <c r="C157" s="239"/>
      <c r="D157" s="239"/>
      <c r="E157" s="239"/>
      <c r="F157" s="239"/>
      <c r="G157" s="239"/>
      <c r="H157" s="239"/>
      <c r="I157" s="239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</row>
    <row r="158" spans="1:26" ht="14.25" customHeight="1" x14ac:dyDescent="0.35">
      <c r="A158" s="239"/>
      <c r="B158" s="239"/>
      <c r="C158" s="239"/>
      <c r="D158" s="239"/>
      <c r="E158" s="239"/>
      <c r="F158" s="239"/>
      <c r="G158" s="239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</row>
    <row r="159" spans="1:26" ht="14.25" customHeight="1" x14ac:dyDescent="0.35">
      <c r="A159" s="239"/>
      <c r="B159" s="239"/>
      <c r="C159" s="239"/>
      <c r="D159" s="239"/>
      <c r="E159" s="239"/>
      <c r="F159" s="239"/>
      <c r="G159" s="239"/>
      <c r="H159" s="239"/>
      <c r="I159" s="239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</row>
    <row r="160" spans="1:26" ht="14.25" customHeight="1" x14ac:dyDescent="0.35">
      <c r="A160" s="239"/>
      <c r="B160" s="239"/>
      <c r="C160" s="239"/>
      <c r="D160" s="239"/>
      <c r="E160" s="239"/>
      <c r="F160" s="239"/>
      <c r="G160" s="239"/>
      <c r="H160" s="239"/>
      <c r="I160" s="239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</row>
    <row r="161" spans="1:26" ht="14.25" customHeight="1" x14ac:dyDescent="0.35">
      <c r="A161" s="239"/>
      <c r="B161" s="239"/>
      <c r="C161" s="239"/>
      <c r="D161" s="239"/>
      <c r="E161" s="239"/>
      <c r="F161" s="239"/>
      <c r="G161" s="239"/>
      <c r="H161" s="239"/>
      <c r="I161" s="239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</row>
    <row r="162" spans="1:26" ht="14.25" customHeight="1" x14ac:dyDescent="0.35">
      <c r="A162" s="239"/>
      <c r="B162" s="239"/>
      <c r="C162" s="239"/>
      <c r="D162" s="239"/>
      <c r="E162" s="239"/>
      <c r="F162" s="239"/>
      <c r="G162" s="239"/>
      <c r="H162" s="239"/>
      <c r="I162" s="239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  <c r="Z162" s="239"/>
    </row>
    <row r="163" spans="1:26" ht="14.25" customHeight="1" x14ac:dyDescent="0.35">
      <c r="A163" s="239"/>
      <c r="B163" s="239"/>
      <c r="C163" s="239"/>
      <c r="D163" s="239"/>
      <c r="E163" s="239"/>
      <c r="F163" s="239"/>
      <c r="G163" s="239"/>
      <c r="H163" s="239"/>
      <c r="I163" s="239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</row>
    <row r="164" spans="1:26" ht="14.25" customHeight="1" x14ac:dyDescent="0.35">
      <c r="A164" s="239"/>
      <c r="B164" s="239"/>
      <c r="C164" s="239"/>
      <c r="D164" s="239"/>
      <c r="E164" s="239"/>
      <c r="F164" s="239"/>
      <c r="G164" s="239"/>
      <c r="H164" s="239"/>
      <c r="I164" s="239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  <c r="V164" s="239"/>
      <c r="W164" s="239"/>
      <c r="X164" s="239"/>
      <c r="Y164" s="239"/>
      <c r="Z164" s="239"/>
    </row>
    <row r="165" spans="1:26" ht="14.25" customHeight="1" x14ac:dyDescent="0.35">
      <c r="A165" s="239"/>
      <c r="B165" s="239"/>
      <c r="C165" s="239"/>
      <c r="D165" s="239"/>
      <c r="E165" s="239"/>
      <c r="F165" s="239"/>
      <c r="G165" s="239"/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</row>
    <row r="166" spans="1:26" ht="14.25" customHeight="1" x14ac:dyDescent="0.35">
      <c r="A166" s="239"/>
      <c r="B166" s="239"/>
      <c r="C166" s="239"/>
      <c r="D166" s="239"/>
      <c r="E166" s="239"/>
      <c r="F166" s="239"/>
      <c r="G166" s="239"/>
      <c r="H166" s="239"/>
      <c r="I166" s="239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  <c r="V166" s="239"/>
      <c r="W166" s="239"/>
      <c r="X166" s="239"/>
      <c r="Y166" s="239"/>
      <c r="Z166" s="239"/>
    </row>
    <row r="167" spans="1:26" ht="14.25" customHeight="1" x14ac:dyDescent="0.35">
      <c r="A167" s="239"/>
      <c r="B167" s="239"/>
      <c r="C167" s="239"/>
      <c r="D167" s="239"/>
      <c r="E167" s="239"/>
      <c r="F167" s="239"/>
      <c r="G167" s="239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  <c r="V167" s="239"/>
      <c r="W167" s="239"/>
      <c r="X167" s="239"/>
      <c r="Y167" s="239"/>
      <c r="Z167" s="239"/>
    </row>
    <row r="168" spans="1:26" ht="14.25" customHeight="1" x14ac:dyDescent="0.35">
      <c r="A168" s="239"/>
      <c r="B168" s="239"/>
      <c r="C168" s="239"/>
      <c r="D168" s="239"/>
      <c r="E168" s="239"/>
      <c r="F168" s="239"/>
      <c r="G168" s="239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  <c r="V168" s="239"/>
      <c r="W168" s="239"/>
      <c r="X168" s="239"/>
      <c r="Y168" s="239"/>
      <c r="Z168" s="239"/>
    </row>
    <row r="169" spans="1:26" ht="14.25" customHeight="1" x14ac:dyDescent="0.35">
      <c r="A169" s="239"/>
      <c r="B169" s="239"/>
      <c r="C169" s="239"/>
      <c r="D169" s="239"/>
      <c r="E169" s="239"/>
      <c r="F169" s="239"/>
      <c r="G169" s="239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</row>
    <row r="170" spans="1:26" ht="14.25" customHeight="1" x14ac:dyDescent="0.35">
      <c r="A170" s="239"/>
      <c r="B170" s="239"/>
      <c r="C170" s="239"/>
      <c r="D170" s="239"/>
      <c r="E170" s="239"/>
      <c r="F170" s="239"/>
      <c r="G170" s="239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  <c r="V170" s="239"/>
      <c r="W170" s="239"/>
      <c r="X170" s="239"/>
      <c r="Y170" s="239"/>
      <c r="Z170" s="239"/>
    </row>
    <row r="171" spans="1:26" ht="14.25" customHeight="1" x14ac:dyDescent="0.35">
      <c r="A171" s="239"/>
      <c r="B171" s="239"/>
      <c r="C171" s="239"/>
      <c r="D171" s="239"/>
      <c r="E171" s="239"/>
      <c r="F171" s="239"/>
      <c r="G171" s="239"/>
      <c r="H171" s="239"/>
      <c r="I171" s="239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  <c r="V171" s="239"/>
      <c r="W171" s="239"/>
      <c r="X171" s="239"/>
      <c r="Y171" s="239"/>
      <c r="Z171" s="239"/>
    </row>
    <row r="172" spans="1:26" ht="14.25" customHeight="1" x14ac:dyDescent="0.35">
      <c r="A172" s="239"/>
      <c r="B172" s="239"/>
      <c r="C172" s="239"/>
      <c r="D172" s="239"/>
      <c r="E172" s="239"/>
      <c r="F172" s="239"/>
      <c r="G172" s="239"/>
      <c r="H172" s="239"/>
      <c r="I172" s="239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</row>
    <row r="173" spans="1:26" ht="14.25" customHeight="1" x14ac:dyDescent="0.35">
      <c r="A173" s="239"/>
      <c r="B173" s="239"/>
      <c r="C173" s="239"/>
      <c r="D173" s="239"/>
      <c r="E173" s="239"/>
      <c r="F173" s="239"/>
      <c r="G173" s="239"/>
      <c r="H173" s="239"/>
      <c r="I173" s="239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  <c r="V173" s="239"/>
      <c r="W173" s="239"/>
      <c r="X173" s="239"/>
      <c r="Y173" s="239"/>
      <c r="Z173" s="239"/>
    </row>
    <row r="174" spans="1:26" ht="14.25" customHeight="1" x14ac:dyDescent="0.35">
      <c r="A174" s="239"/>
      <c r="B174" s="239"/>
      <c r="C174" s="239"/>
      <c r="D174" s="239"/>
      <c r="E174" s="239"/>
      <c r="F174" s="239"/>
      <c r="G174" s="239"/>
      <c r="H174" s="239"/>
      <c r="I174" s="239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  <c r="V174" s="239"/>
      <c r="W174" s="239"/>
      <c r="X174" s="239"/>
      <c r="Y174" s="239"/>
      <c r="Z174" s="239"/>
    </row>
    <row r="175" spans="1:26" ht="14.25" customHeight="1" x14ac:dyDescent="0.35">
      <c r="A175" s="239"/>
      <c r="B175" s="239"/>
      <c r="C175" s="239"/>
      <c r="D175" s="239"/>
      <c r="E175" s="239"/>
      <c r="F175" s="239"/>
      <c r="G175" s="239"/>
      <c r="H175" s="239"/>
      <c r="I175" s="239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</row>
    <row r="176" spans="1:26" ht="14.25" customHeight="1" x14ac:dyDescent="0.35">
      <c r="A176" s="239"/>
      <c r="B176" s="239"/>
      <c r="C176" s="239"/>
      <c r="D176" s="239"/>
      <c r="E176" s="239"/>
      <c r="F176" s="239"/>
      <c r="G176" s="239"/>
      <c r="H176" s="239"/>
      <c r="I176" s="239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  <c r="V176" s="239"/>
      <c r="W176" s="239"/>
      <c r="X176" s="239"/>
      <c r="Y176" s="239"/>
      <c r="Z176" s="239"/>
    </row>
    <row r="177" spans="1:26" ht="14.25" customHeight="1" x14ac:dyDescent="0.35">
      <c r="A177" s="239"/>
      <c r="B177" s="239"/>
      <c r="C177" s="239"/>
      <c r="D177" s="239"/>
      <c r="E177" s="239"/>
      <c r="F177" s="239"/>
      <c r="G177" s="239"/>
      <c r="H177" s="239"/>
      <c r="I177" s="239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  <c r="V177" s="239"/>
      <c r="W177" s="239"/>
      <c r="X177" s="239"/>
      <c r="Y177" s="239"/>
      <c r="Z177" s="239"/>
    </row>
    <row r="178" spans="1:26" ht="14.25" customHeight="1" x14ac:dyDescent="0.35">
      <c r="A178" s="239"/>
      <c r="B178" s="239"/>
      <c r="C178" s="239"/>
      <c r="D178" s="239"/>
      <c r="E178" s="239"/>
      <c r="F178" s="239"/>
      <c r="G178" s="239"/>
      <c r="H178" s="239"/>
      <c r="I178" s="239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</row>
    <row r="179" spans="1:26" ht="14.25" customHeight="1" x14ac:dyDescent="0.35">
      <c r="A179" s="239"/>
      <c r="B179" s="239"/>
      <c r="C179" s="239"/>
      <c r="D179" s="239"/>
      <c r="E179" s="239"/>
      <c r="F179" s="239"/>
      <c r="G179" s="239"/>
      <c r="H179" s="239"/>
      <c r="I179" s="239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</row>
    <row r="180" spans="1:26" ht="14.25" customHeight="1" x14ac:dyDescent="0.35">
      <c r="A180" s="239"/>
      <c r="B180" s="239"/>
      <c r="C180" s="239"/>
      <c r="D180" s="239"/>
      <c r="E180" s="239"/>
      <c r="F180" s="239"/>
      <c r="G180" s="239"/>
      <c r="H180" s="239"/>
      <c r="I180" s="239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  <c r="V180" s="239"/>
      <c r="W180" s="239"/>
      <c r="X180" s="239"/>
      <c r="Y180" s="239"/>
      <c r="Z180" s="239"/>
    </row>
    <row r="181" spans="1:26" ht="14.25" customHeight="1" x14ac:dyDescent="0.35">
      <c r="A181" s="239"/>
      <c r="B181" s="239"/>
      <c r="C181" s="239"/>
      <c r="D181" s="239"/>
      <c r="E181" s="239"/>
      <c r="F181" s="239"/>
      <c r="G181" s="239"/>
      <c r="H181" s="239"/>
      <c r="I181" s="239"/>
      <c r="J181" s="239"/>
      <c r="K181" s="239"/>
      <c r="L181" s="239"/>
      <c r="M181" s="239"/>
      <c r="N181" s="239"/>
      <c r="O181" s="239"/>
      <c r="P181" s="239"/>
      <c r="Q181" s="239"/>
      <c r="R181" s="239"/>
      <c r="S181" s="239"/>
      <c r="T181" s="239"/>
      <c r="U181" s="239"/>
      <c r="V181" s="239"/>
      <c r="W181" s="239"/>
      <c r="X181" s="239"/>
      <c r="Y181" s="239"/>
      <c r="Z181" s="239"/>
    </row>
    <row r="182" spans="1:26" ht="14.25" customHeight="1" x14ac:dyDescent="0.35">
      <c r="A182" s="239"/>
      <c r="B182" s="239"/>
      <c r="C182" s="239"/>
      <c r="D182" s="239"/>
      <c r="E182" s="239"/>
      <c r="F182" s="239"/>
      <c r="G182" s="239"/>
      <c r="H182" s="239"/>
      <c r="I182" s="239"/>
      <c r="J182" s="239"/>
      <c r="K182" s="239"/>
      <c r="L182" s="239"/>
      <c r="M182" s="239"/>
      <c r="N182" s="239"/>
      <c r="O182" s="239"/>
      <c r="P182" s="239"/>
      <c r="Q182" s="239"/>
      <c r="R182" s="239"/>
      <c r="S182" s="239"/>
      <c r="T182" s="239"/>
      <c r="U182" s="239"/>
      <c r="V182" s="239"/>
      <c r="W182" s="239"/>
      <c r="X182" s="239"/>
      <c r="Y182" s="239"/>
      <c r="Z182" s="239"/>
    </row>
    <row r="183" spans="1:26" ht="14.25" customHeight="1" x14ac:dyDescent="0.35">
      <c r="A183" s="239"/>
      <c r="B183" s="239"/>
      <c r="C183" s="239"/>
      <c r="D183" s="239"/>
      <c r="E183" s="239"/>
      <c r="F183" s="239"/>
      <c r="G183" s="239"/>
      <c r="H183" s="239"/>
      <c r="I183" s="239"/>
      <c r="J183" s="239"/>
      <c r="K183" s="239"/>
      <c r="L183" s="239"/>
      <c r="M183" s="239"/>
      <c r="N183" s="239"/>
      <c r="O183" s="239"/>
      <c r="P183" s="239"/>
      <c r="Q183" s="239"/>
      <c r="R183" s="239"/>
      <c r="S183" s="239"/>
      <c r="T183" s="239"/>
      <c r="U183" s="239"/>
      <c r="V183" s="239"/>
      <c r="W183" s="239"/>
      <c r="X183" s="239"/>
      <c r="Y183" s="239"/>
      <c r="Z183" s="239"/>
    </row>
    <row r="184" spans="1:26" ht="14.25" customHeight="1" x14ac:dyDescent="0.35">
      <c r="A184" s="239"/>
      <c r="B184" s="239"/>
      <c r="C184" s="239"/>
      <c r="D184" s="239"/>
      <c r="E184" s="239"/>
      <c r="F184" s="239"/>
      <c r="G184" s="239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</row>
    <row r="185" spans="1:26" ht="14.25" customHeight="1" x14ac:dyDescent="0.35">
      <c r="A185" s="239"/>
      <c r="B185" s="239"/>
      <c r="C185" s="239"/>
      <c r="D185" s="239"/>
      <c r="E185" s="239"/>
      <c r="F185" s="239"/>
      <c r="G185" s="239"/>
      <c r="H185" s="239"/>
      <c r="I185" s="239"/>
      <c r="J185" s="239"/>
      <c r="K185" s="239"/>
      <c r="L185" s="239"/>
      <c r="M185" s="239"/>
      <c r="N185" s="239"/>
      <c r="O185" s="239"/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</row>
    <row r="186" spans="1:26" ht="14.25" customHeight="1" x14ac:dyDescent="0.35">
      <c r="A186" s="239"/>
      <c r="B186" s="239"/>
      <c r="C186" s="239"/>
      <c r="D186" s="239"/>
      <c r="E186" s="239"/>
      <c r="F186" s="239"/>
      <c r="G186" s="239"/>
      <c r="H186" s="239"/>
      <c r="I186" s="239"/>
      <c r="J186" s="239"/>
      <c r="K186" s="239"/>
      <c r="L186" s="239"/>
      <c r="M186" s="239"/>
      <c r="N186" s="239"/>
      <c r="O186" s="239"/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</row>
    <row r="187" spans="1:26" ht="14.25" customHeight="1" x14ac:dyDescent="0.35">
      <c r="A187" s="239"/>
      <c r="B187" s="239"/>
      <c r="C187" s="239"/>
      <c r="D187" s="239"/>
      <c r="E187" s="239"/>
      <c r="F187" s="239"/>
      <c r="G187" s="239"/>
      <c r="H187" s="239"/>
      <c r="I187" s="239"/>
      <c r="J187" s="239"/>
      <c r="K187" s="239"/>
      <c r="L187" s="239"/>
      <c r="M187" s="239"/>
      <c r="N187" s="239"/>
      <c r="O187" s="239"/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</row>
    <row r="188" spans="1:26" ht="14.25" customHeight="1" x14ac:dyDescent="0.35">
      <c r="A188" s="239"/>
      <c r="B188" s="239"/>
      <c r="C188" s="239"/>
      <c r="D188" s="239"/>
      <c r="E188" s="239"/>
      <c r="F188" s="239"/>
      <c r="G188" s="239"/>
      <c r="H188" s="239"/>
      <c r="I188" s="239"/>
      <c r="J188" s="239"/>
      <c r="K188" s="239"/>
      <c r="L188" s="239"/>
      <c r="M188" s="239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</row>
    <row r="189" spans="1:26" ht="14.25" customHeight="1" x14ac:dyDescent="0.35">
      <c r="A189" s="239"/>
      <c r="B189" s="239"/>
      <c r="C189" s="239"/>
      <c r="D189" s="239"/>
      <c r="E189" s="239"/>
      <c r="F189" s="239"/>
      <c r="G189" s="239"/>
      <c r="H189" s="239"/>
      <c r="I189" s="239"/>
      <c r="J189" s="239"/>
      <c r="K189" s="239"/>
      <c r="L189" s="239"/>
      <c r="M189" s="239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</row>
    <row r="190" spans="1:26" ht="14.25" customHeight="1" x14ac:dyDescent="0.35">
      <c r="A190" s="239"/>
      <c r="B190" s="239"/>
      <c r="C190" s="239"/>
      <c r="D190" s="239"/>
      <c r="E190" s="239"/>
      <c r="F190" s="239"/>
      <c r="G190" s="239"/>
      <c r="H190" s="239"/>
      <c r="I190" s="239"/>
      <c r="J190" s="239"/>
      <c r="K190" s="239"/>
      <c r="L190" s="239"/>
      <c r="M190" s="239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</row>
    <row r="191" spans="1:26" ht="14.25" customHeight="1" x14ac:dyDescent="0.35">
      <c r="A191" s="239"/>
      <c r="B191" s="239"/>
      <c r="C191" s="239"/>
      <c r="D191" s="239"/>
      <c r="E191" s="239"/>
      <c r="F191" s="239"/>
      <c r="G191" s="239"/>
      <c r="H191" s="239"/>
      <c r="I191" s="239"/>
      <c r="J191" s="239"/>
      <c r="K191" s="239"/>
      <c r="L191" s="239"/>
      <c r="M191" s="239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</row>
    <row r="192" spans="1:26" ht="14.25" customHeight="1" x14ac:dyDescent="0.35">
      <c r="A192" s="239"/>
      <c r="B192" s="239"/>
      <c r="C192" s="239"/>
      <c r="D192" s="239"/>
      <c r="E192" s="239"/>
      <c r="F192" s="239"/>
      <c r="G192" s="239"/>
      <c r="H192" s="239"/>
      <c r="I192" s="239"/>
      <c r="J192" s="239"/>
      <c r="K192" s="239"/>
      <c r="L192" s="239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</row>
    <row r="193" spans="1:26" ht="14.25" customHeight="1" x14ac:dyDescent="0.35">
      <c r="A193" s="239"/>
      <c r="B193" s="239"/>
      <c r="C193" s="239"/>
      <c r="D193" s="239"/>
      <c r="E193" s="239"/>
      <c r="F193" s="239"/>
      <c r="G193" s="239"/>
      <c r="H193" s="239"/>
      <c r="I193" s="239"/>
      <c r="J193" s="239"/>
      <c r="K193" s="239"/>
      <c r="L193" s="239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</row>
    <row r="194" spans="1:26" ht="14.25" customHeight="1" x14ac:dyDescent="0.35">
      <c r="A194" s="239"/>
      <c r="B194" s="239"/>
      <c r="C194" s="239"/>
      <c r="D194" s="239"/>
      <c r="E194" s="239"/>
      <c r="F194" s="239"/>
      <c r="G194" s="239"/>
      <c r="H194" s="239"/>
      <c r="I194" s="239"/>
      <c r="J194" s="239"/>
      <c r="K194" s="239"/>
      <c r="L194" s="239"/>
      <c r="M194" s="239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</row>
    <row r="195" spans="1:26" ht="14.25" customHeight="1" x14ac:dyDescent="0.35">
      <c r="A195" s="239"/>
      <c r="B195" s="239"/>
      <c r="C195" s="239"/>
      <c r="D195" s="239"/>
      <c r="E195" s="239"/>
      <c r="F195" s="239"/>
      <c r="G195" s="239"/>
      <c r="H195" s="239"/>
      <c r="I195" s="239"/>
      <c r="J195" s="239"/>
      <c r="K195" s="239"/>
      <c r="L195" s="239"/>
      <c r="M195" s="239"/>
      <c r="N195" s="239"/>
      <c r="O195" s="239"/>
      <c r="P195" s="239"/>
      <c r="Q195" s="239"/>
      <c r="R195" s="239"/>
      <c r="S195" s="239"/>
      <c r="T195" s="239"/>
      <c r="U195" s="239"/>
      <c r="V195" s="239"/>
      <c r="W195" s="239"/>
      <c r="X195" s="239"/>
      <c r="Y195" s="239"/>
      <c r="Z195" s="239"/>
    </row>
    <row r="196" spans="1:26" ht="14.25" customHeight="1" x14ac:dyDescent="0.35">
      <c r="A196" s="239"/>
      <c r="B196" s="239"/>
      <c r="C196" s="239"/>
      <c r="D196" s="239"/>
      <c r="E196" s="239"/>
      <c r="F196" s="239"/>
      <c r="G196" s="239"/>
      <c r="H196" s="239"/>
      <c r="I196" s="239"/>
      <c r="J196" s="239"/>
      <c r="K196" s="239"/>
      <c r="L196" s="239"/>
      <c r="M196" s="239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</row>
    <row r="197" spans="1:26" ht="14.25" customHeight="1" x14ac:dyDescent="0.35">
      <c r="A197" s="239"/>
      <c r="B197" s="239"/>
      <c r="C197" s="239"/>
      <c r="D197" s="239"/>
      <c r="E197" s="239"/>
      <c r="F197" s="239"/>
      <c r="G197" s="239"/>
      <c r="H197" s="239"/>
      <c r="I197" s="239"/>
      <c r="J197" s="239"/>
      <c r="K197" s="239"/>
      <c r="L197" s="239"/>
      <c r="M197" s="239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</row>
    <row r="198" spans="1:26" ht="14.25" customHeight="1" x14ac:dyDescent="0.35">
      <c r="A198" s="239"/>
      <c r="B198" s="239"/>
      <c r="C198" s="239"/>
      <c r="D198" s="239"/>
      <c r="E198" s="239"/>
      <c r="F198" s="239"/>
      <c r="G198" s="239"/>
      <c r="H198" s="239"/>
      <c r="I198" s="239"/>
      <c r="J198" s="239"/>
      <c r="K198" s="239"/>
      <c r="L198" s="239"/>
      <c r="M198" s="239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39"/>
      <c r="Y198" s="239"/>
      <c r="Z198" s="239"/>
    </row>
    <row r="199" spans="1:26" ht="14.25" customHeight="1" x14ac:dyDescent="0.35">
      <c r="A199" s="239"/>
      <c r="B199" s="239"/>
      <c r="C199" s="239"/>
      <c r="D199" s="239"/>
      <c r="E199" s="239"/>
      <c r="F199" s="239"/>
      <c r="G199" s="239"/>
      <c r="H199" s="239"/>
      <c r="I199" s="239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</row>
    <row r="200" spans="1:26" ht="14.25" customHeight="1" x14ac:dyDescent="0.35">
      <c r="A200" s="239"/>
      <c r="B200" s="239"/>
      <c r="C200" s="239"/>
      <c r="D200" s="239"/>
      <c r="E200" s="239"/>
      <c r="F200" s="239"/>
      <c r="G200" s="239"/>
      <c r="H200" s="239"/>
      <c r="I200" s="239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</row>
    <row r="201" spans="1:26" ht="14.25" customHeight="1" x14ac:dyDescent="0.35">
      <c r="A201" s="239"/>
      <c r="B201" s="239"/>
      <c r="C201" s="239"/>
      <c r="D201" s="239"/>
      <c r="E201" s="239"/>
      <c r="F201" s="239"/>
      <c r="G201" s="239"/>
      <c r="H201" s="239"/>
      <c r="I201" s="239"/>
      <c r="J201" s="239"/>
      <c r="K201" s="239"/>
      <c r="L201" s="239"/>
      <c r="M201" s="239"/>
      <c r="N201" s="239"/>
      <c r="O201" s="239"/>
      <c r="P201" s="239"/>
      <c r="Q201" s="239"/>
      <c r="R201" s="239"/>
      <c r="S201" s="239"/>
      <c r="T201" s="239"/>
      <c r="U201" s="239"/>
      <c r="V201" s="239"/>
      <c r="W201" s="239"/>
      <c r="X201" s="239"/>
      <c r="Y201" s="239"/>
      <c r="Z201" s="239"/>
    </row>
    <row r="202" spans="1:26" ht="14.25" customHeight="1" x14ac:dyDescent="0.35">
      <c r="A202" s="239"/>
      <c r="B202" s="239"/>
      <c r="C202" s="239"/>
      <c r="D202" s="239"/>
      <c r="E202" s="239"/>
      <c r="F202" s="239"/>
      <c r="G202" s="239"/>
      <c r="H202" s="239"/>
      <c r="I202" s="239"/>
      <c r="J202" s="239"/>
      <c r="K202" s="239"/>
      <c r="L202" s="239"/>
      <c r="M202" s="239"/>
      <c r="N202" s="239"/>
      <c r="O202" s="239"/>
      <c r="P202" s="239"/>
      <c r="Q202" s="239"/>
      <c r="R202" s="239"/>
      <c r="S202" s="239"/>
      <c r="T202" s="239"/>
      <c r="U202" s="239"/>
      <c r="V202" s="239"/>
      <c r="W202" s="239"/>
      <c r="X202" s="239"/>
      <c r="Y202" s="239"/>
      <c r="Z202" s="239"/>
    </row>
    <row r="203" spans="1:26" ht="14.25" customHeight="1" x14ac:dyDescent="0.35">
      <c r="A203" s="239"/>
      <c r="B203" s="239"/>
      <c r="C203" s="239"/>
      <c r="D203" s="239"/>
      <c r="E203" s="239"/>
      <c r="F203" s="239"/>
      <c r="G203" s="239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39"/>
      <c r="V203" s="239"/>
      <c r="W203" s="239"/>
      <c r="X203" s="239"/>
      <c r="Y203" s="239"/>
      <c r="Z203" s="239"/>
    </row>
    <row r="204" spans="1:26" ht="14.25" customHeight="1" x14ac:dyDescent="0.35">
      <c r="A204" s="239"/>
      <c r="B204" s="239"/>
      <c r="C204" s="239"/>
      <c r="D204" s="239"/>
      <c r="E204" s="239"/>
      <c r="F204" s="239"/>
      <c r="G204" s="239"/>
      <c r="H204" s="239"/>
      <c r="I204" s="239"/>
      <c r="J204" s="239"/>
      <c r="K204" s="239"/>
      <c r="L204" s="239"/>
      <c r="M204" s="239"/>
      <c r="N204" s="239"/>
      <c r="O204" s="239"/>
      <c r="P204" s="239"/>
      <c r="Q204" s="239"/>
      <c r="R204" s="239"/>
      <c r="S204" s="239"/>
      <c r="T204" s="239"/>
      <c r="U204" s="239"/>
      <c r="V204" s="239"/>
      <c r="W204" s="239"/>
      <c r="X204" s="239"/>
      <c r="Y204" s="239"/>
      <c r="Z204" s="239"/>
    </row>
    <row r="205" spans="1:26" ht="14.25" customHeight="1" x14ac:dyDescent="0.35">
      <c r="A205" s="239"/>
      <c r="B205" s="239"/>
      <c r="C205" s="239"/>
      <c r="D205" s="239"/>
      <c r="E205" s="239"/>
      <c r="F205" s="239"/>
      <c r="G205" s="239"/>
      <c r="H205" s="239"/>
      <c r="I205" s="239"/>
      <c r="J205" s="239"/>
      <c r="K205" s="239"/>
      <c r="L205" s="239"/>
      <c r="M205" s="239"/>
      <c r="N205" s="239"/>
      <c r="O205" s="239"/>
      <c r="P205" s="239"/>
      <c r="Q205" s="239"/>
      <c r="R205" s="239"/>
      <c r="S205" s="239"/>
      <c r="T205" s="239"/>
      <c r="U205" s="239"/>
      <c r="V205" s="239"/>
      <c r="W205" s="239"/>
      <c r="X205" s="239"/>
      <c r="Y205" s="239"/>
      <c r="Z205" s="239"/>
    </row>
    <row r="206" spans="1:26" ht="14.25" customHeight="1" x14ac:dyDescent="0.35">
      <c r="A206" s="239"/>
      <c r="B206" s="239"/>
      <c r="C206" s="239"/>
      <c r="D206" s="239"/>
      <c r="E206" s="239"/>
      <c r="F206" s="239"/>
      <c r="G206" s="239"/>
      <c r="H206" s="239"/>
      <c r="I206" s="239"/>
      <c r="J206" s="239"/>
      <c r="K206" s="239"/>
      <c r="L206" s="239"/>
      <c r="M206" s="239"/>
      <c r="N206" s="239"/>
      <c r="O206" s="239"/>
      <c r="P206" s="239"/>
      <c r="Q206" s="239"/>
      <c r="R206" s="239"/>
      <c r="S206" s="239"/>
      <c r="T206" s="239"/>
      <c r="U206" s="239"/>
      <c r="V206" s="239"/>
      <c r="W206" s="239"/>
      <c r="X206" s="239"/>
      <c r="Y206" s="239"/>
      <c r="Z206" s="239"/>
    </row>
    <row r="207" spans="1:26" ht="14.25" customHeight="1" x14ac:dyDescent="0.35">
      <c r="A207" s="239"/>
      <c r="B207" s="239"/>
      <c r="C207" s="239"/>
      <c r="D207" s="239"/>
      <c r="E207" s="239"/>
      <c r="F207" s="239"/>
      <c r="G207" s="239"/>
      <c r="H207" s="239"/>
      <c r="I207" s="239"/>
      <c r="J207" s="239"/>
      <c r="K207" s="239"/>
      <c r="L207" s="239"/>
      <c r="M207" s="239"/>
      <c r="N207" s="239"/>
      <c r="O207" s="239"/>
      <c r="P207" s="239"/>
      <c r="Q207" s="239"/>
      <c r="R207" s="239"/>
      <c r="S207" s="239"/>
      <c r="T207" s="239"/>
      <c r="U207" s="239"/>
      <c r="V207" s="239"/>
      <c r="W207" s="239"/>
      <c r="X207" s="239"/>
      <c r="Y207" s="239"/>
      <c r="Z207" s="239"/>
    </row>
    <row r="208" spans="1:26" ht="14.25" customHeight="1" x14ac:dyDescent="0.35">
      <c r="A208" s="239"/>
      <c r="B208" s="239"/>
      <c r="C208" s="239"/>
      <c r="D208" s="239"/>
      <c r="E208" s="239"/>
      <c r="F208" s="239"/>
      <c r="G208" s="239"/>
      <c r="H208" s="239"/>
      <c r="I208" s="239"/>
      <c r="J208" s="239"/>
      <c r="K208" s="239"/>
      <c r="L208" s="239"/>
      <c r="M208" s="239"/>
      <c r="N208" s="239"/>
      <c r="O208" s="239"/>
      <c r="P208" s="239"/>
      <c r="Q208" s="239"/>
      <c r="R208" s="239"/>
      <c r="S208" s="239"/>
      <c r="T208" s="239"/>
      <c r="U208" s="239"/>
      <c r="V208" s="239"/>
      <c r="W208" s="239"/>
      <c r="X208" s="239"/>
      <c r="Y208" s="239"/>
      <c r="Z208" s="239"/>
    </row>
    <row r="209" spans="1:26" ht="14.25" customHeight="1" x14ac:dyDescent="0.35">
      <c r="A209" s="239"/>
      <c r="B209" s="239"/>
      <c r="C209" s="239"/>
      <c r="D209" s="239"/>
      <c r="E209" s="239"/>
      <c r="F209" s="239"/>
      <c r="G209" s="239"/>
      <c r="H209" s="239"/>
      <c r="I209" s="239"/>
      <c r="J209" s="239"/>
      <c r="K209" s="239"/>
      <c r="L209" s="239"/>
      <c r="M209" s="239"/>
      <c r="N209" s="239"/>
      <c r="O209" s="239"/>
      <c r="P209" s="239"/>
      <c r="Q209" s="239"/>
      <c r="R209" s="239"/>
      <c r="S209" s="239"/>
      <c r="T209" s="239"/>
      <c r="U209" s="239"/>
      <c r="V209" s="239"/>
      <c r="W209" s="239"/>
      <c r="X209" s="239"/>
      <c r="Y209" s="239"/>
      <c r="Z209" s="239"/>
    </row>
    <row r="210" spans="1:26" ht="14.25" customHeight="1" x14ac:dyDescent="0.35">
      <c r="A210" s="239"/>
      <c r="B210" s="239"/>
      <c r="C210" s="239"/>
      <c r="D210" s="239"/>
      <c r="E210" s="239"/>
      <c r="F210" s="239"/>
      <c r="G210" s="239"/>
      <c r="H210" s="239"/>
      <c r="I210" s="239"/>
      <c r="J210" s="239"/>
      <c r="K210" s="239"/>
      <c r="L210" s="239"/>
      <c r="M210" s="239"/>
      <c r="N210" s="239"/>
      <c r="O210" s="239"/>
      <c r="P210" s="239"/>
      <c r="Q210" s="239"/>
      <c r="R210" s="239"/>
      <c r="S210" s="239"/>
      <c r="T210" s="239"/>
      <c r="U210" s="239"/>
      <c r="V210" s="239"/>
      <c r="W210" s="239"/>
      <c r="X210" s="239"/>
      <c r="Y210" s="239"/>
      <c r="Z210" s="239"/>
    </row>
    <row r="211" spans="1:26" ht="14.25" customHeight="1" x14ac:dyDescent="0.35">
      <c r="A211" s="239"/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</row>
    <row r="212" spans="1:26" ht="14.25" customHeight="1" x14ac:dyDescent="0.35">
      <c r="A212" s="239"/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</row>
    <row r="213" spans="1:26" ht="14.25" customHeight="1" x14ac:dyDescent="0.35">
      <c r="A213" s="239"/>
      <c r="B213" s="239"/>
      <c r="C213" s="239"/>
      <c r="D213" s="239"/>
      <c r="E213" s="239"/>
      <c r="F213" s="239"/>
      <c r="G213" s="239"/>
      <c r="H213" s="239"/>
      <c r="I213" s="239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</row>
    <row r="214" spans="1:26" ht="14.25" customHeight="1" x14ac:dyDescent="0.35">
      <c r="A214" s="239"/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</row>
    <row r="215" spans="1:26" ht="14.25" customHeight="1" x14ac:dyDescent="0.35">
      <c r="A215" s="239"/>
      <c r="B215" s="239"/>
      <c r="C215" s="239"/>
      <c r="D215" s="239"/>
      <c r="E215" s="239"/>
      <c r="F215" s="239"/>
      <c r="G215" s="239"/>
      <c r="H215" s="239"/>
      <c r="I215" s="239"/>
      <c r="J215" s="239"/>
      <c r="K215" s="239"/>
      <c r="L215" s="239"/>
      <c r="M215" s="239"/>
      <c r="N215" s="239"/>
      <c r="O215" s="239"/>
      <c r="P215" s="239"/>
      <c r="Q215" s="239"/>
      <c r="R215" s="239"/>
      <c r="S215" s="239"/>
      <c r="T215" s="239"/>
      <c r="U215" s="239"/>
      <c r="V215" s="239"/>
      <c r="W215" s="239"/>
      <c r="X215" s="239"/>
      <c r="Y215" s="239"/>
      <c r="Z215" s="239"/>
    </row>
    <row r="216" spans="1:26" ht="14.25" customHeight="1" x14ac:dyDescent="0.35">
      <c r="A216" s="239"/>
      <c r="B216" s="239"/>
      <c r="C216" s="239"/>
      <c r="D216" s="239"/>
      <c r="E216" s="239"/>
      <c r="F216" s="239"/>
      <c r="G216" s="239"/>
      <c r="H216" s="239"/>
      <c r="I216" s="239"/>
      <c r="J216" s="239"/>
      <c r="K216" s="239"/>
      <c r="L216" s="239"/>
      <c r="M216" s="239"/>
      <c r="N216" s="239"/>
      <c r="O216" s="239"/>
      <c r="P216" s="239"/>
      <c r="Q216" s="239"/>
      <c r="R216" s="239"/>
      <c r="S216" s="239"/>
      <c r="T216" s="239"/>
      <c r="U216" s="239"/>
      <c r="V216" s="239"/>
      <c r="W216" s="239"/>
      <c r="X216" s="239"/>
      <c r="Y216" s="239"/>
      <c r="Z216" s="239"/>
    </row>
    <row r="217" spans="1:26" ht="14.25" customHeight="1" x14ac:dyDescent="0.35">
      <c r="A217" s="239"/>
      <c r="B217" s="239"/>
      <c r="C217" s="239"/>
      <c r="D217" s="239"/>
      <c r="E217" s="239"/>
      <c r="F217" s="239"/>
      <c r="G217" s="239"/>
      <c r="H217" s="239"/>
      <c r="I217" s="239"/>
      <c r="J217" s="239"/>
      <c r="K217" s="239"/>
      <c r="L217" s="239"/>
      <c r="M217" s="239"/>
      <c r="N217" s="239"/>
      <c r="O217" s="239"/>
      <c r="P217" s="239"/>
      <c r="Q217" s="239"/>
      <c r="R217" s="239"/>
      <c r="S217" s="239"/>
      <c r="T217" s="239"/>
      <c r="U217" s="239"/>
      <c r="V217" s="239"/>
      <c r="W217" s="239"/>
      <c r="X217" s="239"/>
      <c r="Y217" s="239"/>
      <c r="Z217" s="239"/>
    </row>
    <row r="218" spans="1:26" ht="14.25" customHeight="1" x14ac:dyDescent="0.35">
      <c r="A218" s="239"/>
      <c r="B218" s="239"/>
      <c r="C218" s="239"/>
      <c r="D218" s="239"/>
      <c r="E218" s="239"/>
      <c r="F218" s="239"/>
      <c r="G218" s="239"/>
      <c r="H218" s="239"/>
      <c r="I218" s="239"/>
      <c r="J218" s="239"/>
      <c r="K218" s="239"/>
      <c r="L218" s="239"/>
      <c r="M218" s="239"/>
      <c r="N218" s="239"/>
      <c r="O218" s="239"/>
      <c r="P218" s="239"/>
      <c r="Q218" s="239"/>
      <c r="R218" s="239"/>
      <c r="S218" s="239"/>
      <c r="T218" s="239"/>
      <c r="U218" s="239"/>
      <c r="V218" s="239"/>
      <c r="W218" s="239"/>
      <c r="X218" s="239"/>
      <c r="Y218" s="239"/>
      <c r="Z218" s="239"/>
    </row>
    <row r="219" spans="1:26" ht="14.25" customHeight="1" x14ac:dyDescent="0.35">
      <c r="A219" s="239"/>
      <c r="B219" s="239"/>
      <c r="C219" s="239"/>
      <c r="D219" s="239"/>
      <c r="E219" s="239"/>
      <c r="F219" s="239"/>
      <c r="G219" s="239"/>
      <c r="H219" s="239"/>
      <c r="I219" s="239"/>
      <c r="J219" s="239"/>
      <c r="K219" s="239"/>
      <c r="L219" s="239"/>
      <c r="M219" s="239"/>
      <c r="N219" s="239"/>
      <c r="O219" s="239"/>
      <c r="P219" s="239"/>
      <c r="Q219" s="239"/>
      <c r="R219" s="239"/>
      <c r="S219" s="239"/>
      <c r="T219" s="239"/>
      <c r="U219" s="239"/>
      <c r="V219" s="239"/>
      <c r="W219" s="239"/>
      <c r="X219" s="239"/>
      <c r="Y219" s="239"/>
      <c r="Z219" s="239"/>
    </row>
    <row r="220" spans="1:26" ht="14.25" customHeight="1" x14ac:dyDescent="0.35">
      <c r="A220" s="239"/>
      <c r="B220" s="239"/>
      <c r="C220" s="239"/>
      <c r="D220" s="239"/>
      <c r="E220" s="239"/>
      <c r="F220" s="239"/>
      <c r="G220" s="239"/>
      <c r="H220" s="239"/>
      <c r="I220" s="239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</row>
    <row r="221" spans="1:26" ht="14.25" customHeight="1" x14ac:dyDescent="0.35">
      <c r="A221" s="239"/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</row>
    <row r="222" spans="1:26" ht="14.25" customHeight="1" x14ac:dyDescent="0.35">
      <c r="A222" s="239"/>
      <c r="B222" s="239"/>
      <c r="C222" s="239"/>
      <c r="D222" s="239"/>
      <c r="E222" s="239"/>
      <c r="F222" s="239"/>
      <c r="G222" s="239"/>
      <c r="H222" s="239"/>
      <c r="I222" s="239"/>
      <c r="J222" s="239"/>
      <c r="K222" s="239"/>
      <c r="L222" s="239"/>
      <c r="M222" s="239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</row>
    <row r="223" spans="1:26" ht="14.25" customHeight="1" x14ac:dyDescent="0.35">
      <c r="A223" s="239"/>
      <c r="B223" s="239"/>
      <c r="C223" s="239"/>
      <c r="D223" s="239"/>
      <c r="E223" s="239"/>
      <c r="F223" s="239"/>
      <c r="G223" s="239"/>
      <c r="H223" s="239"/>
      <c r="I223" s="239"/>
      <c r="J223" s="239"/>
      <c r="K223" s="239"/>
      <c r="L223" s="239"/>
      <c r="M223" s="239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</row>
    <row r="224" spans="1:26" ht="14.25" customHeight="1" x14ac:dyDescent="0.35">
      <c r="A224" s="239"/>
      <c r="B224" s="239"/>
      <c r="C224" s="239"/>
      <c r="D224" s="239"/>
      <c r="E224" s="239"/>
      <c r="F224" s="239"/>
      <c r="G224" s="239"/>
      <c r="H224" s="239"/>
      <c r="I224" s="239"/>
      <c r="J224" s="239"/>
      <c r="K224" s="239"/>
      <c r="L224" s="239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</row>
    <row r="225" spans="1:26" ht="14.25" customHeight="1" x14ac:dyDescent="0.35">
      <c r="A225" s="239"/>
      <c r="B225" s="239"/>
      <c r="C225" s="239"/>
      <c r="D225" s="239"/>
      <c r="E225" s="239"/>
      <c r="F225" s="239"/>
      <c r="G225" s="239"/>
      <c r="H225" s="239"/>
      <c r="I225" s="239"/>
      <c r="J225" s="239"/>
      <c r="K225" s="239"/>
      <c r="L225" s="239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</row>
    <row r="226" spans="1:26" ht="14.25" customHeight="1" x14ac:dyDescent="0.35">
      <c r="A226" s="239"/>
      <c r="B226" s="239"/>
      <c r="C226" s="239"/>
      <c r="D226" s="239"/>
      <c r="E226" s="239"/>
      <c r="F226" s="239"/>
      <c r="G226" s="239"/>
      <c r="H226" s="239"/>
      <c r="I226" s="239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</row>
    <row r="227" spans="1:26" ht="14.25" customHeight="1" x14ac:dyDescent="0.35">
      <c r="A227" s="239"/>
      <c r="B227" s="239"/>
      <c r="C227" s="239"/>
      <c r="D227" s="239"/>
      <c r="E227" s="239"/>
      <c r="F227" s="239"/>
      <c r="G227" s="239"/>
      <c r="H227" s="239"/>
      <c r="I227" s="239"/>
      <c r="J227" s="239"/>
      <c r="K227" s="239"/>
      <c r="L227" s="239"/>
      <c r="M227" s="239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</row>
    <row r="228" spans="1:26" ht="14.25" customHeight="1" x14ac:dyDescent="0.35">
      <c r="A228" s="239"/>
      <c r="B228" s="239"/>
      <c r="C228" s="239"/>
      <c r="D228" s="239"/>
      <c r="E228" s="239"/>
      <c r="F228" s="239"/>
      <c r="G228" s="239"/>
      <c r="H228" s="239"/>
      <c r="I228" s="239"/>
      <c r="J228" s="239"/>
      <c r="K228" s="239"/>
      <c r="L228" s="239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</row>
    <row r="229" spans="1:26" ht="14.25" customHeight="1" x14ac:dyDescent="0.35">
      <c r="A229" s="239"/>
      <c r="B229" s="239"/>
      <c r="C229" s="239"/>
      <c r="D229" s="239"/>
      <c r="E229" s="239"/>
      <c r="F229" s="239"/>
      <c r="G229" s="239"/>
      <c r="H229" s="239"/>
      <c r="I229" s="239"/>
      <c r="J229" s="239"/>
      <c r="K229" s="239"/>
      <c r="L229" s="239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</row>
    <row r="230" spans="1:26" ht="14.25" customHeight="1" x14ac:dyDescent="0.35">
      <c r="A230" s="239"/>
      <c r="B230" s="239"/>
      <c r="C230" s="239"/>
      <c r="D230" s="239"/>
      <c r="E230" s="239"/>
      <c r="F230" s="239"/>
      <c r="G230" s="239"/>
      <c r="H230" s="239"/>
      <c r="I230" s="239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</row>
    <row r="231" spans="1:26" ht="14.25" customHeight="1" x14ac:dyDescent="0.35">
      <c r="A231" s="239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</row>
    <row r="232" spans="1:26" ht="14.25" customHeight="1" x14ac:dyDescent="0.35">
      <c r="A232" s="239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</row>
    <row r="233" spans="1:26" ht="14.25" customHeight="1" x14ac:dyDescent="0.35">
      <c r="A233" s="239"/>
      <c r="B233" s="239"/>
      <c r="C233" s="239"/>
      <c r="D233" s="239"/>
      <c r="E233" s="239"/>
      <c r="F233" s="239"/>
      <c r="G233" s="239"/>
      <c r="H233" s="239"/>
      <c r="I233" s="239"/>
      <c r="J233" s="239"/>
      <c r="K233" s="239"/>
      <c r="L233" s="239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</row>
    <row r="234" spans="1:26" ht="14.25" customHeight="1" x14ac:dyDescent="0.35">
      <c r="A234" s="239"/>
      <c r="B234" s="239"/>
      <c r="C234" s="239"/>
      <c r="D234" s="239"/>
      <c r="E234" s="239"/>
      <c r="F234" s="239"/>
      <c r="G234" s="239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</row>
    <row r="235" spans="1:26" ht="14.25" customHeight="1" x14ac:dyDescent="0.35">
      <c r="A235" s="239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</row>
    <row r="236" spans="1:26" ht="14.25" customHeight="1" x14ac:dyDescent="0.35">
      <c r="A236" s="239"/>
      <c r="B236" s="239"/>
      <c r="C236" s="239"/>
      <c r="D236" s="239"/>
      <c r="E236" s="239"/>
      <c r="F236" s="239"/>
      <c r="G236" s="239"/>
      <c r="H236" s="239"/>
      <c r="I236" s="239"/>
      <c r="J236" s="239"/>
      <c r="K236" s="239"/>
      <c r="L236" s="239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</row>
    <row r="237" spans="1:26" ht="14.25" customHeight="1" x14ac:dyDescent="0.35">
      <c r="A237" s="239"/>
      <c r="B237" s="239"/>
      <c r="C237" s="239"/>
      <c r="D237" s="239"/>
      <c r="E237" s="239"/>
      <c r="F237" s="239"/>
      <c r="G237" s="239"/>
      <c r="H237" s="239"/>
      <c r="I237" s="239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</row>
    <row r="238" spans="1:26" ht="14.25" customHeight="1" x14ac:dyDescent="0.35">
      <c r="A238" s="239"/>
      <c r="B238" s="239"/>
      <c r="C238" s="239"/>
      <c r="D238" s="239"/>
      <c r="E238" s="239"/>
      <c r="F238" s="239"/>
      <c r="G238" s="239"/>
      <c r="H238" s="239"/>
      <c r="I238" s="239"/>
      <c r="J238" s="239"/>
      <c r="K238" s="239"/>
      <c r="L238" s="239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</row>
    <row r="239" spans="1:26" ht="14.25" customHeight="1" x14ac:dyDescent="0.35">
      <c r="A239" s="239"/>
      <c r="B239" s="239"/>
      <c r="C239" s="239"/>
      <c r="D239" s="239"/>
      <c r="E239" s="239"/>
      <c r="F239" s="239"/>
      <c r="G239" s="239"/>
      <c r="H239" s="239"/>
      <c r="I239" s="239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</row>
    <row r="240" spans="1:26" ht="14.25" customHeight="1" x14ac:dyDescent="0.35">
      <c r="A240" s="239"/>
      <c r="B240" s="239"/>
      <c r="C240" s="239"/>
      <c r="D240" s="239"/>
      <c r="E240" s="239"/>
      <c r="F240" s="239"/>
      <c r="G240" s="239"/>
      <c r="H240" s="239"/>
      <c r="I240" s="239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</row>
    <row r="241" spans="1:26" ht="14.25" customHeight="1" x14ac:dyDescent="0.35">
      <c r="A241" s="239"/>
      <c r="B241" s="239"/>
      <c r="C241" s="239"/>
      <c r="D241" s="239"/>
      <c r="E241" s="239"/>
      <c r="F241" s="239"/>
      <c r="G241" s="239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</row>
    <row r="242" spans="1:26" ht="14.25" customHeight="1" x14ac:dyDescent="0.35">
      <c r="A242" s="239"/>
      <c r="B242" s="239"/>
      <c r="C242" s="239"/>
      <c r="D242" s="239"/>
      <c r="E242" s="239"/>
      <c r="F242" s="239"/>
      <c r="G242" s="239"/>
      <c r="H242" s="239"/>
      <c r="I242" s="239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</row>
    <row r="243" spans="1:26" ht="14.25" customHeight="1" x14ac:dyDescent="0.35">
      <c r="A243" s="239"/>
      <c r="B243" s="239"/>
      <c r="C243" s="239"/>
      <c r="D243" s="239"/>
      <c r="E243" s="239"/>
      <c r="F243" s="239"/>
      <c r="G243" s="239"/>
      <c r="H243" s="239"/>
      <c r="I243" s="239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</row>
    <row r="244" spans="1:26" ht="14.25" customHeight="1" x14ac:dyDescent="0.35">
      <c r="A244" s="239"/>
      <c r="B244" s="239"/>
      <c r="C244" s="239"/>
      <c r="D244" s="239"/>
      <c r="E244" s="239"/>
      <c r="F244" s="239"/>
      <c r="G244" s="239"/>
      <c r="H244" s="239"/>
      <c r="I244" s="239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</row>
    <row r="245" spans="1:26" ht="14.25" customHeight="1" x14ac:dyDescent="0.35">
      <c r="A245" s="239"/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</row>
    <row r="246" spans="1:26" ht="14.25" customHeight="1" x14ac:dyDescent="0.35">
      <c r="A246" s="239"/>
      <c r="B246" s="239"/>
      <c r="C246" s="239"/>
      <c r="D246" s="239"/>
      <c r="E246" s="239"/>
      <c r="F246" s="239"/>
      <c r="G246" s="239"/>
      <c r="H246" s="239"/>
      <c r="I246" s="239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</row>
    <row r="247" spans="1:26" ht="14.25" customHeight="1" x14ac:dyDescent="0.35">
      <c r="A247" s="239"/>
      <c r="B247" s="239"/>
      <c r="C247" s="239"/>
      <c r="D247" s="239"/>
      <c r="E247" s="239"/>
      <c r="F247" s="239"/>
      <c r="G247" s="239"/>
      <c r="H247" s="239"/>
      <c r="I247" s="239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 spans="1:26" ht="14.25" customHeight="1" x14ac:dyDescent="0.35">
      <c r="A248" s="239"/>
      <c r="B248" s="239"/>
      <c r="C248" s="239"/>
      <c r="D248" s="239"/>
      <c r="E248" s="239"/>
      <c r="F248" s="239"/>
      <c r="G248" s="239"/>
      <c r="H248" s="239"/>
      <c r="I248" s="239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 spans="1:26" ht="14.25" customHeight="1" x14ac:dyDescent="0.35">
      <c r="A249" s="239"/>
      <c r="B249" s="239"/>
      <c r="C249" s="239"/>
      <c r="D249" s="239"/>
      <c r="E249" s="239"/>
      <c r="F249" s="239"/>
      <c r="G249" s="239"/>
      <c r="H249" s="239"/>
      <c r="I249" s="239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 spans="1:26" ht="14.25" customHeight="1" x14ac:dyDescent="0.35">
      <c r="A250" s="239"/>
      <c r="B250" s="239"/>
      <c r="C250" s="239"/>
      <c r="D250" s="239"/>
      <c r="E250" s="239"/>
      <c r="F250" s="239"/>
      <c r="G250" s="239"/>
      <c r="H250" s="239"/>
      <c r="I250" s="239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 spans="1:26" ht="14.25" customHeight="1" x14ac:dyDescent="0.35">
      <c r="A251" s="239"/>
      <c r="B251" s="239"/>
      <c r="C251" s="239"/>
      <c r="D251" s="239"/>
      <c r="E251" s="239"/>
      <c r="F251" s="239"/>
      <c r="G251" s="239"/>
      <c r="H251" s="239"/>
      <c r="I251" s="239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 spans="1:26" ht="14.25" customHeight="1" x14ac:dyDescent="0.35">
      <c r="A252" s="239"/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 spans="1:26" ht="14.25" customHeight="1" x14ac:dyDescent="0.35">
      <c r="A253" s="239"/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 spans="1:26" ht="14.25" customHeight="1" x14ac:dyDescent="0.35">
      <c r="A254" s="239"/>
      <c r="B254" s="239"/>
      <c r="C254" s="239"/>
      <c r="D254" s="239"/>
      <c r="E254" s="239"/>
      <c r="F254" s="239"/>
      <c r="G254" s="239"/>
      <c r="H254" s="239"/>
      <c r="I254" s="239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 spans="1:26" ht="14.25" customHeight="1" x14ac:dyDescent="0.35">
      <c r="A255" s="239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 spans="1:26" ht="14.25" customHeight="1" x14ac:dyDescent="0.35">
      <c r="A256" s="239"/>
      <c r="B256" s="239"/>
      <c r="C256" s="239"/>
      <c r="D256" s="239"/>
      <c r="E256" s="239"/>
      <c r="F256" s="239"/>
      <c r="G256" s="239"/>
      <c r="H256" s="239"/>
      <c r="I256" s="239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 spans="1:26" ht="14.25" customHeight="1" x14ac:dyDescent="0.35">
      <c r="A257" s="239"/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 spans="1:26" ht="14.25" customHeight="1" x14ac:dyDescent="0.35">
      <c r="A258" s="239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 spans="1:26" ht="14.25" customHeight="1" x14ac:dyDescent="0.35">
      <c r="A259" s="239"/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 spans="1:26" ht="14.25" customHeight="1" x14ac:dyDescent="0.35">
      <c r="A260" s="239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 spans="1:26" ht="14.25" customHeight="1" x14ac:dyDescent="0.35">
      <c r="A261" s="239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 spans="1:26" ht="14.25" customHeight="1" x14ac:dyDescent="0.35">
      <c r="A262" s="239"/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 spans="1:26" ht="14.25" customHeight="1" x14ac:dyDescent="0.35">
      <c r="A263" s="239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 spans="1:26" ht="14.25" customHeight="1" x14ac:dyDescent="0.35">
      <c r="A264" s="239"/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 spans="1:26" ht="14.25" customHeight="1" x14ac:dyDescent="0.35">
      <c r="A265" s="239"/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 spans="1:26" ht="14.25" customHeight="1" x14ac:dyDescent="0.35">
      <c r="A266" s="239"/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 spans="1:26" ht="14.25" customHeight="1" x14ac:dyDescent="0.35">
      <c r="A267" s="239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 spans="1:26" ht="14.25" customHeight="1" x14ac:dyDescent="0.35">
      <c r="A268" s="239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spans="1:26" ht="14.25" customHeight="1" x14ac:dyDescent="0.35">
      <c r="A269" s="239"/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 spans="1:26" ht="14.25" customHeight="1" x14ac:dyDescent="0.35">
      <c r="A270" s="239"/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 spans="1:26" ht="14.25" customHeight="1" x14ac:dyDescent="0.35">
      <c r="A271" s="239"/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 spans="1:26" ht="14.25" customHeight="1" x14ac:dyDescent="0.35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 spans="1:26" ht="14.25" customHeight="1" x14ac:dyDescent="0.35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 spans="1:26" ht="14.25" customHeight="1" x14ac:dyDescent="0.35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 spans="1:26" ht="14.25" customHeight="1" x14ac:dyDescent="0.35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 spans="1:26" ht="14.25" customHeight="1" x14ac:dyDescent="0.35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 spans="1:26" ht="14.25" customHeight="1" x14ac:dyDescent="0.35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 spans="1:26" ht="14.25" customHeight="1" x14ac:dyDescent="0.35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 spans="1:26" ht="14.25" customHeight="1" x14ac:dyDescent="0.35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 spans="1:26" ht="14.25" customHeight="1" x14ac:dyDescent="0.35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 spans="1:26" ht="14.25" customHeight="1" x14ac:dyDescent="0.35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 spans="1:26" ht="14.25" customHeight="1" x14ac:dyDescent="0.35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 spans="1:26" ht="14.25" customHeight="1" x14ac:dyDescent="0.35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 spans="1:26" ht="14.25" customHeight="1" x14ac:dyDescent="0.35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 spans="1:26" ht="14.25" customHeight="1" x14ac:dyDescent="0.35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 spans="1:26" ht="14.25" customHeight="1" x14ac:dyDescent="0.35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 spans="1:26" ht="14.25" customHeight="1" x14ac:dyDescent="0.35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 spans="1:26" ht="14.25" customHeight="1" x14ac:dyDescent="0.35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 spans="1:26" ht="14.25" customHeight="1" x14ac:dyDescent="0.35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 spans="1:26" ht="14.25" customHeight="1" x14ac:dyDescent="0.35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 spans="1:26" ht="14.25" customHeight="1" x14ac:dyDescent="0.35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 spans="1:26" ht="14.25" customHeight="1" x14ac:dyDescent="0.35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 spans="1:26" ht="14.25" customHeight="1" x14ac:dyDescent="0.35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 spans="1:26" ht="14.25" customHeight="1" x14ac:dyDescent="0.35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 spans="1:26" ht="14.25" customHeight="1" x14ac:dyDescent="0.35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 spans="1:26" ht="14.25" customHeight="1" x14ac:dyDescent="0.35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 spans="1:26" ht="14.25" customHeight="1" x14ac:dyDescent="0.35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 spans="1:26" ht="14.25" customHeight="1" x14ac:dyDescent="0.35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 spans="1:26" ht="14.25" customHeight="1" x14ac:dyDescent="0.35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 spans="1:26" ht="14.25" customHeight="1" x14ac:dyDescent="0.35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 spans="1:26" ht="14.25" customHeight="1" x14ac:dyDescent="0.35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 spans="1:26" ht="14.25" customHeight="1" x14ac:dyDescent="0.35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 spans="1:26" ht="14.25" customHeight="1" x14ac:dyDescent="0.35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 spans="1:26" ht="14.25" customHeight="1" x14ac:dyDescent="0.35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 spans="1:26" ht="14.25" customHeight="1" x14ac:dyDescent="0.35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 spans="1:26" ht="14.25" customHeight="1" x14ac:dyDescent="0.35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 spans="1:26" ht="14.25" customHeight="1" x14ac:dyDescent="0.35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 spans="1:26" ht="14.25" customHeight="1" x14ac:dyDescent="0.35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 spans="1:26" ht="14.25" customHeight="1" x14ac:dyDescent="0.35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 spans="1:26" ht="14.25" customHeight="1" x14ac:dyDescent="0.35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 spans="1:26" ht="14.25" customHeight="1" x14ac:dyDescent="0.35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 spans="1:26" ht="14.25" customHeight="1" x14ac:dyDescent="0.35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 spans="1:26" ht="14.25" customHeight="1" x14ac:dyDescent="0.35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 spans="1:26" ht="14.25" customHeight="1" x14ac:dyDescent="0.35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 spans="1:26" ht="14.25" customHeight="1" x14ac:dyDescent="0.35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spans="1:26" ht="14.25" customHeight="1" x14ac:dyDescent="0.35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spans="1:26" ht="14.25" customHeight="1" x14ac:dyDescent="0.35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spans="1:26" ht="14.25" customHeight="1" x14ac:dyDescent="0.35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spans="1:26" ht="14.25" customHeight="1" x14ac:dyDescent="0.35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spans="1:26" ht="14.25" customHeight="1" x14ac:dyDescent="0.35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spans="1:26" ht="14.25" customHeight="1" x14ac:dyDescent="0.35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spans="1:26" ht="14.25" customHeight="1" x14ac:dyDescent="0.35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spans="1:26" ht="14.25" customHeight="1" x14ac:dyDescent="0.35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spans="1:26" ht="14.25" customHeight="1" x14ac:dyDescent="0.35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spans="1:26" ht="14.25" customHeight="1" x14ac:dyDescent="0.35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spans="1:26" ht="14.25" customHeight="1" x14ac:dyDescent="0.35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spans="1:26" ht="14.25" customHeight="1" x14ac:dyDescent="0.35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spans="1:26" ht="14.25" customHeight="1" x14ac:dyDescent="0.35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spans="1:26" ht="14.25" customHeight="1" x14ac:dyDescent="0.35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spans="1:26" ht="14.25" customHeight="1" x14ac:dyDescent="0.35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spans="1:26" ht="14.25" customHeight="1" x14ac:dyDescent="0.35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spans="1:26" ht="14.25" customHeight="1" x14ac:dyDescent="0.35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spans="1:26" ht="14.25" customHeight="1" x14ac:dyDescent="0.35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spans="1:26" ht="14.25" customHeight="1" x14ac:dyDescent="0.35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spans="1:26" ht="14.25" customHeight="1" x14ac:dyDescent="0.35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spans="1:26" ht="14.25" customHeight="1" x14ac:dyDescent="0.35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spans="1:26" ht="14.25" customHeight="1" x14ac:dyDescent="0.35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spans="1:26" ht="14.25" customHeight="1" x14ac:dyDescent="0.35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spans="1:26" ht="14.25" customHeight="1" x14ac:dyDescent="0.35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spans="1:26" ht="14.25" customHeight="1" x14ac:dyDescent="0.35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spans="1:26" ht="14.25" customHeight="1" x14ac:dyDescent="0.35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spans="1:26" ht="14.25" customHeight="1" x14ac:dyDescent="0.35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spans="1:26" ht="14.25" customHeight="1" x14ac:dyDescent="0.35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spans="1:26" ht="14.25" customHeight="1" x14ac:dyDescent="0.35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spans="1:26" ht="14.25" customHeight="1" x14ac:dyDescent="0.35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spans="1:26" ht="14.25" customHeight="1" x14ac:dyDescent="0.35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spans="1:26" ht="14.25" customHeight="1" x14ac:dyDescent="0.35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spans="1:26" ht="14.25" customHeight="1" x14ac:dyDescent="0.35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spans="1:26" ht="14.25" customHeight="1" x14ac:dyDescent="0.35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spans="1:26" ht="14.25" customHeight="1" x14ac:dyDescent="0.35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spans="1:26" ht="14.25" customHeight="1" x14ac:dyDescent="0.35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spans="1:26" ht="14.25" customHeight="1" x14ac:dyDescent="0.35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spans="1:26" ht="14.25" customHeight="1" x14ac:dyDescent="0.35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spans="1:26" ht="14.25" customHeight="1" x14ac:dyDescent="0.35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spans="1:26" ht="14.25" customHeight="1" x14ac:dyDescent="0.35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spans="1:26" ht="14.25" customHeight="1" x14ac:dyDescent="0.35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spans="1:26" ht="14.25" customHeight="1" x14ac:dyDescent="0.35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spans="1:26" ht="14.25" customHeight="1" x14ac:dyDescent="0.35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spans="1:26" ht="14.25" customHeight="1" x14ac:dyDescent="0.35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spans="1:26" ht="14.25" customHeight="1" x14ac:dyDescent="0.35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spans="1:26" ht="14.25" customHeight="1" x14ac:dyDescent="0.35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spans="1:26" ht="14.25" customHeight="1" x14ac:dyDescent="0.35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spans="1:26" ht="14.25" customHeight="1" x14ac:dyDescent="0.35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spans="1:26" ht="14.25" customHeight="1" x14ac:dyDescent="0.35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spans="1:26" ht="14.25" customHeight="1" x14ac:dyDescent="0.35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spans="1:26" ht="14.25" customHeight="1" x14ac:dyDescent="0.35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spans="1:26" ht="14.25" customHeight="1" x14ac:dyDescent="0.35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spans="1:26" ht="14.25" customHeight="1" x14ac:dyDescent="0.35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spans="1:26" ht="14.25" customHeight="1" x14ac:dyDescent="0.35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spans="1:26" ht="14.25" customHeight="1" x14ac:dyDescent="0.35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spans="1:26" ht="14.25" customHeight="1" x14ac:dyDescent="0.35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spans="1:26" ht="14.25" customHeight="1" x14ac:dyDescent="0.35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spans="1:26" ht="14.25" customHeight="1" x14ac:dyDescent="0.35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spans="1:26" ht="14.25" customHeight="1" x14ac:dyDescent="0.35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spans="1:26" ht="14.25" customHeight="1" x14ac:dyDescent="0.35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spans="1:26" ht="14.25" customHeight="1" x14ac:dyDescent="0.35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spans="1:26" ht="14.25" customHeight="1" x14ac:dyDescent="0.35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spans="1:26" ht="14.25" customHeight="1" x14ac:dyDescent="0.35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spans="1:26" ht="14.25" customHeight="1" x14ac:dyDescent="0.35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spans="1:26" ht="14.25" customHeight="1" x14ac:dyDescent="0.35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spans="1:26" ht="14.25" customHeight="1" x14ac:dyDescent="0.35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spans="1:26" ht="14.25" customHeight="1" x14ac:dyDescent="0.35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spans="1:26" ht="14.25" customHeight="1" x14ac:dyDescent="0.35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spans="1:26" ht="14.25" customHeight="1" x14ac:dyDescent="0.35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spans="1:26" ht="14.25" customHeight="1" x14ac:dyDescent="0.35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spans="1:26" ht="14.25" customHeight="1" x14ac:dyDescent="0.35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spans="1:26" ht="14.25" customHeight="1" x14ac:dyDescent="0.35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spans="1:26" ht="14.25" customHeight="1" x14ac:dyDescent="0.35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spans="1:26" ht="14.25" customHeight="1" x14ac:dyDescent="0.35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spans="1:26" ht="14.25" customHeight="1" x14ac:dyDescent="0.35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spans="1:26" ht="14.25" customHeight="1" x14ac:dyDescent="0.35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spans="1:26" ht="14.25" customHeight="1" x14ac:dyDescent="0.35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spans="1:26" ht="14.25" customHeight="1" x14ac:dyDescent="0.35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spans="1:26" ht="14.25" customHeight="1" x14ac:dyDescent="0.35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spans="1:26" ht="14.25" customHeight="1" x14ac:dyDescent="0.35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spans="1:26" ht="14.25" customHeight="1" x14ac:dyDescent="0.35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spans="1:26" ht="14.25" customHeight="1" x14ac:dyDescent="0.35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spans="1:26" ht="14.25" customHeight="1" x14ac:dyDescent="0.35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spans="1:26" ht="14.25" customHeight="1" x14ac:dyDescent="0.35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spans="1:26" ht="14.25" customHeight="1" x14ac:dyDescent="0.35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spans="1:26" ht="14.25" customHeight="1" x14ac:dyDescent="0.35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spans="1:26" ht="14.25" customHeight="1" x14ac:dyDescent="0.35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spans="1:26" ht="14.25" customHeight="1" x14ac:dyDescent="0.35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spans="1:26" ht="14.25" customHeight="1" x14ac:dyDescent="0.35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spans="1:26" ht="14.25" customHeight="1" x14ac:dyDescent="0.35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spans="1:26" ht="14.25" customHeight="1" x14ac:dyDescent="0.35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spans="1:26" ht="14.25" customHeight="1" x14ac:dyDescent="0.35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spans="1:26" ht="14.25" customHeight="1" x14ac:dyDescent="0.35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spans="1:26" ht="14.25" customHeight="1" x14ac:dyDescent="0.35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spans="1:26" ht="14.25" customHeight="1" x14ac:dyDescent="0.35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spans="1:26" ht="14.25" customHeight="1" x14ac:dyDescent="0.35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spans="1:26" ht="14.25" customHeight="1" x14ac:dyDescent="0.35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spans="1:26" ht="14.25" customHeight="1" x14ac:dyDescent="0.35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spans="1:26" ht="14.25" customHeight="1" x14ac:dyDescent="0.35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spans="1:26" ht="14.25" customHeight="1" x14ac:dyDescent="0.35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spans="1:26" ht="14.25" customHeight="1" x14ac:dyDescent="0.35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spans="1:26" ht="14.25" customHeight="1" x14ac:dyDescent="0.35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spans="1:26" ht="14.25" customHeight="1" x14ac:dyDescent="0.35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spans="1:26" ht="14.25" customHeight="1" x14ac:dyDescent="0.35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spans="1:26" ht="14.25" customHeight="1" x14ac:dyDescent="0.35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spans="1:26" ht="14.25" customHeight="1" x14ac:dyDescent="0.35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spans="1:26" ht="14.25" customHeight="1" x14ac:dyDescent="0.35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spans="1:26" ht="14.25" customHeight="1" x14ac:dyDescent="0.35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spans="1:26" ht="14.25" customHeight="1" x14ac:dyDescent="0.35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spans="1:26" ht="14.25" customHeight="1" x14ac:dyDescent="0.35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spans="1:26" ht="14.25" customHeight="1" x14ac:dyDescent="0.35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spans="1:26" ht="14.25" customHeight="1" x14ac:dyDescent="0.35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spans="1:26" ht="14.25" customHeight="1" x14ac:dyDescent="0.35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spans="1:26" ht="14.25" customHeight="1" x14ac:dyDescent="0.35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spans="1:26" ht="14.25" customHeight="1" x14ac:dyDescent="0.35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spans="1:26" ht="14.25" customHeight="1" x14ac:dyDescent="0.35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spans="1:26" ht="14.25" customHeight="1" x14ac:dyDescent="0.35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spans="1:26" ht="14.25" customHeight="1" x14ac:dyDescent="0.35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spans="1:26" ht="14.25" customHeight="1" x14ac:dyDescent="0.35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spans="1:26" ht="14.25" customHeight="1" x14ac:dyDescent="0.35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spans="1:26" ht="14.25" customHeight="1" x14ac:dyDescent="0.35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spans="1:26" ht="14.25" customHeight="1" x14ac:dyDescent="0.35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spans="1:26" ht="14.25" customHeight="1" x14ac:dyDescent="0.35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spans="1:26" ht="14.25" customHeight="1" x14ac:dyDescent="0.35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spans="1:26" ht="14.25" customHeight="1" x14ac:dyDescent="0.35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spans="1:26" ht="14.25" customHeight="1" x14ac:dyDescent="0.35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spans="1:26" ht="14.25" customHeight="1" x14ac:dyDescent="0.35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spans="1:26" ht="14.25" customHeight="1" x14ac:dyDescent="0.35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spans="1:26" ht="14.25" customHeight="1" x14ac:dyDescent="0.35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spans="1:26" ht="14.25" customHeight="1" x14ac:dyDescent="0.35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spans="1:26" ht="14.25" customHeight="1" x14ac:dyDescent="0.35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spans="1:26" ht="14.25" customHeight="1" x14ac:dyDescent="0.35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spans="1:26" ht="14.25" customHeight="1" x14ac:dyDescent="0.35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spans="1:26" ht="14.25" customHeight="1" x14ac:dyDescent="0.35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spans="1:26" ht="14.25" customHeight="1" x14ac:dyDescent="0.35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spans="1:26" ht="14.25" customHeight="1" x14ac:dyDescent="0.35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spans="1:26" ht="14.25" customHeight="1" x14ac:dyDescent="0.35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spans="1:26" ht="14.25" customHeight="1" x14ac:dyDescent="0.35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spans="1:26" ht="14.25" customHeight="1" x14ac:dyDescent="0.35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spans="1:26" ht="14.25" customHeight="1" x14ac:dyDescent="0.35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spans="1:26" ht="14.25" customHeight="1" x14ac:dyDescent="0.35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spans="1:26" ht="14.25" customHeight="1" x14ac:dyDescent="0.35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spans="1:26" ht="14.25" customHeight="1" x14ac:dyDescent="0.35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spans="1:26" ht="14.25" customHeight="1" x14ac:dyDescent="0.35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spans="1:26" ht="14.25" customHeight="1" x14ac:dyDescent="0.35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spans="1:26" ht="14.25" customHeight="1" x14ac:dyDescent="0.35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spans="1:26" ht="14.25" customHeight="1" x14ac:dyDescent="0.35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spans="1:26" ht="14.25" customHeight="1" x14ac:dyDescent="0.35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spans="1:26" ht="14.25" customHeight="1" x14ac:dyDescent="0.35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spans="1:26" ht="14.25" customHeight="1" x14ac:dyDescent="0.35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spans="1:26" ht="14.25" customHeight="1" x14ac:dyDescent="0.35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spans="1:26" ht="14.25" customHeight="1" x14ac:dyDescent="0.35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spans="1:26" ht="14.25" customHeight="1" x14ac:dyDescent="0.35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spans="1:26" ht="14.25" customHeight="1" x14ac:dyDescent="0.35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spans="1:26" ht="14.25" customHeight="1" x14ac:dyDescent="0.35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spans="1:26" ht="14.25" customHeight="1" x14ac:dyDescent="0.35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spans="1:26" ht="14.25" customHeight="1" x14ac:dyDescent="0.35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spans="1:26" ht="14.25" customHeight="1" x14ac:dyDescent="0.35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spans="1:26" ht="14.25" customHeight="1" x14ac:dyDescent="0.35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spans="1:26" ht="14.25" customHeight="1" x14ac:dyDescent="0.35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spans="1:26" ht="14.25" customHeight="1" x14ac:dyDescent="0.35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spans="1:26" ht="14.25" customHeight="1" x14ac:dyDescent="0.35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spans="1:26" ht="14.25" customHeight="1" x14ac:dyDescent="0.35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spans="1:26" ht="14.25" customHeight="1" x14ac:dyDescent="0.35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spans="1:26" ht="14.25" customHeight="1" x14ac:dyDescent="0.35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spans="1:26" ht="14.25" customHeight="1" x14ac:dyDescent="0.35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spans="1:26" ht="14.25" customHeight="1" x14ac:dyDescent="0.35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spans="1:26" ht="14.25" customHeight="1" x14ac:dyDescent="0.35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spans="1:26" ht="14.25" customHeight="1" x14ac:dyDescent="0.35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spans="1:26" ht="14.25" customHeight="1" x14ac:dyDescent="0.35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spans="1:26" ht="14.25" customHeight="1" x14ac:dyDescent="0.35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spans="1:26" ht="14.25" customHeight="1" x14ac:dyDescent="0.35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spans="1:26" ht="14.25" customHeight="1" x14ac:dyDescent="0.35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spans="1:26" ht="14.25" customHeight="1" x14ac:dyDescent="0.35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spans="1:26" ht="14.25" customHeight="1" x14ac:dyDescent="0.35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spans="1:26" ht="14.25" customHeight="1" x14ac:dyDescent="0.35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spans="1:26" ht="14.25" customHeight="1" x14ac:dyDescent="0.35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spans="1:26" ht="14.25" customHeight="1" x14ac:dyDescent="0.35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spans="1:26" ht="14.25" customHeight="1" x14ac:dyDescent="0.35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spans="1:26" ht="14.25" customHeight="1" x14ac:dyDescent="0.35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spans="1:26" ht="14.25" customHeight="1" x14ac:dyDescent="0.35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spans="1:26" ht="14.25" customHeight="1" x14ac:dyDescent="0.35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spans="1:26" ht="14.25" customHeight="1" x14ac:dyDescent="0.35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spans="1:26" ht="14.25" customHeight="1" x14ac:dyDescent="0.35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spans="1:26" ht="14.25" customHeight="1" x14ac:dyDescent="0.35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spans="1:26" ht="14.25" customHeight="1" x14ac:dyDescent="0.35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spans="1:26" ht="14.25" customHeight="1" x14ac:dyDescent="0.35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spans="1:26" ht="14.25" customHeight="1" x14ac:dyDescent="0.35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spans="1:26" ht="14.25" customHeight="1" x14ac:dyDescent="0.35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spans="1:26" ht="14.25" customHeight="1" x14ac:dyDescent="0.35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spans="1:26" ht="14.25" customHeight="1" x14ac:dyDescent="0.35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spans="1:26" ht="14.25" customHeight="1" x14ac:dyDescent="0.35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spans="1:26" ht="14.25" customHeight="1" x14ac:dyDescent="0.35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spans="1:26" ht="14.25" customHeight="1" x14ac:dyDescent="0.35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spans="1:26" ht="14.25" customHeight="1" x14ac:dyDescent="0.35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spans="1:26" ht="14.25" customHeight="1" x14ac:dyDescent="0.35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spans="1:26" ht="14.25" customHeight="1" x14ac:dyDescent="0.35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spans="1:26" ht="14.25" customHeight="1" x14ac:dyDescent="0.35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spans="1:26" ht="14.25" customHeight="1" x14ac:dyDescent="0.35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spans="1:26" ht="14.25" customHeight="1" x14ac:dyDescent="0.35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spans="1:26" ht="14.25" customHeight="1" x14ac:dyDescent="0.35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spans="1:26" ht="14.25" customHeight="1" x14ac:dyDescent="0.35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spans="1:26" ht="14.25" customHeight="1" x14ac:dyDescent="0.35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spans="1:26" ht="14.25" customHeight="1" x14ac:dyDescent="0.35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spans="1:26" ht="14.25" customHeight="1" x14ac:dyDescent="0.35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spans="1:26" ht="14.25" customHeight="1" x14ac:dyDescent="0.35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spans="1:26" ht="14.25" customHeight="1" x14ac:dyDescent="0.35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spans="1:26" ht="14.25" customHeight="1" x14ac:dyDescent="0.35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spans="1:26" ht="14.25" customHeight="1" x14ac:dyDescent="0.35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spans="1:26" ht="14.25" customHeight="1" x14ac:dyDescent="0.35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spans="1:26" ht="14.25" customHeight="1" x14ac:dyDescent="0.35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spans="1:26" ht="14.25" customHeight="1" x14ac:dyDescent="0.35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spans="1:26" ht="14.25" customHeight="1" x14ac:dyDescent="0.35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spans="1:26" ht="14.25" customHeight="1" x14ac:dyDescent="0.35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spans="1:26" ht="14.25" customHeight="1" x14ac:dyDescent="0.35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spans="1:26" ht="14.25" customHeight="1" x14ac:dyDescent="0.35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spans="1:26" ht="14.25" customHeight="1" x14ac:dyDescent="0.35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spans="1:26" ht="14.25" customHeight="1" x14ac:dyDescent="0.35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spans="1:26" ht="14.25" customHeight="1" x14ac:dyDescent="0.35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spans="1:26" ht="14.25" customHeight="1" x14ac:dyDescent="0.35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spans="1:26" ht="14.25" customHeight="1" x14ac:dyDescent="0.35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spans="1:26" ht="14.25" customHeight="1" x14ac:dyDescent="0.35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spans="1:26" ht="14.25" customHeight="1" x14ac:dyDescent="0.35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spans="1:26" ht="14.25" customHeight="1" x14ac:dyDescent="0.35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spans="1:26" ht="14.25" customHeight="1" x14ac:dyDescent="0.35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spans="1:26" ht="14.25" customHeight="1" x14ac:dyDescent="0.35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spans="1:26" ht="14.25" customHeight="1" x14ac:dyDescent="0.35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spans="1:26" ht="14.25" customHeight="1" x14ac:dyDescent="0.35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spans="1:26" ht="14.25" customHeight="1" x14ac:dyDescent="0.35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spans="1:26" ht="14.25" customHeight="1" x14ac:dyDescent="0.35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spans="1:26" ht="14.25" customHeight="1" x14ac:dyDescent="0.35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spans="1:26" ht="14.25" customHeight="1" x14ac:dyDescent="0.35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spans="1:26" ht="14.25" customHeight="1" x14ac:dyDescent="0.35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spans="1:26" ht="14.25" customHeight="1" x14ac:dyDescent="0.35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spans="1:26" ht="14.25" customHeight="1" x14ac:dyDescent="0.35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spans="1:26" ht="14.25" customHeight="1" x14ac:dyDescent="0.35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spans="1:26" ht="14.25" customHeight="1" x14ac:dyDescent="0.35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spans="1:26" ht="14.25" customHeight="1" x14ac:dyDescent="0.35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spans="1:26" ht="14.25" customHeight="1" x14ac:dyDescent="0.35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spans="1:26" ht="14.25" customHeight="1" x14ac:dyDescent="0.35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spans="1:26" ht="14.25" customHeight="1" x14ac:dyDescent="0.35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spans="1:26" ht="14.25" customHeight="1" x14ac:dyDescent="0.35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spans="1:26" ht="14.25" customHeight="1" x14ac:dyDescent="0.35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spans="1:26" ht="14.25" customHeight="1" x14ac:dyDescent="0.35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spans="1:26" ht="14.25" customHeight="1" x14ac:dyDescent="0.35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spans="1:26" ht="14.25" customHeight="1" x14ac:dyDescent="0.35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spans="1:26" ht="14.25" customHeight="1" x14ac:dyDescent="0.35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spans="1:26" ht="14.25" customHeight="1" x14ac:dyDescent="0.35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spans="1:26" ht="14.25" customHeight="1" x14ac:dyDescent="0.35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spans="1:26" ht="14.25" customHeight="1" x14ac:dyDescent="0.35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spans="1:26" ht="14.25" customHeight="1" x14ac:dyDescent="0.35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spans="1:26" ht="14.25" customHeight="1" x14ac:dyDescent="0.35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spans="1:26" ht="14.25" customHeight="1" x14ac:dyDescent="0.35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spans="1:26" ht="14.25" customHeight="1" x14ac:dyDescent="0.35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spans="1:26" ht="14.25" customHeight="1" x14ac:dyDescent="0.35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spans="1:26" ht="14.25" customHeight="1" x14ac:dyDescent="0.35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spans="1:26" ht="14.25" customHeight="1" x14ac:dyDescent="0.35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spans="1:26" ht="14.25" customHeight="1" x14ac:dyDescent="0.35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spans="1:26" ht="14.25" customHeight="1" x14ac:dyDescent="0.35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spans="1:26" ht="14.25" customHeight="1" x14ac:dyDescent="0.35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spans="1:26" ht="14.25" customHeight="1" x14ac:dyDescent="0.35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spans="1:26" ht="14.25" customHeight="1" x14ac:dyDescent="0.35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spans="1:26" ht="14.25" customHeight="1" x14ac:dyDescent="0.35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spans="1:26" ht="14.25" customHeight="1" x14ac:dyDescent="0.35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spans="1:26" ht="14.25" customHeight="1" x14ac:dyDescent="0.35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spans="1:26" ht="14.25" customHeight="1" x14ac:dyDescent="0.35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spans="1:26" ht="14.25" customHeight="1" x14ac:dyDescent="0.35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spans="1:26" ht="14.25" customHeight="1" x14ac:dyDescent="0.35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spans="1:26" ht="14.25" customHeight="1" x14ac:dyDescent="0.35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spans="1:26" ht="14.25" customHeight="1" x14ac:dyDescent="0.35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spans="1:26" ht="14.25" customHeight="1" x14ac:dyDescent="0.35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spans="1:26" ht="14.25" customHeight="1" x14ac:dyDescent="0.35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spans="1:26" ht="14.25" customHeight="1" x14ac:dyDescent="0.35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spans="1:26" ht="14.25" customHeight="1" x14ac:dyDescent="0.35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spans="1:26" ht="14.25" customHeight="1" x14ac:dyDescent="0.35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spans="1:26" ht="14.25" customHeight="1" x14ac:dyDescent="0.35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spans="1:26" ht="14.25" customHeight="1" x14ac:dyDescent="0.35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spans="1:26" ht="14.25" customHeight="1" x14ac:dyDescent="0.35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spans="1:26" ht="14.25" customHeight="1" x14ac:dyDescent="0.35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spans="1:26" ht="14.25" customHeight="1" x14ac:dyDescent="0.35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spans="1:26" ht="14.25" customHeight="1" x14ac:dyDescent="0.35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spans="1:26" ht="14.25" customHeight="1" x14ac:dyDescent="0.35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spans="1:26" ht="14.25" customHeight="1" x14ac:dyDescent="0.35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spans="1:26" ht="14.25" customHeight="1" x14ac:dyDescent="0.35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spans="1:26" ht="14.25" customHeight="1" x14ac:dyDescent="0.35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spans="1:26" ht="14.25" customHeight="1" x14ac:dyDescent="0.35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spans="1:26" ht="14.25" customHeight="1" x14ac:dyDescent="0.35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 spans="1:26" ht="14.25" customHeight="1" x14ac:dyDescent="0.35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 spans="1:26" ht="14.25" customHeight="1" x14ac:dyDescent="0.35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 spans="1:26" ht="14.25" customHeight="1" x14ac:dyDescent="0.35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 spans="1:26" ht="14.25" customHeight="1" x14ac:dyDescent="0.35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 spans="1:26" ht="14.25" customHeight="1" x14ac:dyDescent="0.35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 spans="1:26" ht="14.25" customHeight="1" x14ac:dyDescent="0.35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 spans="1:26" ht="14.25" customHeight="1" x14ac:dyDescent="0.35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 spans="1:26" ht="14.25" customHeight="1" x14ac:dyDescent="0.35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 spans="1:26" ht="14.25" customHeight="1" x14ac:dyDescent="0.35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 spans="1:26" ht="14.25" customHeight="1" x14ac:dyDescent="0.35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 spans="1:26" ht="14.25" customHeight="1" x14ac:dyDescent="0.35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 spans="1:26" ht="14.25" customHeight="1" x14ac:dyDescent="0.35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 spans="1:26" ht="14.25" customHeight="1" x14ac:dyDescent="0.35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 spans="1:26" ht="14.25" customHeight="1" x14ac:dyDescent="0.35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 spans="1:26" ht="14.25" customHeight="1" x14ac:dyDescent="0.35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 spans="1:26" ht="14.25" customHeight="1" x14ac:dyDescent="0.35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 spans="1:26" ht="14.25" customHeight="1" x14ac:dyDescent="0.35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 spans="1:26" ht="14.25" customHeight="1" x14ac:dyDescent="0.35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 spans="1:26" ht="14.25" customHeight="1" x14ac:dyDescent="0.35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 spans="1:26" ht="14.25" customHeight="1" x14ac:dyDescent="0.35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 spans="1:26" ht="14.25" customHeight="1" x14ac:dyDescent="0.35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 spans="1:26" ht="14.25" customHeight="1" x14ac:dyDescent="0.35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 spans="1:26" ht="14.25" customHeight="1" x14ac:dyDescent="0.35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 spans="1:26" ht="14.25" customHeight="1" x14ac:dyDescent="0.35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 spans="1:26" ht="14.25" customHeight="1" x14ac:dyDescent="0.35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 spans="1:26" ht="14.25" customHeight="1" x14ac:dyDescent="0.35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 spans="1:26" ht="14.25" customHeight="1" x14ac:dyDescent="0.35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 spans="1:26" ht="14.25" customHeight="1" x14ac:dyDescent="0.35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 spans="1:26" ht="14.25" customHeight="1" x14ac:dyDescent="0.35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 spans="1:26" ht="14.25" customHeight="1" x14ac:dyDescent="0.35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 spans="1:26" ht="14.25" customHeight="1" x14ac:dyDescent="0.35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 spans="1:26" ht="14.25" customHeight="1" x14ac:dyDescent="0.35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 spans="1:26" ht="14.25" customHeight="1" x14ac:dyDescent="0.35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 spans="1:26" ht="14.25" customHeight="1" x14ac:dyDescent="0.35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 spans="1:26" ht="14.25" customHeight="1" x14ac:dyDescent="0.35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 spans="1:26" ht="14.25" customHeight="1" x14ac:dyDescent="0.35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 spans="1:26" ht="14.25" customHeight="1" x14ac:dyDescent="0.35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 spans="1:26" ht="14.25" customHeight="1" x14ac:dyDescent="0.35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 spans="1:26" ht="14.25" customHeight="1" x14ac:dyDescent="0.35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 spans="1:26" ht="14.25" customHeight="1" x14ac:dyDescent="0.35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 spans="1:26" ht="14.25" customHeight="1" x14ac:dyDescent="0.35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 spans="1:26" ht="14.25" customHeight="1" x14ac:dyDescent="0.35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 spans="1:26" ht="14.25" customHeight="1" x14ac:dyDescent="0.35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 spans="1:26" ht="14.25" customHeight="1" x14ac:dyDescent="0.35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 spans="1:26" ht="14.25" customHeight="1" x14ac:dyDescent="0.35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 spans="1:26" ht="14.25" customHeight="1" x14ac:dyDescent="0.35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 spans="1:26" ht="14.25" customHeight="1" x14ac:dyDescent="0.35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 spans="1:26" ht="14.25" customHeight="1" x14ac:dyDescent="0.35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 spans="1:26" ht="14.25" customHeight="1" x14ac:dyDescent="0.35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 spans="1:26" ht="14.25" customHeight="1" x14ac:dyDescent="0.35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 spans="1:26" ht="14.25" customHeight="1" x14ac:dyDescent="0.35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 spans="1:26" ht="14.25" customHeight="1" x14ac:dyDescent="0.35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 spans="1:26" ht="14.25" customHeight="1" x14ac:dyDescent="0.35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 spans="1:26" ht="14.25" customHeight="1" x14ac:dyDescent="0.35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 spans="1:26" ht="14.25" customHeight="1" x14ac:dyDescent="0.35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 spans="1:26" ht="14.25" customHeight="1" x14ac:dyDescent="0.35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 spans="1:26" ht="14.25" customHeight="1" x14ac:dyDescent="0.35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 spans="1:26" ht="14.25" customHeight="1" x14ac:dyDescent="0.35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 spans="1:26" ht="14.25" customHeight="1" x14ac:dyDescent="0.35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 spans="1:26" ht="14.25" customHeight="1" x14ac:dyDescent="0.35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 spans="1:26" ht="14.25" customHeight="1" x14ac:dyDescent="0.35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 spans="1:26" ht="14.25" customHeight="1" x14ac:dyDescent="0.35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 spans="1:26" ht="14.25" customHeight="1" x14ac:dyDescent="0.35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 spans="1:26" ht="14.25" customHeight="1" x14ac:dyDescent="0.35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 spans="1:26" ht="14.25" customHeight="1" x14ac:dyDescent="0.35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 spans="1:26" ht="14.25" customHeight="1" x14ac:dyDescent="0.35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 spans="1:26" ht="14.25" customHeight="1" x14ac:dyDescent="0.35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 spans="1:26" ht="14.25" customHeight="1" x14ac:dyDescent="0.35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 spans="1:26" ht="14.25" customHeight="1" x14ac:dyDescent="0.35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 spans="1:26" ht="14.25" customHeight="1" x14ac:dyDescent="0.35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 spans="1:26" ht="14.25" customHeight="1" x14ac:dyDescent="0.35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 spans="1:26" ht="14.25" customHeight="1" x14ac:dyDescent="0.35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 spans="1:26" ht="14.25" customHeight="1" x14ac:dyDescent="0.35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 spans="1:26" ht="14.25" customHeight="1" x14ac:dyDescent="0.35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 spans="1:26" ht="14.25" customHeight="1" x14ac:dyDescent="0.35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 spans="1:26" ht="14.25" customHeight="1" x14ac:dyDescent="0.35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 spans="1:26" ht="14.25" customHeight="1" x14ac:dyDescent="0.35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 spans="1:26" ht="14.25" customHeight="1" x14ac:dyDescent="0.35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 spans="1:26" ht="14.25" customHeight="1" x14ac:dyDescent="0.35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 spans="1:26" ht="14.25" customHeight="1" x14ac:dyDescent="0.35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 spans="1:26" ht="14.25" customHeight="1" x14ac:dyDescent="0.35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 spans="1:26" ht="14.25" customHeight="1" x14ac:dyDescent="0.35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 spans="1:26" ht="14.25" customHeight="1" x14ac:dyDescent="0.35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 spans="1:26" ht="14.25" customHeight="1" x14ac:dyDescent="0.35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 spans="1:26" ht="14.25" customHeight="1" x14ac:dyDescent="0.35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 spans="1:26" ht="14.25" customHeight="1" x14ac:dyDescent="0.35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 spans="1:26" ht="14.25" customHeight="1" x14ac:dyDescent="0.35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 spans="1:26" ht="14.25" customHeight="1" x14ac:dyDescent="0.35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 spans="1:26" ht="14.25" customHeight="1" x14ac:dyDescent="0.35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 spans="1:26" ht="14.25" customHeight="1" x14ac:dyDescent="0.35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 spans="1:26" ht="14.25" customHeight="1" x14ac:dyDescent="0.35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 spans="1:26" ht="14.25" customHeight="1" x14ac:dyDescent="0.35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 spans="1:26" ht="14.25" customHeight="1" x14ac:dyDescent="0.35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 spans="1:26" ht="14.25" customHeight="1" x14ac:dyDescent="0.35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 spans="1:26" ht="14.25" customHeight="1" x14ac:dyDescent="0.35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 spans="1:26" ht="14.25" customHeight="1" x14ac:dyDescent="0.35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 spans="1:26" ht="14.25" customHeight="1" x14ac:dyDescent="0.35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 spans="1:26" ht="14.25" customHeight="1" x14ac:dyDescent="0.35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 spans="1:26" ht="14.25" customHeight="1" x14ac:dyDescent="0.35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 spans="1:26" ht="14.25" customHeight="1" x14ac:dyDescent="0.35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 spans="1:26" ht="14.25" customHeight="1" x14ac:dyDescent="0.35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 spans="1:26" ht="14.25" customHeight="1" x14ac:dyDescent="0.35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 spans="1:26" ht="14.25" customHeight="1" x14ac:dyDescent="0.35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 spans="1:26" ht="14.25" customHeight="1" x14ac:dyDescent="0.35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 spans="1:26" ht="14.25" customHeight="1" x14ac:dyDescent="0.35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 spans="1:26" ht="14.25" customHeight="1" x14ac:dyDescent="0.35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 spans="1:26" ht="14.25" customHeight="1" x14ac:dyDescent="0.35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 spans="1:26" ht="14.25" customHeight="1" x14ac:dyDescent="0.35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 spans="1:26" ht="14.25" customHeight="1" x14ac:dyDescent="0.35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 spans="1:26" ht="14.25" customHeight="1" x14ac:dyDescent="0.35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 spans="1:26" ht="14.25" customHeight="1" x14ac:dyDescent="0.35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 spans="1:26" ht="14.25" customHeight="1" x14ac:dyDescent="0.35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 spans="1:26" ht="14.25" customHeight="1" x14ac:dyDescent="0.35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 spans="1:26" ht="14.25" customHeight="1" x14ac:dyDescent="0.35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 spans="1:26" ht="14.25" customHeight="1" x14ac:dyDescent="0.35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 spans="1:26" ht="14.25" customHeight="1" x14ac:dyDescent="0.35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 spans="1:26" ht="14.25" customHeight="1" x14ac:dyDescent="0.35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 spans="1:26" ht="14.25" customHeight="1" x14ac:dyDescent="0.35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 spans="1:26" ht="14.25" customHeight="1" x14ac:dyDescent="0.35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 spans="1:26" ht="14.25" customHeight="1" x14ac:dyDescent="0.35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 spans="1:26" ht="14.25" customHeight="1" x14ac:dyDescent="0.35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 spans="1:26" ht="14.25" customHeight="1" x14ac:dyDescent="0.35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 spans="1:26" ht="14.25" customHeight="1" x14ac:dyDescent="0.35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 spans="1:26" ht="14.25" customHeight="1" x14ac:dyDescent="0.35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 spans="1:26" ht="14.25" customHeight="1" x14ac:dyDescent="0.35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 spans="1:26" ht="14.25" customHeight="1" x14ac:dyDescent="0.35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 spans="1:26" ht="14.25" customHeight="1" x14ac:dyDescent="0.35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 spans="1:26" ht="14.25" customHeight="1" x14ac:dyDescent="0.35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 spans="1:26" ht="14.25" customHeight="1" x14ac:dyDescent="0.35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 spans="1:26" ht="14.25" customHeight="1" x14ac:dyDescent="0.35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 spans="1:26" ht="14.25" customHeight="1" x14ac:dyDescent="0.35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 spans="1:26" ht="14.25" customHeight="1" x14ac:dyDescent="0.35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 spans="1:26" ht="14.25" customHeight="1" x14ac:dyDescent="0.35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 spans="1:26" ht="14.25" customHeight="1" x14ac:dyDescent="0.35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 spans="1:26" ht="14.25" customHeight="1" x14ac:dyDescent="0.35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 spans="1:26" ht="14.25" customHeight="1" x14ac:dyDescent="0.35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 spans="1:26" ht="14.25" customHeight="1" x14ac:dyDescent="0.35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 spans="1:26" ht="14.25" customHeight="1" x14ac:dyDescent="0.35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 spans="1:26" ht="14.25" customHeight="1" x14ac:dyDescent="0.35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 spans="1:26" ht="14.25" customHeight="1" x14ac:dyDescent="0.35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 spans="1:26" ht="14.25" customHeight="1" x14ac:dyDescent="0.35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spans="1:26" ht="14.25" customHeight="1" x14ac:dyDescent="0.35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 spans="1:26" ht="14.25" customHeight="1" x14ac:dyDescent="0.35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spans="1:26" ht="14.25" customHeight="1" x14ac:dyDescent="0.35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spans="1:26" ht="14.25" customHeight="1" x14ac:dyDescent="0.35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spans="1:26" ht="14.25" customHeight="1" x14ac:dyDescent="0.35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spans="1:26" ht="14.25" customHeight="1" x14ac:dyDescent="0.35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 spans="1:26" ht="14.25" customHeight="1" x14ac:dyDescent="0.35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 spans="1:26" ht="14.25" customHeight="1" x14ac:dyDescent="0.35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 spans="1:26" ht="14.25" customHeight="1" x14ac:dyDescent="0.35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 spans="1:26" ht="14.25" customHeight="1" x14ac:dyDescent="0.35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 spans="1:26" ht="14.25" customHeight="1" x14ac:dyDescent="0.35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 spans="1:26" ht="14.25" customHeight="1" x14ac:dyDescent="0.35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 spans="1:26" ht="14.25" customHeight="1" x14ac:dyDescent="0.35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 spans="1:26" ht="14.25" customHeight="1" x14ac:dyDescent="0.35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 spans="1:26" ht="14.25" customHeight="1" x14ac:dyDescent="0.35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 spans="1:26" ht="14.25" customHeight="1" x14ac:dyDescent="0.35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 spans="1:26" ht="14.25" customHeight="1" x14ac:dyDescent="0.35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 spans="1:26" ht="14.25" customHeight="1" x14ac:dyDescent="0.35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 spans="1:26" ht="14.25" customHeight="1" x14ac:dyDescent="0.35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 spans="1:26" ht="14.25" customHeight="1" x14ac:dyDescent="0.35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 spans="1:26" ht="14.25" customHeight="1" x14ac:dyDescent="0.35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 spans="1:26" ht="14.25" customHeight="1" x14ac:dyDescent="0.35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 spans="1:26" ht="14.25" customHeight="1" x14ac:dyDescent="0.35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 spans="1:26" ht="14.25" customHeight="1" x14ac:dyDescent="0.35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 spans="1:26" ht="14.25" customHeight="1" x14ac:dyDescent="0.35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 spans="1:26" ht="14.25" customHeight="1" x14ac:dyDescent="0.35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 spans="1:26" ht="14.25" customHeight="1" x14ac:dyDescent="0.35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 spans="1:26" ht="14.25" customHeight="1" x14ac:dyDescent="0.35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 spans="1:26" ht="14.25" customHeight="1" x14ac:dyDescent="0.35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 spans="1:26" ht="14.25" customHeight="1" x14ac:dyDescent="0.35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 spans="1:26" ht="14.25" customHeight="1" x14ac:dyDescent="0.35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 spans="1:26" ht="14.25" customHeight="1" x14ac:dyDescent="0.35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 spans="1:26" ht="14.25" customHeight="1" x14ac:dyDescent="0.35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 spans="1:26" ht="14.25" customHeight="1" x14ac:dyDescent="0.35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 spans="1:26" ht="14.25" customHeight="1" x14ac:dyDescent="0.35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 spans="1:26" ht="14.25" customHeight="1" x14ac:dyDescent="0.35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 spans="1:26" ht="14.25" customHeight="1" x14ac:dyDescent="0.35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 spans="1:26" ht="14.25" customHeight="1" x14ac:dyDescent="0.35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 spans="1:26" ht="14.25" customHeight="1" x14ac:dyDescent="0.35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 spans="1:26" ht="14.25" customHeight="1" x14ac:dyDescent="0.35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 spans="1:26" ht="14.25" customHeight="1" x14ac:dyDescent="0.35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 spans="1:26" ht="14.25" customHeight="1" x14ac:dyDescent="0.35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 spans="1:26" ht="14.25" customHeight="1" x14ac:dyDescent="0.35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 spans="1:26" ht="14.25" customHeight="1" x14ac:dyDescent="0.35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 spans="1:26" ht="14.25" customHeight="1" x14ac:dyDescent="0.35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 spans="1:26" ht="14.25" customHeight="1" x14ac:dyDescent="0.35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 spans="1:26" ht="14.25" customHeight="1" x14ac:dyDescent="0.35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 spans="1:26" ht="14.25" customHeight="1" x14ac:dyDescent="0.35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 spans="1:26" ht="14.25" customHeight="1" x14ac:dyDescent="0.35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 spans="1:26" ht="14.25" customHeight="1" x14ac:dyDescent="0.35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 spans="1:26" ht="14.25" customHeight="1" x14ac:dyDescent="0.35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 spans="1:26" ht="14.25" customHeight="1" x14ac:dyDescent="0.35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 spans="1:26" ht="14.25" customHeight="1" x14ac:dyDescent="0.35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 spans="1:26" ht="14.25" customHeight="1" x14ac:dyDescent="0.35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 spans="1:26" ht="14.25" customHeight="1" x14ac:dyDescent="0.35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 spans="1:26" ht="14.25" customHeight="1" x14ac:dyDescent="0.35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 spans="1:26" ht="14.25" customHeight="1" x14ac:dyDescent="0.35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 spans="1:26" ht="14.25" customHeight="1" x14ac:dyDescent="0.35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 spans="1:26" ht="14.25" customHeight="1" x14ac:dyDescent="0.35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 spans="1:26" ht="14.25" customHeight="1" x14ac:dyDescent="0.35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 spans="1:26" ht="14.25" customHeight="1" x14ac:dyDescent="0.35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 spans="1:26" ht="14.25" customHeight="1" x14ac:dyDescent="0.35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 spans="1:26" ht="14.25" customHeight="1" x14ac:dyDescent="0.35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 spans="1:26" ht="14.25" customHeight="1" x14ac:dyDescent="0.35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 spans="1:26" ht="14.25" customHeight="1" x14ac:dyDescent="0.35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 spans="1:26" ht="14.25" customHeight="1" x14ac:dyDescent="0.35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 spans="1:26" ht="14.25" customHeight="1" x14ac:dyDescent="0.35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 spans="1:26" ht="14.25" customHeight="1" x14ac:dyDescent="0.35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 spans="1:26" ht="14.25" customHeight="1" x14ac:dyDescent="0.35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 spans="1:26" ht="14.25" customHeight="1" x14ac:dyDescent="0.35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 spans="1:26" ht="14.25" customHeight="1" x14ac:dyDescent="0.35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 spans="1:26" ht="14.25" customHeight="1" x14ac:dyDescent="0.35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 spans="1:26" ht="14.25" customHeight="1" x14ac:dyDescent="0.35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 spans="1:26" ht="14.25" customHeight="1" x14ac:dyDescent="0.35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 spans="1:26" ht="14.25" customHeight="1" x14ac:dyDescent="0.35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 spans="1:26" ht="14.25" customHeight="1" x14ac:dyDescent="0.35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 spans="1:26" ht="14.25" customHeight="1" x14ac:dyDescent="0.35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 spans="1:26" ht="14.25" customHeight="1" x14ac:dyDescent="0.35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 spans="1:26" ht="14.25" customHeight="1" x14ac:dyDescent="0.35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 spans="1:26" ht="14.25" customHeight="1" x14ac:dyDescent="0.35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 spans="1:26" ht="14.25" customHeight="1" x14ac:dyDescent="0.35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 spans="1:26" ht="14.25" customHeight="1" x14ac:dyDescent="0.35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 spans="1:26" ht="14.25" customHeight="1" x14ac:dyDescent="0.35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 spans="1:26" ht="14.25" customHeight="1" x14ac:dyDescent="0.35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 spans="1:26" ht="14.25" customHeight="1" x14ac:dyDescent="0.35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 spans="1:26" ht="14.25" customHeight="1" x14ac:dyDescent="0.35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 spans="1:26" ht="14.25" customHeight="1" x14ac:dyDescent="0.35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 spans="1:26" ht="14.25" customHeight="1" x14ac:dyDescent="0.35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 spans="1:26" ht="14.25" customHeight="1" x14ac:dyDescent="0.35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 spans="1:26" ht="14.25" customHeight="1" x14ac:dyDescent="0.35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 spans="1:26" ht="14.25" customHeight="1" x14ac:dyDescent="0.35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 spans="1:26" ht="14.25" customHeight="1" x14ac:dyDescent="0.35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 spans="1:26" ht="14.25" customHeight="1" x14ac:dyDescent="0.35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 spans="1:26" ht="14.25" customHeight="1" x14ac:dyDescent="0.35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 spans="1:26" ht="14.25" customHeight="1" x14ac:dyDescent="0.35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 spans="1:26" ht="14.25" customHeight="1" x14ac:dyDescent="0.35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 spans="1:26" ht="14.25" customHeight="1" x14ac:dyDescent="0.35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 spans="1:26" ht="14.25" customHeight="1" x14ac:dyDescent="0.35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 spans="1:26" ht="14.25" customHeight="1" x14ac:dyDescent="0.35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 spans="1:26" ht="14.25" customHeight="1" x14ac:dyDescent="0.35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 spans="1:26" ht="14.25" customHeight="1" x14ac:dyDescent="0.35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 spans="1:26" ht="14.25" customHeight="1" x14ac:dyDescent="0.35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spans="1:26" ht="14.25" customHeight="1" x14ac:dyDescent="0.35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spans="1:26" ht="14.25" customHeight="1" x14ac:dyDescent="0.35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spans="1:26" ht="14.25" customHeight="1" x14ac:dyDescent="0.35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spans="1:26" ht="14.25" customHeight="1" x14ac:dyDescent="0.35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spans="1:26" ht="14.25" customHeight="1" x14ac:dyDescent="0.35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spans="1:26" ht="14.25" customHeight="1" x14ac:dyDescent="0.35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spans="1:26" ht="14.25" customHeight="1" x14ac:dyDescent="0.35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spans="1:26" ht="14.25" customHeight="1" x14ac:dyDescent="0.35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spans="1:26" ht="14.25" customHeight="1" x14ac:dyDescent="0.35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spans="1:26" ht="14.25" customHeight="1" x14ac:dyDescent="0.35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spans="1:26" ht="14.25" customHeight="1" x14ac:dyDescent="0.35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spans="1:26" ht="14.25" customHeight="1" x14ac:dyDescent="0.35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spans="1:26" ht="14.25" customHeight="1" x14ac:dyDescent="0.35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spans="1:26" ht="14.25" customHeight="1" x14ac:dyDescent="0.35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spans="1:26" ht="14.25" customHeight="1" x14ac:dyDescent="0.35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spans="1:26" ht="14.25" customHeight="1" x14ac:dyDescent="0.35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spans="1:26" ht="14.25" customHeight="1" x14ac:dyDescent="0.35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spans="1:26" ht="14.25" customHeight="1" x14ac:dyDescent="0.35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spans="1:26" ht="14.25" customHeight="1" x14ac:dyDescent="0.35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spans="1:26" ht="14.25" customHeight="1" x14ac:dyDescent="0.35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spans="1:26" ht="14.25" customHeight="1" x14ac:dyDescent="0.35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spans="1:26" ht="14.25" customHeight="1" x14ac:dyDescent="0.35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spans="1:26" ht="14.25" customHeight="1" x14ac:dyDescent="0.35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spans="1:26" ht="14.25" customHeight="1" x14ac:dyDescent="0.35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 spans="1:26" ht="14.25" customHeight="1" x14ac:dyDescent="0.35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spans="1:26" ht="14.25" customHeight="1" x14ac:dyDescent="0.35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 spans="1:26" ht="14.25" customHeight="1" x14ac:dyDescent="0.35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 spans="1:26" ht="14.25" customHeight="1" x14ac:dyDescent="0.35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 spans="1:26" ht="14.25" customHeight="1" x14ac:dyDescent="0.35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 spans="1:26" ht="14.25" customHeight="1" x14ac:dyDescent="0.35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spans="1:26" ht="14.25" customHeight="1" x14ac:dyDescent="0.35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spans="1:26" ht="14.25" customHeight="1" x14ac:dyDescent="0.35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spans="1:26" ht="14.25" customHeight="1" x14ac:dyDescent="0.35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spans="1:26" ht="14.25" customHeight="1" x14ac:dyDescent="0.35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spans="1:26" ht="14.25" customHeight="1" x14ac:dyDescent="0.35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spans="1:26" ht="14.25" customHeight="1" x14ac:dyDescent="0.35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spans="1:26" ht="14.25" customHeight="1" x14ac:dyDescent="0.35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spans="1:26" ht="14.25" customHeight="1" x14ac:dyDescent="0.35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spans="1:26" ht="14.25" customHeight="1" x14ac:dyDescent="0.35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spans="1:26" ht="14.25" customHeight="1" x14ac:dyDescent="0.35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spans="1:26" ht="14.25" customHeight="1" x14ac:dyDescent="0.35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spans="1:26" ht="14.25" customHeight="1" x14ac:dyDescent="0.35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spans="1:26" ht="14.25" customHeight="1" x14ac:dyDescent="0.35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spans="1:26" ht="14.25" customHeight="1" x14ac:dyDescent="0.35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spans="1:26" ht="14.25" customHeight="1" x14ac:dyDescent="0.35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spans="1:26" ht="14.25" customHeight="1" x14ac:dyDescent="0.35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spans="1:26" ht="14.25" customHeight="1" x14ac:dyDescent="0.35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spans="1:26" ht="14.25" customHeight="1" x14ac:dyDescent="0.35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spans="1:26" ht="14.25" customHeight="1" x14ac:dyDescent="0.35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spans="1:26" ht="14.25" customHeight="1" x14ac:dyDescent="0.35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spans="1:26" ht="14.25" customHeight="1" x14ac:dyDescent="0.35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spans="1:26" ht="14.25" customHeight="1" x14ac:dyDescent="0.35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spans="1:26" ht="14.25" customHeight="1" x14ac:dyDescent="0.35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spans="1:26" ht="14.25" customHeight="1" x14ac:dyDescent="0.35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spans="1:26" ht="14.25" customHeight="1" x14ac:dyDescent="0.35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spans="1:26" ht="14.25" customHeight="1" x14ac:dyDescent="0.35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spans="1:26" ht="14.25" customHeight="1" x14ac:dyDescent="0.35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spans="1:26" ht="14.25" customHeight="1" x14ac:dyDescent="0.35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spans="1:26" ht="14.25" customHeight="1" x14ac:dyDescent="0.35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spans="1:26" ht="14.25" customHeight="1" x14ac:dyDescent="0.35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spans="1:26" ht="14.25" customHeight="1" x14ac:dyDescent="0.35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spans="1:26" ht="14.25" customHeight="1" x14ac:dyDescent="0.35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spans="1:26" ht="14.25" customHeight="1" x14ac:dyDescent="0.35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spans="1:26" ht="14.25" customHeight="1" x14ac:dyDescent="0.35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spans="1:26" ht="14.25" customHeight="1" x14ac:dyDescent="0.35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spans="1:26" ht="14.25" customHeight="1" x14ac:dyDescent="0.35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spans="1:26" ht="14.25" customHeight="1" x14ac:dyDescent="0.35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spans="1:26" ht="14.25" customHeight="1" x14ac:dyDescent="0.35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spans="1:26" ht="14.25" customHeight="1" x14ac:dyDescent="0.35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spans="1:26" ht="14.25" customHeight="1" x14ac:dyDescent="0.35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spans="1:26" ht="14.25" customHeight="1" x14ac:dyDescent="0.35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spans="1:26" ht="14.25" customHeight="1" x14ac:dyDescent="0.35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spans="1:26" ht="14.25" customHeight="1" x14ac:dyDescent="0.35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spans="1:26" ht="14.25" customHeight="1" x14ac:dyDescent="0.35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spans="1:26" ht="14.25" customHeight="1" x14ac:dyDescent="0.35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spans="1:26" ht="14.25" customHeight="1" x14ac:dyDescent="0.35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spans="1:26" ht="14.25" customHeight="1" x14ac:dyDescent="0.35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spans="1:26" ht="14.25" customHeight="1" x14ac:dyDescent="0.35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spans="1:26" ht="14.25" customHeight="1" x14ac:dyDescent="0.35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spans="1:26" ht="14.25" customHeight="1" x14ac:dyDescent="0.35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spans="1:26" ht="14.25" customHeight="1" x14ac:dyDescent="0.35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spans="1:26" ht="14.25" customHeight="1" x14ac:dyDescent="0.35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spans="1:26" ht="14.25" customHeight="1" x14ac:dyDescent="0.35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spans="1:26" ht="14.25" customHeight="1" x14ac:dyDescent="0.35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spans="1:26" ht="14.25" customHeight="1" x14ac:dyDescent="0.35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spans="1:26" ht="14.25" customHeight="1" x14ac:dyDescent="0.35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spans="1:26" ht="14.25" customHeight="1" x14ac:dyDescent="0.35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spans="1:26" ht="14.25" customHeight="1" x14ac:dyDescent="0.35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spans="1:26" ht="14.25" customHeight="1" x14ac:dyDescent="0.35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spans="1:26" ht="14.25" customHeight="1" x14ac:dyDescent="0.35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spans="1:26" ht="14.25" customHeight="1" x14ac:dyDescent="0.35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spans="1:26" ht="14.25" customHeight="1" x14ac:dyDescent="0.35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spans="1:26" ht="14.25" customHeight="1" x14ac:dyDescent="0.35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spans="1:26" ht="14.25" customHeight="1" x14ac:dyDescent="0.35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spans="1:26" ht="14.25" customHeight="1" x14ac:dyDescent="0.35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spans="1:26" ht="14.25" customHeight="1" x14ac:dyDescent="0.35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spans="1:26" ht="14.25" customHeight="1" x14ac:dyDescent="0.35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spans="1:26" ht="14.25" customHeight="1" x14ac:dyDescent="0.35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spans="1:26" ht="14.25" customHeight="1" x14ac:dyDescent="0.35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spans="1:26" ht="14.25" customHeight="1" x14ac:dyDescent="0.35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spans="1:26" ht="14.25" customHeight="1" x14ac:dyDescent="0.35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spans="1:26" ht="14.25" customHeight="1" x14ac:dyDescent="0.35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spans="1:26" ht="14.25" customHeight="1" x14ac:dyDescent="0.35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spans="1:26" ht="14.25" customHeight="1" x14ac:dyDescent="0.35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spans="1:26" ht="14.25" customHeight="1" x14ac:dyDescent="0.35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spans="1:26" ht="14.25" customHeight="1" x14ac:dyDescent="0.35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spans="1:26" ht="14.25" customHeight="1" x14ac:dyDescent="0.35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spans="1:26" ht="14.25" customHeight="1" x14ac:dyDescent="0.35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spans="1:26" ht="14.25" customHeight="1" x14ac:dyDescent="0.35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spans="1:26" ht="14.25" customHeight="1" x14ac:dyDescent="0.35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spans="1:26" ht="14.25" customHeight="1" x14ac:dyDescent="0.35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spans="1:26" ht="14.25" customHeight="1" x14ac:dyDescent="0.35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spans="1:26" ht="14.25" customHeight="1" x14ac:dyDescent="0.35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spans="1:26" ht="14.25" customHeight="1" x14ac:dyDescent="0.35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spans="1:26" ht="14.25" customHeight="1" x14ac:dyDescent="0.35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spans="1:26" ht="14.25" customHeight="1" x14ac:dyDescent="0.35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spans="1:26" ht="14.25" customHeight="1" x14ac:dyDescent="0.35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spans="1:26" ht="14.25" customHeight="1" x14ac:dyDescent="0.35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spans="1:26" ht="14.25" customHeight="1" x14ac:dyDescent="0.35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spans="1:26" ht="14.25" customHeight="1" x14ac:dyDescent="0.35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spans="1:26" ht="14.25" customHeight="1" x14ac:dyDescent="0.35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spans="1:26" ht="14.25" customHeight="1" x14ac:dyDescent="0.35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spans="1:26" ht="14.25" customHeight="1" x14ac:dyDescent="0.35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spans="1:26" ht="14.25" customHeight="1" x14ac:dyDescent="0.35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spans="1:26" ht="14.25" customHeight="1" x14ac:dyDescent="0.35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spans="1:26" ht="14.25" customHeight="1" x14ac:dyDescent="0.35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spans="1:26" ht="14.25" customHeight="1" x14ac:dyDescent="0.35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spans="1:26" ht="14.25" customHeight="1" x14ac:dyDescent="0.35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spans="1:26" ht="14.25" customHeight="1" x14ac:dyDescent="0.35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spans="1:26" ht="14.25" customHeight="1" x14ac:dyDescent="0.35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spans="1:26" ht="14.25" customHeight="1" x14ac:dyDescent="0.35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spans="1:26" ht="14.25" customHeight="1" x14ac:dyDescent="0.35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spans="1:26" ht="14.25" customHeight="1" x14ac:dyDescent="0.35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spans="1:26" ht="14.25" customHeight="1" x14ac:dyDescent="0.35">
      <c r="A979" s="239"/>
      <c r="B979" s="239"/>
      <c r="C979" s="239"/>
      <c r="D979" s="239"/>
      <c r="E979" s="239"/>
      <c r="F979" s="239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spans="1:26" ht="14.25" customHeight="1" x14ac:dyDescent="0.35">
      <c r="A980" s="239"/>
      <c r="B980" s="239"/>
      <c r="C980" s="239"/>
      <c r="D980" s="239"/>
      <c r="E980" s="239"/>
      <c r="F980" s="239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spans="1:26" ht="14.25" customHeight="1" x14ac:dyDescent="0.35">
      <c r="A981" s="239"/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spans="1:26" ht="14.25" customHeight="1" x14ac:dyDescent="0.35">
      <c r="A982" s="239"/>
      <c r="B982" s="239"/>
      <c r="C982" s="239"/>
      <c r="D982" s="239"/>
      <c r="E982" s="239"/>
      <c r="F982" s="239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spans="1:26" ht="14.25" customHeight="1" x14ac:dyDescent="0.35">
      <c r="A983" s="239"/>
      <c r="B983" s="239"/>
      <c r="C983" s="239"/>
      <c r="D983" s="239"/>
      <c r="E983" s="239"/>
      <c r="F983" s="239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spans="1:26" ht="14.25" customHeight="1" x14ac:dyDescent="0.35">
      <c r="A984" s="239"/>
      <c r="B984" s="239"/>
      <c r="C984" s="239"/>
      <c r="D984" s="239"/>
      <c r="E984" s="239"/>
      <c r="F984" s="239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spans="1:26" ht="14.25" customHeight="1" x14ac:dyDescent="0.35">
      <c r="A985" s="239"/>
      <c r="B985" s="239"/>
      <c r="C985" s="239"/>
      <c r="D985" s="239"/>
      <c r="E985" s="239"/>
      <c r="F985" s="239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spans="1:26" ht="14.25" customHeight="1" x14ac:dyDescent="0.35">
      <c r="A986" s="239"/>
      <c r="B986" s="239"/>
      <c r="C986" s="239"/>
      <c r="D986" s="239"/>
      <c r="E986" s="239"/>
      <c r="F986" s="239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 spans="1:26" ht="14.25" customHeight="1" x14ac:dyDescent="0.35">
      <c r="A987" s="239"/>
      <c r="B987" s="239"/>
      <c r="C987" s="239"/>
      <c r="D987" s="239"/>
      <c r="E987" s="239"/>
      <c r="F987" s="239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 spans="1:26" ht="14.25" customHeight="1" x14ac:dyDescent="0.35">
      <c r="A988" s="239"/>
      <c r="B988" s="239"/>
      <c r="C988" s="239"/>
      <c r="D988" s="239"/>
      <c r="E988" s="239"/>
      <c r="F988" s="239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 spans="1:26" ht="14.25" customHeight="1" x14ac:dyDescent="0.35">
      <c r="A989" s="239"/>
      <c r="B989" s="239"/>
      <c r="C989" s="239"/>
      <c r="D989" s="239"/>
      <c r="E989" s="239"/>
      <c r="F989" s="239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 spans="1:26" ht="14.25" customHeight="1" x14ac:dyDescent="0.35">
      <c r="A990" s="239"/>
      <c r="B990" s="239"/>
      <c r="C990" s="239"/>
      <c r="D990" s="239"/>
      <c r="E990" s="239"/>
      <c r="F990" s="239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 spans="1:26" ht="14.25" customHeight="1" x14ac:dyDescent="0.35">
      <c r="A991" s="239"/>
      <c r="B991" s="239"/>
      <c r="C991" s="239"/>
      <c r="D991" s="239"/>
      <c r="E991" s="239"/>
      <c r="F991" s="239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spans="1:26" ht="14.25" customHeight="1" x14ac:dyDescent="0.35">
      <c r="A992" s="239"/>
      <c r="B992" s="239"/>
      <c r="C992" s="239"/>
      <c r="D992" s="239"/>
      <c r="E992" s="239"/>
      <c r="F992" s="239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spans="1:26" ht="14.25" customHeight="1" x14ac:dyDescent="0.35">
      <c r="A993" s="239"/>
      <c r="B993" s="239"/>
      <c r="C993" s="239"/>
      <c r="D993" s="239"/>
      <c r="E993" s="239"/>
      <c r="F993" s="239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spans="1:26" ht="14.25" customHeight="1" x14ac:dyDescent="0.35">
      <c r="A994" s="239"/>
      <c r="B994" s="239"/>
      <c r="C994" s="239"/>
      <c r="D994" s="239"/>
      <c r="E994" s="239"/>
      <c r="F994" s="239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spans="1:26" ht="14.25" customHeight="1" x14ac:dyDescent="0.35">
      <c r="A995" s="239"/>
      <c r="B995" s="239"/>
      <c r="C995" s="239"/>
      <c r="D995" s="239"/>
      <c r="E995" s="239"/>
      <c r="F995" s="239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spans="1:26" ht="14.25" customHeight="1" x14ac:dyDescent="0.35">
      <c r="A996" s="239"/>
      <c r="B996" s="239"/>
      <c r="C996" s="239"/>
      <c r="D996" s="239"/>
      <c r="E996" s="239"/>
      <c r="F996" s="239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spans="1:26" ht="14.25" customHeight="1" x14ac:dyDescent="0.35">
      <c r="A997" s="239"/>
      <c r="B997" s="239"/>
      <c r="C997" s="239"/>
      <c r="D997" s="239"/>
      <c r="E997" s="239"/>
      <c r="F997" s="239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spans="1:26" ht="14.25" customHeight="1" x14ac:dyDescent="0.35">
      <c r="A998" s="239"/>
      <c r="B998" s="239"/>
      <c r="C998" s="239"/>
      <c r="D998" s="239"/>
      <c r="E998" s="239"/>
      <c r="F998" s="239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spans="1:26" ht="18" x14ac:dyDescent="0.35">
      <c r="A999" s="239"/>
      <c r="B999" s="239"/>
      <c r="C999" s="239"/>
      <c r="D999" s="239"/>
      <c r="E999" s="239"/>
      <c r="F999" s="239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spans="1:26" ht="18" x14ac:dyDescent="0.35">
      <c r="A1000" s="239"/>
      <c r="B1000" s="239"/>
      <c r="C1000" s="239"/>
      <c r="D1000" s="239"/>
      <c r="E1000" s="239"/>
      <c r="F1000" s="239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  <row r="1001" spans="1:26" ht="18" x14ac:dyDescent="0.35">
      <c r="A1001" s="239"/>
      <c r="B1001" s="239"/>
      <c r="C1001" s="239"/>
      <c r="D1001" s="239"/>
      <c r="E1001" s="239"/>
      <c r="F1001" s="239"/>
      <c r="G1001" s="239"/>
      <c r="H1001" s="239"/>
      <c r="I1001" s="239"/>
      <c r="J1001" s="239"/>
      <c r="K1001" s="239"/>
      <c r="L1001" s="239"/>
      <c r="M1001" s="239"/>
      <c r="N1001" s="239"/>
      <c r="O1001" s="239"/>
      <c r="P1001" s="239"/>
      <c r="Q1001" s="239"/>
      <c r="R1001" s="239"/>
      <c r="S1001" s="239"/>
      <c r="T1001" s="239"/>
      <c r="U1001" s="239"/>
      <c r="V1001" s="239"/>
      <c r="W1001" s="239"/>
      <c r="X1001" s="239"/>
      <c r="Y1001" s="239"/>
      <c r="Z1001" s="239"/>
    </row>
    <row r="1002" spans="1:26" ht="18" x14ac:dyDescent="0.35">
      <c r="A1002" s="239"/>
      <c r="B1002" s="239"/>
      <c r="C1002" s="239"/>
      <c r="D1002" s="239"/>
      <c r="E1002" s="239"/>
      <c r="F1002" s="239"/>
      <c r="G1002" s="239"/>
      <c r="H1002" s="239"/>
      <c r="I1002" s="239"/>
      <c r="J1002" s="239"/>
      <c r="K1002" s="239"/>
      <c r="L1002" s="239"/>
      <c r="M1002" s="239"/>
      <c r="N1002" s="239"/>
      <c r="O1002" s="239"/>
      <c r="P1002" s="239"/>
      <c r="Q1002" s="239"/>
      <c r="R1002" s="239"/>
      <c r="S1002" s="239"/>
      <c r="T1002" s="239"/>
      <c r="U1002" s="239"/>
      <c r="V1002" s="239"/>
      <c r="W1002" s="239"/>
      <c r="X1002" s="239"/>
      <c r="Y1002" s="239"/>
      <c r="Z1002" s="239"/>
    </row>
  </sheetData>
  <mergeCells count="2">
    <mergeCell ref="B1:C1"/>
    <mergeCell ref="F1:I1"/>
  </mergeCells>
  <pageMargins left="0.7" right="0.7" top="0.75" bottom="0.75" header="0" footer="0"/>
  <pageSetup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A46D"/>
  </sheetPr>
  <dimension ref="A1:AW1113"/>
  <sheetViews>
    <sheetView zoomScaleNormal="100" workbookViewId="0">
      <pane xSplit="1" ySplit="7" topLeftCell="B313" activePane="bottomRight" state="frozen"/>
      <selection pane="topRight" activeCell="B1" sqref="B1"/>
      <selection pane="bottomLeft" activeCell="A8" sqref="A8"/>
      <selection pane="bottomRight" activeCell="A326" sqref="A326"/>
    </sheetView>
  </sheetViews>
  <sheetFormatPr defaultColWidth="14.44140625" defaultRowHeight="15" customHeight="1" outlineLevelCol="1" x14ac:dyDescent="0.3"/>
  <cols>
    <col min="1" max="1" width="10.6640625" customWidth="1"/>
    <col min="2" max="2" width="10.5546875" customWidth="1"/>
    <col min="3" max="3" width="12.33203125" customWidth="1"/>
    <col min="4" max="4" width="12.109375" customWidth="1"/>
    <col min="5" max="5" width="14.33203125" customWidth="1"/>
    <col min="6" max="6" width="12.88671875" bestFit="1" customWidth="1"/>
    <col min="7" max="7" width="20.88671875" customWidth="1"/>
    <col min="8" max="8" width="10.33203125" customWidth="1"/>
    <col min="9" max="9" width="11.109375" customWidth="1"/>
    <col min="10" max="10" width="11" bestFit="1" customWidth="1"/>
    <col min="11" max="11" width="10.33203125" customWidth="1"/>
    <col min="12" max="12" width="10.109375" customWidth="1"/>
    <col min="13" max="13" width="9.33203125" bestFit="1" customWidth="1"/>
    <col min="14" max="14" width="7.109375" customWidth="1"/>
    <col min="15" max="15" width="8.33203125" customWidth="1"/>
    <col min="16" max="16" width="8.21875" bestFit="1" customWidth="1"/>
    <col min="17" max="17" width="10.5546875" customWidth="1"/>
    <col min="18" max="18" width="8.33203125" customWidth="1"/>
    <col min="19" max="19" width="10.109375" customWidth="1"/>
    <col min="20" max="20" width="8.109375" customWidth="1"/>
    <col min="21" max="21" width="11" bestFit="1" customWidth="1"/>
    <col min="22" max="22" width="3.5546875" customWidth="1"/>
    <col min="23" max="23" width="10.88671875" customWidth="1" outlineLevel="1"/>
    <col min="24" max="24" width="8.44140625" customWidth="1" outlineLevel="1"/>
    <col min="25" max="25" width="9.6640625" customWidth="1" outlineLevel="1"/>
    <col min="26" max="26" width="11" customWidth="1" outlineLevel="1"/>
    <col min="27" max="27" width="13.109375" customWidth="1"/>
    <col min="28" max="28" width="9.5546875" customWidth="1"/>
    <col min="29" max="29" width="14.33203125" customWidth="1"/>
    <col min="30" max="31" width="10.44140625" customWidth="1"/>
    <col min="32" max="32" width="8.6640625" customWidth="1"/>
    <col min="33" max="33" width="9.77734375" bestFit="1" customWidth="1"/>
    <col min="34" max="34" width="8.6640625" bestFit="1" customWidth="1"/>
    <col min="35" max="35" width="8.33203125" customWidth="1"/>
    <col min="36" max="36" width="12" customWidth="1"/>
    <col min="37" max="37" width="10.88671875" bestFit="1" customWidth="1"/>
    <col min="38" max="38" width="11.88671875" customWidth="1"/>
    <col min="39" max="39" width="7" bestFit="1" customWidth="1"/>
    <col min="40" max="40" width="11" bestFit="1" customWidth="1"/>
    <col min="41" max="41" width="9.77734375" bestFit="1" customWidth="1"/>
    <col min="42" max="42" width="10.88671875" customWidth="1"/>
    <col min="43" max="43" width="61" customWidth="1"/>
    <col min="44" max="44" width="4" customWidth="1"/>
    <col min="45" max="45" width="11" bestFit="1" customWidth="1"/>
  </cols>
  <sheetData>
    <row r="1" spans="1:48" ht="41.25" customHeight="1" x14ac:dyDescent="0.3">
      <c r="A1" s="13"/>
      <c r="B1" s="13"/>
      <c r="C1" s="14" t="s">
        <v>2</v>
      </c>
      <c r="D1" s="14" t="s">
        <v>27</v>
      </c>
      <c r="E1" s="14" t="s">
        <v>28</v>
      </c>
      <c r="F1" s="15" t="s">
        <v>29</v>
      </c>
      <c r="G1" s="16"/>
      <c r="H1" s="13"/>
      <c r="I1" s="254"/>
      <c r="J1" s="13"/>
      <c r="K1" s="254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7"/>
      <c r="AD1" s="13"/>
      <c r="AE1" s="17"/>
      <c r="AF1" s="13"/>
      <c r="AG1" s="13"/>
      <c r="AH1" s="13"/>
      <c r="AI1" s="13"/>
      <c r="AJ1" s="13"/>
      <c r="AK1" s="13"/>
      <c r="AL1" s="13"/>
      <c r="AM1" s="13"/>
      <c r="AN1" s="217"/>
      <c r="AO1" s="13"/>
      <c r="AP1" s="13"/>
      <c r="AQ1" s="13"/>
      <c r="AR1" s="13"/>
      <c r="AS1" s="13"/>
      <c r="AT1" s="5"/>
      <c r="AU1" s="5"/>
      <c r="AV1" s="5"/>
    </row>
    <row r="2" spans="1:48" ht="12.75" customHeight="1" x14ac:dyDescent="0.3">
      <c r="A2" s="5"/>
      <c r="B2" s="5"/>
      <c r="C2" s="257">
        <f>22221+1600+439+352</f>
        <v>24612</v>
      </c>
      <c r="D2" s="257">
        <f>AS5</f>
        <v>1132797.0138716481</v>
      </c>
      <c r="E2" s="297">
        <f>'BM Stock Halba'!N184</f>
        <v>1100428.8835500001</v>
      </c>
      <c r="F2" s="18">
        <f>114-(C2-D2+E2)</f>
        <v>7870.1303216479719</v>
      </c>
      <c r="G2" s="5"/>
      <c r="H2" s="19"/>
      <c r="I2" s="19"/>
      <c r="J2" s="20"/>
      <c r="K2" s="20"/>
      <c r="L2" s="5"/>
      <c r="M2" s="5"/>
      <c r="N2" s="5"/>
      <c r="O2" s="5"/>
      <c r="P2" s="5"/>
      <c r="Q2" s="5"/>
      <c r="R2" s="5"/>
      <c r="S2" s="5"/>
      <c r="T2" s="5"/>
      <c r="U2" s="4"/>
      <c r="V2" s="5"/>
      <c r="W2" s="5"/>
      <c r="X2" s="5"/>
      <c r="Y2" s="5"/>
      <c r="Z2" s="5"/>
      <c r="AA2" s="5"/>
      <c r="AB2" s="5"/>
      <c r="AC2" s="5"/>
      <c r="AD2" s="5"/>
      <c r="AE2" s="4"/>
      <c r="AF2" s="5"/>
      <c r="AG2" s="5"/>
      <c r="AH2" s="5"/>
      <c r="AI2" s="5"/>
      <c r="AJ2" s="5"/>
      <c r="AK2" s="5"/>
      <c r="AL2" s="5"/>
      <c r="AM2" s="5"/>
      <c r="AN2" s="4"/>
      <c r="AO2" s="5"/>
      <c r="AP2" s="5"/>
      <c r="AQ2" s="5"/>
      <c r="AR2" s="5"/>
      <c r="AS2" s="4"/>
      <c r="AT2" s="5"/>
      <c r="AU2" s="5"/>
      <c r="AV2" s="5"/>
    </row>
    <row r="3" spans="1:48" ht="12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4"/>
      <c r="V3" s="5"/>
      <c r="W3" s="5"/>
      <c r="X3" s="5"/>
      <c r="Y3" s="5"/>
      <c r="Z3" s="5"/>
      <c r="AA3" s="5"/>
      <c r="AB3" s="5"/>
      <c r="AC3" s="5"/>
      <c r="AD3" s="5"/>
      <c r="AE3" s="4"/>
      <c r="AF3" s="5"/>
      <c r="AG3" s="5"/>
      <c r="AH3" s="5"/>
      <c r="AI3" s="5"/>
      <c r="AJ3" s="5"/>
      <c r="AK3" s="5"/>
      <c r="AL3" s="5"/>
      <c r="AM3" s="5"/>
      <c r="AN3" s="4"/>
      <c r="AO3" s="5"/>
      <c r="AP3" s="5"/>
      <c r="AQ3" s="5"/>
      <c r="AR3" s="5"/>
      <c r="AS3" s="4"/>
      <c r="AT3" s="5"/>
      <c r="AU3" s="5"/>
      <c r="AV3" s="5"/>
    </row>
    <row r="4" spans="1:48" ht="15.75" customHeight="1" x14ac:dyDescent="0.3">
      <c r="A4" s="401" t="s">
        <v>33</v>
      </c>
      <c r="B4" s="401"/>
      <c r="C4" s="402" t="s">
        <v>30</v>
      </c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4"/>
      <c r="V4" s="22"/>
      <c r="W4" s="405" t="s">
        <v>31</v>
      </c>
      <c r="X4" s="403"/>
      <c r="Y4" s="403"/>
      <c r="Z4" s="403"/>
      <c r="AA4" s="403"/>
      <c r="AB4" s="403"/>
      <c r="AC4" s="403"/>
      <c r="AD4" s="403"/>
      <c r="AE4" s="403"/>
      <c r="AF4" s="403"/>
      <c r="AG4" s="403"/>
      <c r="AH4" s="403"/>
      <c r="AI4" s="403"/>
      <c r="AJ4" s="403"/>
      <c r="AK4" s="403"/>
      <c r="AL4" s="403"/>
      <c r="AM4" s="403"/>
      <c r="AN4" s="403"/>
      <c r="AO4" s="403"/>
      <c r="AP4" s="403"/>
      <c r="AQ4" s="404"/>
      <c r="AR4" s="23"/>
      <c r="AS4" s="24" t="s">
        <v>32</v>
      </c>
      <c r="AT4" s="5"/>
      <c r="AU4" s="5"/>
      <c r="AV4" s="5"/>
    </row>
    <row r="5" spans="1:48" ht="12.75" customHeight="1" x14ac:dyDescent="0.3">
      <c r="A5" s="401"/>
      <c r="B5" s="401"/>
      <c r="C5" s="286">
        <f>SUM('Daily Halba'!$C$8:$C$524)</f>
        <v>494093</v>
      </c>
      <c r="D5" s="25"/>
      <c r="E5" s="282">
        <f>SUM('Daily Halba'!$E$8:$E$524)</f>
        <v>543418.17852976569</v>
      </c>
      <c r="F5" s="285">
        <f>SUM('Daily Halba'!$F$8:$F$524)</f>
        <v>396810</v>
      </c>
      <c r="G5" s="26"/>
      <c r="H5" s="282">
        <f>SUM('Daily Halba'!$H$8:$H$524)</f>
        <v>442506.00429999962</v>
      </c>
      <c r="I5" s="285">
        <f>SUM('Daily Halba'!$I$8:$I$524)</f>
        <v>890903</v>
      </c>
      <c r="J5" s="282">
        <f>SUM('Daily Halba'!$J$8:$J$524)</f>
        <v>985924.1885000004</v>
      </c>
      <c r="K5" s="284">
        <f>SUM('Daily Halba'!$K$8:$K$524)</f>
        <v>314152</v>
      </c>
      <c r="L5" s="27"/>
      <c r="M5" s="283">
        <f>SUM('Daily Halba'!$M$8:$M$524)</f>
        <v>294511.25872541819</v>
      </c>
      <c r="N5" s="282">
        <f>SUM('Daily Halba'!$N$8:$N$524)</f>
        <v>5121.173879827933</v>
      </c>
      <c r="O5" s="282">
        <f>SUM('Daily Halba'!$O$8:$O$524)</f>
        <v>4902.0256797314432</v>
      </c>
      <c r="P5" s="282">
        <f>SUM('Daily Halba'!$P$8:$P$524)</f>
        <v>12661.789777034561</v>
      </c>
      <c r="Q5" s="282">
        <f>SUM(Q8:Q524)</f>
        <v>265</v>
      </c>
      <c r="R5" s="282">
        <f>SUM($R$8:$R$524)</f>
        <v>5781.32</v>
      </c>
      <c r="S5" s="282">
        <f>SUM($S$8:$S$524)</f>
        <v>282267.94707469339</v>
      </c>
      <c r="T5" s="282">
        <f>SUM($T$8:$T$524)</f>
        <v>3153.1369542173456</v>
      </c>
      <c r="U5" s="283">
        <f>SUM('Daily Halba'!$U$8:$U$524)</f>
        <v>1594587.8349206895</v>
      </c>
      <c r="V5" s="23"/>
      <c r="W5" s="287">
        <f>SUM('Daily Halba'!$W$8:$W$524)</f>
        <v>265709.08295886277</v>
      </c>
      <c r="X5" s="28"/>
      <c r="Y5" s="287">
        <f>SUM('Daily Halba'!$Y$8:$Y$524)</f>
        <v>69219.243775795971</v>
      </c>
      <c r="Z5" s="287">
        <f>SUM('Daily Halba'!$Z$8:$Z$524)</f>
        <v>-825.5</v>
      </c>
      <c r="AA5" s="283">
        <f>SUM('Daily Halba'!$AA$8:$AA$524)</f>
        <v>4347.29</v>
      </c>
      <c r="AB5" s="287">
        <f>SUM('Daily Halba'!$AB$8:$AB$524)</f>
        <v>4020.7172129319952</v>
      </c>
      <c r="AC5" s="287">
        <f>SUM('Daily Halba'!$AC$8:$AC$524)</f>
        <v>13688.59</v>
      </c>
      <c r="AD5" s="28"/>
      <c r="AE5" s="287">
        <f>SUM('Daily Halba'!$AE$8:$AE$524)</f>
        <v>25208.597212931996</v>
      </c>
      <c r="AF5" s="287">
        <f>SUM('Daily Halba'!$AF$8:$AF$524)</f>
        <v>6000</v>
      </c>
      <c r="AG5" s="287">
        <f>SUM('Daily Halba'!$AG$8:$AG$524)</f>
        <v>14568</v>
      </c>
      <c r="AH5" s="287">
        <f>SUM('Daily Halba'!$AH$8:$AH$524)</f>
        <v>1153.5741360089187</v>
      </c>
      <c r="AI5" s="287">
        <f>SUM('Daily Halba'!$AI$8:$AI$524)</f>
        <v>1891.7312385730213</v>
      </c>
      <c r="AJ5" s="287">
        <f>SUM('Daily Halba'!$AJ$8:$AJ$524)</f>
        <v>1943.4593088071349</v>
      </c>
      <c r="AK5" s="287">
        <f>SUM('Daily Halba'!$AK$8:$AK$524)</f>
        <v>592.86576365663336</v>
      </c>
      <c r="AL5" s="287">
        <f>SUM('Daily Halba'!$AL$8:$AL$524)</f>
        <v>1746</v>
      </c>
      <c r="AM5" s="287">
        <f>SUM('Daily Halba'!$AM$8:$AM$524)</f>
        <v>212.22965440356745</v>
      </c>
      <c r="AN5" s="287">
        <f>SUM('Daily Halba'!$AN$8:$AN$524)</f>
        <v>28107.860101449278</v>
      </c>
      <c r="AO5" s="287">
        <f>SUM('Daily Halba'!$AO$8:$AO$524)</f>
        <v>43500</v>
      </c>
      <c r="AP5" s="287">
        <f>SUM('Daily Halba'!$AP$8:$AP$524)</f>
        <v>461790.82104904001</v>
      </c>
      <c r="AQ5" s="27"/>
      <c r="AR5" s="23"/>
      <c r="AS5" s="29">
        <f>SUM(AS8:AS524)</f>
        <v>1132797.0138716481</v>
      </c>
      <c r="AT5" s="21"/>
      <c r="AU5" s="188"/>
      <c r="AV5" s="21"/>
    </row>
    <row r="6" spans="1:48" ht="12.75" customHeight="1" x14ac:dyDescent="0.3">
      <c r="A6" s="401"/>
      <c r="B6" s="401"/>
      <c r="C6" s="406" t="s">
        <v>34</v>
      </c>
      <c r="D6" s="407"/>
      <c r="E6" s="407"/>
      <c r="F6" s="407"/>
      <c r="G6" s="407"/>
      <c r="H6" s="407"/>
      <c r="I6" s="407"/>
      <c r="J6" s="408"/>
      <c r="K6" s="409" t="s">
        <v>35</v>
      </c>
      <c r="L6" s="403"/>
      <c r="M6" s="410"/>
      <c r="N6" s="411" t="s">
        <v>36</v>
      </c>
      <c r="O6" s="407"/>
      <c r="P6" s="407"/>
      <c r="Q6" s="407"/>
      <c r="R6" s="407"/>
      <c r="S6" s="407"/>
      <c r="T6" s="408"/>
      <c r="U6" s="5"/>
      <c r="V6" s="22"/>
      <c r="W6" s="5"/>
      <c r="X6" s="5"/>
      <c r="Y6" s="5"/>
      <c r="Z6" s="5"/>
      <c r="AA6" s="412" t="s">
        <v>37</v>
      </c>
      <c r="AB6" s="403"/>
      <c r="AC6" s="403"/>
      <c r="AD6" s="403"/>
      <c r="AE6" s="410"/>
      <c r="AF6" s="413" t="s">
        <v>38</v>
      </c>
      <c r="AG6" s="403"/>
      <c r="AH6" s="403"/>
      <c r="AI6" s="403"/>
      <c r="AJ6" s="403"/>
      <c r="AK6" s="403"/>
      <c r="AL6" s="403"/>
      <c r="AM6" s="403"/>
      <c r="AN6" s="410"/>
      <c r="AO6" s="30"/>
      <c r="AP6" s="30"/>
      <c r="AQ6" s="30"/>
      <c r="AR6" s="22"/>
      <c r="AS6" s="5"/>
      <c r="AT6" s="5"/>
      <c r="AU6" s="5"/>
      <c r="AV6" s="5"/>
    </row>
    <row r="7" spans="1:48" ht="46.8" x14ac:dyDescent="0.3">
      <c r="A7" s="279" t="s">
        <v>9</v>
      </c>
      <c r="B7" s="280" t="s">
        <v>39</v>
      </c>
      <c r="C7" s="31" t="s">
        <v>40</v>
      </c>
      <c r="D7" s="32" t="s">
        <v>41</v>
      </c>
      <c r="E7" s="32" t="s">
        <v>42</v>
      </c>
      <c r="F7" s="32" t="s">
        <v>43</v>
      </c>
      <c r="G7" s="32" t="s">
        <v>44</v>
      </c>
      <c r="H7" s="32" t="s">
        <v>45</v>
      </c>
      <c r="I7" s="32" t="s">
        <v>46</v>
      </c>
      <c r="J7" s="33" t="s">
        <v>47</v>
      </c>
      <c r="K7" s="34" t="s">
        <v>48</v>
      </c>
      <c r="L7" s="35" t="s">
        <v>49</v>
      </c>
      <c r="M7" s="35" t="s">
        <v>50</v>
      </c>
      <c r="N7" s="36" t="s">
        <v>51</v>
      </c>
      <c r="O7" s="36" t="s">
        <v>52</v>
      </c>
      <c r="P7" s="36" t="s">
        <v>53</v>
      </c>
      <c r="Q7" s="36" t="s">
        <v>54</v>
      </c>
      <c r="R7" s="36" t="s">
        <v>55</v>
      </c>
      <c r="S7" s="36" t="s">
        <v>56</v>
      </c>
      <c r="T7" s="36" t="s">
        <v>57</v>
      </c>
      <c r="U7" s="37" t="s">
        <v>58</v>
      </c>
      <c r="V7" s="38"/>
      <c r="W7" s="39" t="s">
        <v>59</v>
      </c>
      <c r="X7" s="39" t="s">
        <v>60</v>
      </c>
      <c r="Y7" s="39" t="s">
        <v>61</v>
      </c>
      <c r="Z7" s="39" t="s">
        <v>62</v>
      </c>
      <c r="AA7" s="40" t="s">
        <v>63</v>
      </c>
      <c r="AB7" s="41" t="s">
        <v>64</v>
      </c>
      <c r="AC7" s="41" t="s">
        <v>65</v>
      </c>
      <c r="AD7" s="42" t="s">
        <v>66</v>
      </c>
      <c r="AE7" s="42" t="s">
        <v>28</v>
      </c>
      <c r="AF7" s="43" t="s">
        <v>67</v>
      </c>
      <c r="AG7" s="44" t="s">
        <v>68</v>
      </c>
      <c r="AH7" s="44" t="s">
        <v>69</v>
      </c>
      <c r="AI7" s="44" t="s">
        <v>70</v>
      </c>
      <c r="AJ7" s="44" t="s">
        <v>71</v>
      </c>
      <c r="AK7" s="44" t="s">
        <v>72</v>
      </c>
      <c r="AL7" s="44" t="s">
        <v>73</v>
      </c>
      <c r="AM7" s="45" t="s">
        <v>74</v>
      </c>
      <c r="AN7" s="44" t="s">
        <v>75</v>
      </c>
      <c r="AO7" s="44" t="s">
        <v>76</v>
      </c>
      <c r="AP7" s="46" t="s">
        <v>77</v>
      </c>
      <c r="AQ7" s="47" t="s">
        <v>78</v>
      </c>
      <c r="AR7" s="38"/>
      <c r="AS7" s="48" t="s">
        <v>79</v>
      </c>
      <c r="AT7" s="5"/>
      <c r="AU7" s="5"/>
      <c r="AV7" s="5"/>
    </row>
    <row r="8" spans="1:48" ht="12.75" customHeight="1" x14ac:dyDescent="0.3">
      <c r="A8" s="49">
        <v>45965</v>
      </c>
      <c r="B8" s="50"/>
      <c r="C8" s="51">
        <f>'ODOMETERS Halba'!J4</f>
        <v>1434</v>
      </c>
      <c r="D8" s="52">
        <v>0.77929999999999999</v>
      </c>
      <c r="E8" s="53">
        <f>'Daily Halba'!$C8*'Daily Halba'!$D8</f>
        <v>1117.5162</v>
      </c>
      <c r="F8" s="54">
        <f>'ODOMETERS Halba'!K4</f>
        <v>1304</v>
      </c>
      <c r="G8" s="52">
        <v>0.77929999999999999</v>
      </c>
      <c r="H8" s="53">
        <f>'Daily Halba'!$F8*'Daily Halba'!$G8</f>
        <v>1016.2071999999999</v>
      </c>
      <c r="I8" s="54">
        <f>'Daily Halba'!$C8+'Daily Halba'!$F8</f>
        <v>2738</v>
      </c>
      <c r="J8" s="55">
        <f>'Daily Halba'!$I8*'Daily Halba'!$G8</f>
        <v>2133.7233999999999</v>
      </c>
      <c r="K8" s="56">
        <f>'ODOMETERS Halba'!L4</f>
        <v>587</v>
      </c>
      <c r="L8" s="57">
        <v>0.74019999999999997</v>
      </c>
      <c r="M8" s="58">
        <f>'Daily Halba'!$K8*'Daily Halba'!$L8</f>
        <v>434.49739999999997</v>
      </c>
      <c r="N8" s="59">
        <v>3</v>
      </c>
      <c r="O8" s="59">
        <v>10</v>
      </c>
      <c r="P8" s="59"/>
      <c r="Q8" s="59"/>
      <c r="R8" s="59"/>
      <c r="S8" s="60">
        <v>55.57</v>
      </c>
      <c r="T8" s="60">
        <v>17.55</v>
      </c>
      <c r="U8" s="61">
        <f>SUM('Daily Halba'!$E8,'Daily Halba'!$H8,$M8:$T8)</f>
        <v>2654.3408000000004</v>
      </c>
      <c r="V8" s="22"/>
      <c r="W8" s="62">
        <v>364.79</v>
      </c>
      <c r="X8" s="62"/>
      <c r="Y8" s="62">
        <v>204.83</v>
      </c>
      <c r="Z8" s="62"/>
      <c r="AA8" s="63">
        <v>61</v>
      </c>
      <c r="AB8" s="64">
        <v>27.87</v>
      </c>
      <c r="AC8" s="64"/>
      <c r="AD8" s="64"/>
      <c r="AE8" s="65">
        <f t="shared" ref="AE8:AE262" si="0">SUM(AA8:AD8)</f>
        <v>88.87</v>
      </c>
      <c r="AF8" s="66"/>
      <c r="AG8" s="66">
        <v>1157</v>
      </c>
      <c r="AH8" s="66"/>
      <c r="AI8" s="66"/>
      <c r="AJ8" s="66"/>
      <c r="AK8" s="66"/>
      <c r="AL8" s="66"/>
      <c r="AM8" s="66"/>
      <c r="AN8" s="67">
        <f t="shared" ref="AN8:AN262" si="1">SUM(AF8:AM8)</f>
        <v>1157</v>
      </c>
      <c r="AO8" s="66"/>
      <c r="AP8" s="68">
        <f t="shared" ref="AP8:AP262" si="2">SUM(W8:Z8,AE8,AN8,AO8)</f>
        <v>1815.49</v>
      </c>
      <c r="AQ8" s="69"/>
      <c r="AR8" s="22"/>
      <c r="AS8" s="70">
        <f>'Daily Halba'!$U8-'Daily Halba'!$AP8</f>
        <v>838.85080000000039</v>
      </c>
      <c r="AT8" s="5"/>
      <c r="AU8" s="5"/>
      <c r="AV8" s="5"/>
    </row>
    <row r="9" spans="1:48" ht="12.75" customHeight="1" x14ac:dyDescent="0.3">
      <c r="A9" s="49">
        <v>45966</v>
      </c>
      <c r="B9" s="50"/>
      <c r="C9" s="51">
        <f>'ODOMETERS Halba'!J5</f>
        <v>1035</v>
      </c>
      <c r="D9" s="52">
        <v>0.78259999999999996</v>
      </c>
      <c r="E9" s="53">
        <f>'Daily Halba'!$C9*'Daily Halba'!$D9</f>
        <v>809.99099999999999</v>
      </c>
      <c r="F9" s="54">
        <f>'ODOMETERS Halba'!K5</f>
        <v>896</v>
      </c>
      <c r="G9" s="52">
        <v>0.78259999999999996</v>
      </c>
      <c r="H9" s="53">
        <f>'Daily Halba'!$F9*'Daily Halba'!$G9</f>
        <v>701.20959999999991</v>
      </c>
      <c r="I9" s="54">
        <f>'Daily Halba'!$C9+'Daily Halba'!$F9</f>
        <v>1931</v>
      </c>
      <c r="J9" s="55">
        <f>'Daily Halba'!$I9*'Daily Halba'!$G9</f>
        <v>1511.2005999999999</v>
      </c>
      <c r="K9" s="56">
        <f>'ODOMETERS Halba'!L5</f>
        <v>417</v>
      </c>
      <c r="L9" s="57">
        <v>0.74690000000000001</v>
      </c>
      <c r="M9" s="58">
        <f>'Daily Halba'!$K9*'Daily Halba'!$L9</f>
        <v>311.45729999999998</v>
      </c>
      <c r="N9" s="59">
        <v>2.8</v>
      </c>
      <c r="O9" s="59">
        <v>8.9</v>
      </c>
      <c r="P9" s="59"/>
      <c r="Q9" s="59"/>
      <c r="R9" s="59"/>
      <c r="S9" s="71">
        <v>30.1</v>
      </c>
      <c r="T9" s="71">
        <v>12.5</v>
      </c>
      <c r="U9" s="61">
        <f>SUM('Daily Halba'!$E9,'Daily Halba'!$H9,$M9:$T9)</f>
        <v>1876.9578999999999</v>
      </c>
      <c r="V9" s="22"/>
      <c r="W9" s="62">
        <v>177</v>
      </c>
      <c r="X9" s="62"/>
      <c r="Y9" s="62">
        <v>172.2</v>
      </c>
      <c r="Z9" s="62"/>
      <c r="AA9" s="63"/>
      <c r="AB9" s="64"/>
      <c r="AC9" s="64"/>
      <c r="AD9" s="64"/>
      <c r="AE9" s="65">
        <f t="shared" si="0"/>
        <v>0</v>
      </c>
      <c r="AF9" s="66"/>
      <c r="AG9" s="66"/>
      <c r="AH9" s="66">
        <v>135</v>
      </c>
      <c r="AI9" s="66"/>
      <c r="AJ9" s="66"/>
      <c r="AK9" s="66"/>
      <c r="AL9" s="66"/>
      <c r="AM9" s="66">
        <v>15</v>
      </c>
      <c r="AN9" s="67">
        <f t="shared" si="1"/>
        <v>150</v>
      </c>
      <c r="AO9" s="66"/>
      <c r="AP9" s="68">
        <f t="shared" si="2"/>
        <v>499.2</v>
      </c>
      <c r="AQ9" s="69" t="s">
        <v>80</v>
      </c>
      <c r="AR9" s="22"/>
      <c r="AS9" s="70">
        <f>'Daily Halba'!$U9-'Daily Halba'!$AP9</f>
        <v>1377.7578999999998</v>
      </c>
      <c r="AT9" s="5"/>
      <c r="AU9" s="5"/>
      <c r="AV9" s="5"/>
    </row>
    <row r="10" spans="1:48" ht="12.75" customHeight="1" x14ac:dyDescent="0.3">
      <c r="A10" s="49">
        <v>45967</v>
      </c>
      <c r="B10" s="50"/>
      <c r="C10" s="51">
        <f>'ODOMETERS Halba'!J6</f>
        <v>1214</v>
      </c>
      <c r="D10" s="52">
        <v>0.78259999999999996</v>
      </c>
      <c r="E10" s="53">
        <f>'Daily Halba'!$C10*'Daily Halba'!$D10</f>
        <v>950.07639999999992</v>
      </c>
      <c r="F10" s="54">
        <f>'ODOMETERS Halba'!K6</f>
        <v>974</v>
      </c>
      <c r="G10" s="52">
        <v>0.78259999999999996</v>
      </c>
      <c r="H10" s="53">
        <f>'Daily Halba'!$F10*'Daily Halba'!$G10</f>
        <v>762.25239999999997</v>
      </c>
      <c r="I10" s="54">
        <f>'Daily Halba'!$C10+'Daily Halba'!$F10</f>
        <v>2188</v>
      </c>
      <c r="J10" s="55">
        <f>'Daily Halba'!$I10*'Daily Halba'!$G10</f>
        <v>1712.3288</v>
      </c>
      <c r="K10" s="56">
        <f>'ODOMETERS Halba'!L6</f>
        <v>441</v>
      </c>
      <c r="L10" s="57">
        <v>0.74690000000000001</v>
      </c>
      <c r="M10" s="58">
        <f>'Daily Halba'!$K10*'Daily Halba'!$L10</f>
        <v>329.38290000000001</v>
      </c>
      <c r="N10" s="59">
        <v>11.57</v>
      </c>
      <c r="O10" s="59">
        <v>10</v>
      </c>
      <c r="P10" s="59"/>
      <c r="Q10" s="59"/>
      <c r="R10" s="59"/>
      <c r="S10" s="71">
        <v>70</v>
      </c>
      <c r="T10" s="71">
        <v>15.05</v>
      </c>
      <c r="U10" s="61">
        <f>SUM('Daily Halba'!$E10,'Daily Halba'!$H10,$M10:$T10)</f>
        <v>2148.3317000000002</v>
      </c>
      <c r="V10" s="22"/>
      <c r="W10" s="62">
        <v>204.05</v>
      </c>
      <c r="X10" s="62"/>
      <c r="Y10" s="62">
        <v>162</v>
      </c>
      <c r="Z10" s="62"/>
      <c r="AA10" s="63"/>
      <c r="AB10" s="64"/>
      <c r="AC10" s="64"/>
      <c r="AD10" s="64"/>
      <c r="AE10" s="65">
        <f t="shared" si="0"/>
        <v>0</v>
      </c>
      <c r="AF10" s="66"/>
      <c r="AG10" s="66"/>
      <c r="AH10" s="66"/>
      <c r="AI10" s="66"/>
      <c r="AJ10" s="66"/>
      <c r="AK10" s="66"/>
      <c r="AL10" s="66"/>
      <c r="AM10" s="66"/>
      <c r="AN10" s="67">
        <f t="shared" si="1"/>
        <v>0</v>
      </c>
      <c r="AO10" s="66"/>
      <c r="AP10" s="68">
        <f t="shared" si="2"/>
        <v>366.05</v>
      </c>
      <c r="AQ10" s="69"/>
      <c r="AR10" s="22"/>
      <c r="AS10" s="70">
        <f>'Daily Halba'!$U10-'Daily Halba'!$AP10</f>
        <v>1782.2817000000002</v>
      </c>
      <c r="AT10" s="5"/>
      <c r="AU10" s="5"/>
      <c r="AV10" s="5"/>
    </row>
    <row r="11" spans="1:48" ht="12.75" customHeight="1" x14ac:dyDescent="0.3">
      <c r="A11" s="49">
        <v>45968</v>
      </c>
      <c r="B11" s="50" t="s">
        <v>22</v>
      </c>
      <c r="C11" s="51">
        <f>'ODOMETERS Halba'!J7</f>
        <v>610</v>
      </c>
      <c r="D11" s="52">
        <v>0.78259999999999996</v>
      </c>
      <c r="E11" s="53">
        <f>'Daily Halba'!$C11*'Daily Halba'!$D11</f>
        <v>477.38599999999997</v>
      </c>
      <c r="F11" s="54">
        <f>'ODOMETERS Halba'!K7</f>
        <v>458</v>
      </c>
      <c r="G11" s="52">
        <v>0.78259999999999996</v>
      </c>
      <c r="H11" s="53">
        <f>'Daily Halba'!$F11*'Daily Halba'!$G11</f>
        <v>358.43079999999998</v>
      </c>
      <c r="I11" s="54">
        <f>'Daily Halba'!$C11+'Daily Halba'!$F11</f>
        <v>1068</v>
      </c>
      <c r="J11" s="55">
        <f>'Daily Halba'!$I11*'Daily Halba'!$G11</f>
        <v>835.81679999999994</v>
      </c>
      <c r="K11" s="56">
        <f>'ODOMETERS Halba'!L7</f>
        <v>312</v>
      </c>
      <c r="L11" s="57">
        <v>0.74690000000000001</v>
      </c>
      <c r="M11" s="58">
        <f>'Daily Halba'!$K11*'Daily Halba'!$L11</f>
        <v>233.03280000000001</v>
      </c>
      <c r="N11" s="59">
        <v>0</v>
      </c>
      <c r="O11" s="59">
        <v>6.69</v>
      </c>
      <c r="P11" s="59"/>
      <c r="Q11" s="59"/>
      <c r="R11" s="59"/>
      <c r="S11" s="71">
        <v>0</v>
      </c>
      <c r="T11" s="71">
        <v>19.23</v>
      </c>
      <c r="U11" s="61">
        <f>SUM('Daily Halba'!$E11,'Daily Halba'!$H11,$M11:$T11)</f>
        <v>1094.7696000000001</v>
      </c>
      <c r="V11" s="22"/>
      <c r="W11" s="62">
        <v>142.88</v>
      </c>
      <c r="X11" s="62"/>
      <c r="Y11" s="62">
        <v>234.61</v>
      </c>
      <c r="Z11" s="62"/>
      <c r="AA11" s="63"/>
      <c r="AB11" s="64"/>
      <c r="AC11" s="64"/>
      <c r="AD11" s="64"/>
      <c r="AE11" s="65">
        <f t="shared" si="0"/>
        <v>0</v>
      </c>
      <c r="AF11" s="66"/>
      <c r="AG11" s="66"/>
      <c r="AH11" s="66"/>
      <c r="AI11" s="66"/>
      <c r="AJ11" s="66"/>
      <c r="AK11" s="66"/>
      <c r="AL11" s="66"/>
      <c r="AM11" s="66"/>
      <c r="AN11" s="67">
        <f t="shared" si="1"/>
        <v>0</v>
      </c>
      <c r="AO11" s="66"/>
      <c r="AP11" s="68">
        <f t="shared" si="2"/>
        <v>377.49</v>
      </c>
      <c r="AQ11" s="69"/>
      <c r="AR11" s="22"/>
      <c r="AS11" s="70">
        <f>'Daily Halba'!$U11-'Daily Halba'!$AP11</f>
        <v>717.27960000000007</v>
      </c>
      <c r="AT11" s="5"/>
      <c r="AU11" s="5"/>
      <c r="AV11" s="5"/>
    </row>
    <row r="12" spans="1:48" ht="12.75" customHeight="1" x14ac:dyDescent="0.3">
      <c r="A12" s="49">
        <v>45968</v>
      </c>
      <c r="B12" s="50" t="s">
        <v>23</v>
      </c>
      <c r="C12" s="51">
        <f>'ODOMETERS Halba'!J8</f>
        <v>527</v>
      </c>
      <c r="D12" s="52">
        <f>(1416000/89700)/20</f>
        <v>0.78929765886287628</v>
      </c>
      <c r="E12" s="53">
        <f>'Daily Halba'!$C12*'Daily Halba'!$D12</f>
        <v>415.95986622073582</v>
      </c>
      <c r="F12" s="54">
        <f>'ODOMETERS Halba'!K8</f>
        <v>581</v>
      </c>
      <c r="G12" s="52">
        <v>0.7893</v>
      </c>
      <c r="H12" s="53">
        <f>'Daily Halba'!$F12*'Daily Halba'!$G12</f>
        <v>458.58330000000001</v>
      </c>
      <c r="I12" s="54">
        <f>'Daily Halba'!$C12+'Daily Halba'!$F12</f>
        <v>1108</v>
      </c>
      <c r="J12" s="55">
        <f>'Daily Halba'!$I12*'Daily Halba'!$G12</f>
        <v>874.5444</v>
      </c>
      <c r="K12" s="56">
        <f>'ODOMETERS Halba'!L8</f>
        <v>169</v>
      </c>
      <c r="L12" s="57">
        <f>(1368000/89700)/20</f>
        <v>0.76254180602006694</v>
      </c>
      <c r="M12" s="58">
        <f>'Daily Halba'!$K12*'Daily Halba'!$L12</f>
        <v>128.86956521739131</v>
      </c>
      <c r="N12" s="59">
        <v>11.57</v>
      </c>
      <c r="O12" s="59">
        <v>15.6</v>
      </c>
      <c r="P12" s="59">
        <v>12.26</v>
      </c>
      <c r="Q12" s="59"/>
      <c r="R12" s="59"/>
      <c r="S12" s="71">
        <v>0</v>
      </c>
      <c r="T12" s="71">
        <v>14.49</v>
      </c>
      <c r="U12" s="61">
        <f>SUM('Daily Halba'!$E12,'Daily Halba'!$H12,$M12:$T12)</f>
        <v>1057.3327314381272</v>
      </c>
      <c r="V12" s="22"/>
      <c r="W12" s="62">
        <v>60</v>
      </c>
      <c r="X12" s="62"/>
      <c r="Y12" s="62">
        <v>115.49</v>
      </c>
      <c r="Z12" s="62"/>
      <c r="AA12" s="63"/>
      <c r="AB12" s="64">
        <v>390</v>
      </c>
      <c r="AC12" s="64"/>
      <c r="AD12" s="64"/>
      <c r="AE12" s="65">
        <f t="shared" si="0"/>
        <v>390</v>
      </c>
      <c r="AF12" s="66"/>
      <c r="AG12" s="66"/>
      <c r="AH12" s="66"/>
      <c r="AI12" s="66"/>
      <c r="AJ12" s="66"/>
      <c r="AK12" s="66"/>
      <c r="AL12" s="66"/>
      <c r="AM12" s="66"/>
      <c r="AN12" s="67">
        <f t="shared" si="1"/>
        <v>0</v>
      </c>
      <c r="AO12" s="66"/>
      <c r="AP12" s="68">
        <f t="shared" si="2"/>
        <v>565.49</v>
      </c>
      <c r="AQ12" s="69"/>
      <c r="AR12" s="22"/>
      <c r="AS12" s="70">
        <f>'Daily Halba'!$U12-'Daily Halba'!$AP12</f>
        <v>491.8427314381272</v>
      </c>
      <c r="AT12" s="5"/>
      <c r="AU12" s="5"/>
      <c r="AV12" s="5"/>
    </row>
    <row r="13" spans="1:48" ht="12.75" customHeight="1" x14ac:dyDescent="0.3">
      <c r="A13" s="49">
        <v>45969</v>
      </c>
      <c r="B13" s="50"/>
      <c r="C13" s="51">
        <f>'ODOMETERS Halba'!J9</f>
        <v>1895</v>
      </c>
      <c r="D13" s="52">
        <f>(1416000/89700)/20</f>
        <v>0.78929765886287628</v>
      </c>
      <c r="E13" s="53">
        <f>'Daily Halba'!$C13*'Daily Halba'!$D13</f>
        <v>1495.7190635451504</v>
      </c>
      <c r="F13" s="54">
        <f>'ODOMETERS Halba'!K9</f>
        <v>1059</v>
      </c>
      <c r="G13" s="52">
        <v>0.7893</v>
      </c>
      <c r="H13" s="53">
        <f>'Daily Halba'!$F13*'Daily Halba'!$G13</f>
        <v>835.86869999999999</v>
      </c>
      <c r="I13" s="54">
        <f>'Daily Halba'!$C13+'Daily Halba'!$F13</f>
        <v>2954</v>
      </c>
      <c r="J13" s="55">
        <f>'Daily Halba'!$I13*'Daily Halba'!$G13</f>
        <v>2331.5922</v>
      </c>
      <c r="K13" s="56">
        <f>'ODOMETERS Halba'!L9</f>
        <v>434</v>
      </c>
      <c r="L13" s="57">
        <f>(1368000/89700)/20</f>
        <v>0.76254180602006694</v>
      </c>
      <c r="M13" s="58">
        <f>'Daily Halba'!$K13*'Daily Halba'!$L13</f>
        <v>330.94314381270902</v>
      </c>
      <c r="N13" s="59">
        <v>17.57</v>
      </c>
      <c r="O13" s="59">
        <v>28.72</v>
      </c>
      <c r="P13" s="59"/>
      <c r="Q13" s="59"/>
      <c r="R13" s="59"/>
      <c r="S13" s="71">
        <v>194</v>
      </c>
      <c r="T13" s="71">
        <v>42.64</v>
      </c>
      <c r="U13" s="61">
        <f>SUM('Daily Halba'!$E13,'Daily Halba'!$H13,$M13:$T13)</f>
        <v>2945.4609073578595</v>
      </c>
      <c r="V13" s="22"/>
      <c r="W13" s="62">
        <v>130.91999999999999</v>
      </c>
      <c r="X13" s="62"/>
      <c r="Y13" s="62">
        <f>273.49+61</f>
        <v>334.49</v>
      </c>
      <c r="Z13" s="62"/>
      <c r="AA13" s="63"/>
      <c r="AB13" s="64"/>
      <c r="AC13" s="64">
        <v>34</v>
      </c>
      <c r="AD13" s="64"/>
      <c r="AE13" s="65">
        <f t="shared" si="0"/>
        <v>34</v>
      </c>
      <c r="AF13" s="66"/>
      <c r="AG13" s="66"/>
      <c r="AH13" s="66"/>
      <c r="AI13" s="66"/>
      <c r="AJ13" s="66"/>
      <c r="AK13" s="66"/>
      <c r="AL13" s="66"/>
      <c r="AM13" s="66"/>
      <c r="AN13" s="67">
        <f t="shared" si="1"/>
        <v>0</v>
      </c>
      <c r="AO13" s="66"/>
      <c r="AP13" s="68">
        <f t="shared" si="2"/>
        <v>499.40999999999997</v>
      </c>
      <c r="AQ13" s="69"/>
      <c r="AR13" s="22"/>
      <c r="AS13" s="70">
        <f>'Daily Halba'!$U13-'Daily Halba'!$AP13</f>
        <v>2446.0509073578596</v>
      </c>
      <c r="AT13" s="5"/>
      <c r="AU13" s="5"/>
      <c r="AV13" s="5"/>
    </row>
    <row r="14" spans="1:48" ht="12.75" customHeight="1" x14ac:dyDescent="0.3">
      <c r="A14" s="49">
        <v>45970</v>
      </c>
      <c r="B14" s="50"/>
      <c r="C14" s="51">
        <f>'ODOMETERS Halba'!J10</f>
        <v>2088</v>
      </c>
      <c r="D14" s="52">
        <v>0.7893</v>
      </c>
      <c r="E14" s="53">
        <f>'Daily Halba'!$C14*'Daily Halba'!$D14</f>
        <v>1648.0583999999999</v>
      </c>
      <c r="F14" s="54">
        <f>'ODOMETERS Halba'!K10</f>
        <v>585</v>
      </c>
      <c r="G14" s="52">
        <v>0.7893</v>
      </c>
      <c r="H14" s="53">
        <f>'Daily Halba'!$F14*'Daily Halba'!$G14</f>
        <v>461.7405</v>
      </c>
      <c r="I14" s="54">
        <f>'Daily Halba'!$C14+'Daily Halba'!$F14</f>
        <v>2673</v>
      </c>
      <c r="J14" s="55">
        <f>'Daily Halba'!$I14*'Daily Halba'!$G14</f>
        <v>2109.7989000000002</v>
      </c>
      <c r="K14" s="56">
        <f>'ODOMETERS Halba'!L10</f>
        <v>2517</v>
      </c>
      <c r="L14" s="57">
        <f>(1368000/89700)/20</f>
        <v>0.76254180602006694</v>
      </c>
      <c r="M14" s="58">
        <f>'Daily Halba'!$K14*'Daily Halba'!$L14</f>
        <v>1919.3177257525085</v>
      </c>
      <c r="N14" s="59">
        <v>22.57</v>
      </c>
      <c r="O14" s="59">
        <v>23.41</v>
      </c>
      <c r="P14" s="59">
        <v>12.26</v>
      </c>
      <c r="Q14" s="59"/>
      <c r="R14" s="59"/>
      <c r="S14" s="71">
        <v>1619</v>
      </c>
      <c r="T14" s="71">
        <v>23.21</v>
      </c>
      <c r="U14" s="61">
        <f>SUM('Daily Halba'!$E14,'Daily Halba'!$H14,$M14:$T14)</f>
        <v>5729.566625752509</v>
      </c>
      <c r="V14" s="22"/>
      <c r="W14" s="62">
        <v>1748</v>
      </c>
      <c r="X14" s="62"/>
      <c r="Y14" s="62">
        <v>236.79</v>
      </c>
      <c r="Z14" s="62"/>
      <c r="AA14" s="63"/>
      <c r="AB14" s="64"/>
      <c r="AC14" s="64"/>
      <c r="AD14" s="64"/>
      <c r="AE14" s="65">
        <f t="shared" si="0"/>
        <v>0</v>
      </c>
      <c r="AF14" s="66"/>
      <c r="AG14" s="66"/>
      <c r="AH14" s="66"/>
      <c r="AI14" s="66"/>
      <c r="AJ14" s="66"/>
      <c r="AK14" s="66"/>
      <c r="AL14" s="66"/>
      <c r="AM14" s="66"/>
      <c r="AN14" s="67">
        <f t="shared" si="1"/>
        <v>0</v>
      </c>
      <c r="AO14" s="66"/>
      <c r="AP14" s="68">
        <f t="shared" si="2"/>
        <v>1984.79</v>
      </c>
      <c r="AQ14" s="69"/>
      <c r="AR14" s="22"/>
      <c r="AS14" s="70">
        <f>'Daily Halba'!$U14-'Daily Halba'!$AP14</f>
        <v>3744.7766257525091</v>
      </c>
      <c r="AT14" s="5"/>
      <c r="AU14" s="5"/>
      <c r="AV14" s="5"/>
    </row>
    <row r="15" spans="1:48" ht="12.75" customHeight="1" x14ac:dyDescent="0.3">
      <c r="A15" s="49">
        <v>45971</v>
      </c>
      <c r="B15" s="50"/>
      <c r="C15" s="51">
        <f>'ODOMETERS Halba'!J11</f>
        <v>2031</v>
      </c>
      <c r="D15" s="52">
        <v>0.7893</v>
      </c>
      <c r="E15" s="53">
        <f>'Daily Halba'!$C15*'Daily Halba'!$D15</f>
        <v>1603.0682999999999</v>
      </c>
      <c r="F15" s="54">
        <f>'ODOMETERS Halba'!K11</f>
        <v>428</v>
      </c>
      <c r="G15" s="52">
        <v>0.7893</v>
      </c>
      <c r="H15" s="53">
        <f>'Daily Halba'!$F15*'Daily Halba'!$G15</f>
        <v>337.82040000000001</v>
      </c>
      <c r="I15" s="54">
        <f>'Daily Halba'!$C15+'Daily Halba'!$F15</f>
        <v>2459</v>
      </c>
      <c r="J15" s="55">
        <f>'Daily Halba'!$I15*'Daily Halba'!$G15</f>
        <v>1940.8887</v>
      </c>
      <c r="K15" s="56">
        <f>'ODOMETERS Halba'!L11</f>
        <v>640</v>
      </c>
      <c r="L15" s="57">
        <f>(1368000/89700)/20</f>
        <v>0.76254180602006694</v>
      </c>
      <c r="M15" s="58">
        <f>'Daily Halba'!$K15*'Daily Halba'!$L15</f>
        <v>488.02675585284283</v>
      </c>
      <c r="N15" s="59">
        <v>6</v>
      </c>
      <c r="O15" s="59">
        <v>13</v>
      </c>
      <c r="P15" s="59">
        <v>24.52</v>
      </c>
      <c r="Q15" s="59"/>
      <c r="R15" s="59">
        <v>77</v>
      </c>
      <c r="S15" s="71">
        <v>484.5</v>
      </c>
      <c r="T15" s="71">
        <v>44</v>
      </c>
      <c r="U15" s="61">
        <f>SUM('Daily Halba'!$E15,'Daily Halba'!$H15,$M15:$T15)</f>
        <v>3077.9354558528426</v>
      </c>
      <c r="V15" s="22"/>
      <c r="W15" s="62">
        <v>380.46</v>
      </c>
      <c r="X15" s="62"/>
      <c r="Y15" s="62">
        <v>435.75</v>
      </c>
      <c r="Z15" s="62">
        <v>20</v>
      </c>
      <c r="AA15" s="63">
        <v>52</v>
      </c>
      <c r="AB15" s="64">
        <v>142.5</v>
      </c>
      <c r="AC15" s="64"/>
      <c r="AD15" s="64"/>
      <c r="AE15" s="65">
        <f t="shared" si="0"/>
        <v>194.5</v>
      </c>
      <c r="AF15" s="66"/>
      <c r="AG15" s="66"/>
      <c r="AH15" s="66"/>
      <c r="AI15" s="66"/>
      <c r="AJ15" s="66"/>
      <c r="AK15" s="66"/>
      <c r="AL15" s="66"/>
      <c r="AM15" s="66"/>
      <c r="AN15" s="67">
        <f t="shared" si="1"/>
        <v>0</v>
      </c>
      <c r="AO15" s="66"/>
      <c r="AP15" s="68">
        <f t="shared" si="2"/>
        <v>1030.71</v>
      </c>
      <c r="AQ15" s="69"/>
      <c r="AR15" s="22"/>
      <c r="AS15" s="70">
        <f>'Daily Halba'!$U15-'Daily Halba'!$AP15</f>
        <v>2047.2254558528425</v>
      </c>
      <c r="AT15" s="5"/>
      <c r="AU15" s="5"/>
      <c r="AV15" s="5"/>
    </row>
    <row r="16" spans="1:48" ht="12.75" customHeight="1" x14ac:dyDescent="0.3">
      <c r="A16" s="49">
        <v>45972</v>
      </c>
      <c r="B16" s="50" t="s">
        <v>24</v>
      </c>
      <c r="C16" s="51">
        <f>'ODOMETERS Halba'!J12</f>
        <v>934</v>
      </c>
      <c r="D16" s="52">
        <v>0.7893</v>
      </c>
      <c r="E16" s="53">
        <f>'Daily Halba'!$C16*'Daily Halba'!$D16</f>
        <v>737.20619999999997</v>
      </c>
      <c r="F16" s="54">
        <f>'ODOMETERS Halba'!K12</f>
        <v>465</v>
      </c>
      <c r="G16" s="52">
        <v>0.7893</v>
      </c>
      <c r="H16" s="53">
        <f>'Daily Halba'!$F16*'Daily Halba'!$G16</f>
        <v>367.02449999999999</v>
      </c>
      <c r="I16" s="54">
        <f>'Daily Halba'!$C16+'Daily Halba'!$F16</f>
        <v>1399</v>
      </c>
      <c r="J16" s="55">
        <f>'Daily Halba'!$I16*'Daily Halba'!$G16</f>
        <v>1104.2307000000001</v>
      </c>
      <c r="K16" s="56">
        <f>'ODOMETERS Halba'!L12</f>
        <v>1326</v>
      </c>
      <c r="L16" s="57">
        <f>(1368000/89700)/20</f>
        <v>0.76254180602006694</v>
      </c>
      <c r="M16" s="58">
        <f>'Daily Halba'!$K16*'Daily Halba'!$L16</f>
        <v>1011.1304347826087</v>
      </c>
      <c r="N16" s="59"/>
      <c r="O16" s="59">
        <v>3</v>
      </c>
      <c r="P16" s="59"/>
      <c r="Q16" s="59"/>
      <c r="R16" s="59"/>
      <c r="S16" s="71"/>
      <c r="T16" s="71">
        <v>21.18</v>
      </c>
      <c r="U16" s="61">
        <f>SUM('Daily Halba'!$E16,'Daily Halba'!$H16,$M16:$T16)</f>
        <v>2139.5411347826089</v>
      </c>
      <c r="V16" s="22"/>
      <c r="W16" s="62">
        <v>886.5</v>
      </c>
      <c r="X16" s="62"/>
      <c r="Y16" s="62">
        <v>229.9</v>
      </c>
      <c r="Z16" s="62">
        <v>18</v>
      </c>
      <c r="AA16" s="63"/>
      <c r="AB16" s="64"/>
      <c r="AC16" s="64"/>
      <c r="AD16" s="64"/>
      <c r="AE16" s="65">
        <f t="shared" si="0"/>
        <v>0</v>
      </c>
      <c r="AF16" s="66"/>
      <c r="AG16" s="66"/>
      <c r="AH16" s="66"/>
      <c r="AI16" s="66"/>
      <c r="AJ16" s="66"/>
      <c r="AK16" s="66"/>
      <c r="AL16" s="66"/>
      <c r="AM16" s="66"/>
      <c r="AN16" s="67">
        <f t="shared" si="1"/>
        <v>0</v>
      </c>
      <c r="AO16" s="66"/>
      <c r="AP16" s="68">
        <f t="shared" si="2"/>
        <v>1134.4000000000001</v>
      </c>
      <c r="AQ16" s="69"/>
      <c r="AR16" s="22"/>
      <c r="AS16" s="70">
        <f>'Daily Halba'!$U16-'Daily Halba'!$AP16</f>
        <v>1005.1411347826088</v>
      </c>
      <c r="AT16" s="5"/>
      <c r="AU16" s="5"/>
      <c r="AV16" s="5"/>
    </row>
    <row r="17" spans="1:48" ht="12.75" customHeight="1" x14ac:dyDescent="0.3">
      <c r="A17" s="49">
        <v>45972</v>
      </c>
      <c r="B17" s="50" t="s">
        <v>25</v>
      </c>
      <c r="C17" s="51">
        <f>'ODOMETERS Halba'!J13</f>
        <v>910</v>
      </c>
      <c r="D17" s="52">
        <v>0.79320000000000002</v>
      </c>
      <c r="E17" s="53">
        <f>'Daily Halba'!$C17*'Daily Halba'!$D17</f>
        <v>721.81200000000001</v>
      </c>
      <c r="F17" s="54">
        <f>'ODOMETERS Halba'!K13</f>
        <v>638</v>
      </c>
      <c r="G17" s="52">
        <v>0.79320000000000002</v>
      </c>
      <c r="H17" s="53">
        <f>'Daily Halba'!$F17*'Daily Halba'!$G17</f>
        <v>506.0616</v>
      </c>
      <c r="I17" s="54">
        <f>'Daily Halba'!$C17+'Daily Halba'!$F17</f>
        <v>1548</v>
      </c>
      <c r="J17" s="55">
        <f>'Daily Halba'!$I17*'Daily Halba'!$G17</f>
        <v>1227.8736000000001</v>
      </c>
      <c r="K17" s="56">
        <f>'ODOMETERS Halba'!L13</f>
        <v>301</v>
      </c>
      <c r="L17" s="57">
        <v>0.77649999999999997</v>
      </c>
      <c r="M17" s="58">
        <f>'Daily Halba'!$K17*'Daily Halba'!$L17</f>
        <v>233.72649999999999</v>
      </c>
      <c r="N17" s="59">
        <v>7.78</v>
      </c>
      <c r="O17" s="59"/>
      <c r="P17" s="59">
        <v>24.52</v>
      </c>
      <c r="Q17" s="59"/>
      <c r="R17" s="59">
        <v>54.71</v>
      </c>
      <c r="S17" s="71">
        <f>2387+59.87+1455+2005</f>
        <v>5906.87</v>
      </c>
      <c r="T17" s="71">
        <v>20</v>
      </c>
      <c r="U17" s="61">
        <f>SUM('Daily Halba'!$E17,'Daily Halba'!$H17,$M17:$T17)</f>
        <v>7475.4800999999998</v>
      </c>
      <c r="V17" s="22"/>
      <c r="W17" s="62">
        <v>138.06</v>
      </c>
      <c r="X17" s="62"/>
      <c r="Y17" s="62">
        <v>324</v>
      </c>
      <c r="Z17" s="62"/>
      <c r="AA17" s="63">
        <v>29</v>
      </c>
      <c r="AB17" s="64"/>
      <c r="AC17" s="64"/>
      <c r="AD17" s="64"/>
      <c r="AE17" s="65">
        <f t="shared" si="0"/>
        <v>29</v>
      </c>
      <c r="AF17" s="66"/>
      <c r="AG17" s="66"/>
      <c r="AH17" s="66"/>
      <c r="AI17" s="66"/>
      <c r="AJ17" s="66"/>
      <c r="AK17" s="66"/>
      <c r="AL17" s="66"/>
      <c r="AM17" s="66"/>
      <c r="AN17" s="67">
        <f t="shared" si="1"/>
        <v>0</v>
      </c>
      <c r="AO17" s="66"/>
      <c r="AP17" s="68">
        <f t="shared" si="2"/>
        <v>491.06</v>
      </c>
      <c r="AQ17" s="69"/>
      <c r="AR17" s="22"/>
      <c r="AS17" s="70">
        <f>'Daily Halba'!$U17-'Daily Halba'!$AP17</f>
        <v>6984.4200999999994</v>
      </c>
      <c r="AT17" s="5"/>
      <c r="AU17" s="5"/>
      <c r="AV17" s="5"/>
    </row>
    <row r="18" spans="1:48" ht="12.75" customHeight="1" x14ac:dyDescent="0.3">
      <c r="A18" s="49">
        <v>45973</v>
      </c>
      <c r="B18" s="50"/>
      <c r="C18" s="51">
        <f>'ODOMETERS Halba'!J14</f>
        <v>1259</v>
      </c>
      <c r="D18" s="52">
        <v>0.79320000000000002</v>
      </c>
      <c r="E18" s="53">
        <f>'Daily Halba'!$C18*'Daily Halba'!$D18</f>
        <v>998.63880000000006</v>
      </c>
      <c r="F18" s="54">
        <f>'ODOMETERS Halba'!K14</f>
        <v>962</v>
      </c>
      <c r="G18" s="52">
        <v>0.79320000000000002</v>
      </c>
      <c r="H18" s="53">
        <f>'Daily Halba'!$F18*'Daily Halba'!$G18</f>
        <v>763.05840000000001</v>
      </c>
      <c r="I18" s="54">
        <f>'Daily Halba'!$C18+'Daily Halba'!$F18</f>
        <v>2221</v>
      </c>
      <c r="J18" s="55">
        <f>'Daily Halba'!$I18*'Daily Halba'!$G18</f>
        <v>1761.6972000000001</v>
      </c>
      <c r="K18" s="56">
        <f>'ODOMETERS Halba'!L14</f>
        <v>1116</v>
      </c>
      <c r="L18" s="57">
        <v>0.77649999999999997</v>
      </c>
      <c r="M18" s="58">
        <f>'Daily Halba'!$K18*'Daily Halba'!$L18</f>
        <v>866.57399999999996</v>
      </c>
      <c r="N18" s="59">
        <v>37.36</v>
      </c>
      <c r="O18" s="59">
        <v>23.5</v>
      </c>
      <c r="P18" s="59">
        <v>36.869999999999997</v>
      </c>
      <c r="Q18" s="59"/>
      <c r="R18" s="59">
        <v>81</v>
      </c>
      <c r="S18" s="71">
        <v>100</v>
      </c>
      <c r="T18" s="71">
        <v>31.77</v>
      </c>
      <c r="U18" s="61">
        <f>SUM('Daily Halba'!$E18,'Daily Halba'!$H18,$M18:$T18)</f>
        <v>2938.7712000000001</v>
      </c>
      <c r="V18" s="22"/>
      <c r="W18" s="62">
        <f>832.84+20</f>
        <v>852.84</v>
      </c>
      <c r="X18" s="62"/>
      <c r="Y18" s="62">
        <f>31.06+321.89</f>
        <v>352.95</v>
      </c>
      <c r="Z18" s="62"/>
      <c r="AA18" s="63"/>
      <c r="AB18" s="64"/>
      <c r="AC18" s="64"/>
      <c r="AD18" s="64"/>
      <c r="AE18" s="65">
        <f t="shared" si="0"/>
        <v>0</v>
      </c>
      <c r="AF18" s="66"/>
      <c r="AG18" s="66"/>
      <c r="AH18" s="66"/>
      <c r="AI18" s="66"/>
      <c r="AJ18" s="66"/>
      <c r="AK18" s="66"/>
      <c r="AL18" s="66"/>
      <c r="AM18" s="66"/>
      <c r="AN18" s="67">
        <f t="shared" si="1"/>
        <v>0</v>
      </c>
      <c r="AO18" s="66"/>
      <c r="AP18" s="68">
        <f t="shared" si="2"/>
        <v>1205.79</v>
      </c>
      <c r="AQ18" s="69"/>
      <c r="AR18" s="22"/>
      <c r="AS18" s="70">
        <f>'Daily Halba'!$U18-'Daily Halba'!$AP18</f>
        <v>1732.9812000000002</v>
      </c>
      <c r="AT18" s="5"/>
      <c r="AU18" s="5"/>
      <c r="AV18" s="5"/>
    </row>
    <row r="19" spans="1:48" ht="12.75" customHeight="1" x14ac:dyDescent="0.3">
      <c r="A19" s="49">
        <v>45974</v>
      </c>
      <c r="B19" s="50"/>
      <c r="C19" s="51">
        <f>'ODOMETERS Halba'!J15</f>
        <v>1577</v>
      </c>
      <c r="D19" s="52">
        <v>0.79320000000000002</v>
      </c>
      <c r="E19" s="53">
        <f>'Daily Halba'!$C19*'Daily Halba'!$D19</f>
        <v>1250.8764000000001</v>
      </c>
      <c r="F19" s="54">
        <f>'ODOMETERS Halba'!K15</f>
        <v>1044</v>
      </c>
      <c r="G19" s="52">
        <v>0.79320000000000002</v>
      </c>
      <c r="H19" s="53">
        <f>'Daily Halba'!$F19*'Daily Halba'!$G19</f>
        <v>828.10080000000005</v>
      </c>
      <c r="I19" s="54">
        <f>'Daily Halba'!$C19+'Daily Halba'!$F19</f>
        <v>2621</v>
      </c>
      <c r="J19" s="55">
        <f>'Daily Halba'!$I19*'Daily Halba'!$G19</f>
        <v>2078.9772000000003</v>
      </c>
      <c r="K19" s="56">
        <f>'ODOMETERS Halba'!L15</f>
        <v>325</v>
      </c>
      <c r="L19" s="57">
        <v>0.77649999999999997</v>
      </c>
      <c r="M19" s="58">
        <f>'Daily Halba'!$K19*'Daily Halba'!$L19</f>
        <v>252.36249999999998</v>
      </c>
      <c r="N19" s="59"/>
      <c r="O19" s="59">
        <v>7.8</v>
      </c>
      <c r="P19" s="59"/>
      <c r="Q19" s="59"/>
      <c r="R19" s="59">
        <v>36</v>
      </c>
      <c r="S19" s="71">
        <v>728</v>
      </c>
      <c r="T19" s="71">
        <v>35.89</v>
      </c>
      <c r="U19" s="61">
        <f>SUM('Daily Halba'!$E19,'Daily Halba'!$H19,$M19:$T19)</f>
        <v>3139.0297000000005</v>
      </c>
      <c r="V19" s="22"/>
      <c r="W19" s="62">
        <f>30+33.44</f>
        <v>63.44</v>
      </c>
      <c r="X19" s="62"/>
      <c r="Y19" s="62">
        <f>54.35+354</f>
        <v>408.35</v>
      </c>
      <c r="Z19" s="62"/>
      <c r="AA19" s="63"/>
      <c r="AB19" s="64"/>
      <c r="AC19" s="64">
        <v>81.41</v>
      </c>
      <c r="AD19" s="64"/>
      <c r="AE19" s="65">
        <f t="shared" si="0"/>
        <v>81.41</v>
      </c>
      <c r="AF19" s="66"/>
      <c r="AG19" s="66"/>
      <c r="AH19" s="66"/>
      <c r="AI19" s="66">
        <v>5</v>
      </c>
      <c r="AJ19" s="66"/>
      <c r="AK19" s="66"/>
      <c r="AL19" s="66"/>
      <c r="AM19" s="66"/>
      <c r="AN19" s="67">
        <f t="shared" si="1"/>
        <v>5</v>
      </c>
      <c r="AO19" s="66"/>
      <c r="AP19" s="68">
        <f t="shared" si="2"/>
        <v>558.20000000000005</v>
      </c>
      <c r="AQ19" s="69"/>
      <c r="AR19" s="22"/>
      <c r="AS19" s="70">
        <f>'Daily Halba'!$U19-'Daily Halba'!$AP19</f>
        <v>2580.8297000000002</v>
      </c>
      <c r="AT19" s="5"/>
      <c r="AU19" s="5"/>
      <c r="AV19" s="5"/>
    </row>
    <row r="20" spans="1:48" ht="12.75" customHeight="1" x14ac:dyDescent="0.3">
      <c r="A20" s="49">
        <v>45975</v>
      </c>
      <c r="B20" s="50" t="s">
        <v>24</v>
      </c>
      <c r="C20" s="51">
        <f>'ODOMETERS Halba'!J16</f>
        <v>517</v>
      </c>
      <c r="D20" s="52">
        <v>0.79320000000000002</v>
      </c>
      <c r="E20" s="53">
        <f>'Daily Halba'!$C20*'Daily Halba'!$D20</f>
        <v>410.08440000000002</v>
      </c>
      <c r="F20" s="54">
        <f>'ODOMETERS Halba'!K16</f>
        <v>471</v>
      </c>
      <c r="G20" s="52">
        <v>0.79320000000000002</v>
      </c>
      <c r="H20" s="53">
        <f>'Daily Halba'!$F20*'Daily Halba'!$G20</f>
        <v>373.59719999999999</v>
      </c>
      <c r="I20" s="54">
        <f>'Daily Halba'!$C20+'Daily Halba'!$F20</f>
        <v>988</v>
      </c>
      <c r="J20" s="55">
        <f>'Daily Halba'!$I20*'Daily Halba'!$G20</f>
        <v>783.6816</v>
      </c>
      <c r="K20" s="56">
        <f>'ODOMETERS Halba'!L16</f>
        <v>287</v>
      </c>
      <c r="L20" s="57">
        <v>0.77649999999999997</v>
      </c>
      <c r="M20" s="58">
        <f>'Daily Halba'!$K20*'Daily Halba'!$L20</f>
        <v>222.85549999999998</v>
      </c>
      <c r="N20" s="59">
        <v>8.36</v>
      </c>
      <c r="O20" s="59"/>
      <c r="P20" s="59"/>
      <c r="Q20" s="59"/>
      <c r="R20" s="59"/>
      <c r="S20" s="71"/>
      <c r="T20" s="71">
        <v>15.6</v>
      </c>
      <c r="U20" s="61">
        <f>SUM('Daily Halba'!$E20,'Daily Halba'!$H20,$M20:$T20)</f>
        <v>1030.4971</v>
      </c>
      <c r="V20" s="22"/>
      <c r="W20" s="62">
        <f>161.05+22.29</f>
        <v>183.34</v>
      </c>
      <c r="X20" s="62"/>
      <c r="Y20" s="62">
        <v>126.91</v>
      </c>
      <c r="Z20" s="62"/>
      <c r="AA20" s="63"/>
      <c r="AB20" s="64"/>
      <c r="AC20" s="64"/>
      <c r="AD20" s="64"/>
      <c r="AE20" s="65">
        <f t="shared" si="0"/>
        <v>0</v>
      </c>
      <c r="AF20" s="66"/>
      <c r="AG20" s="66"/>
      <c r="AH20" s="66"/>
      <c r="AI20" s="66"/>
      <c r="AJ20" s="66"/>
      <c r="AK20" s="66"/>
      <c r="AL20" s="66"/>
      <c r="AM20" s="66"/>
      <c r="AN20" s="67">
        <f t="shared" si="1"/>
        <v>0</v>
      </c>
      <c r="AO20" s="66"/>
      <c r="AP20" s="68">
        <f t="shared" si="2"/>
        <v>310.25</v>
      </c>
      <c r="AQ20" s="69"/>
      <c r="AR20" s="22"/>
      <c r="AS20" s="70">
        <f>'Daily Halba'!$U20-'Daily Halba'!$AP20</f>
        <v>720.24710000000005</v>
      </c>
      <c r="AT20" s="5"/>
      <c r="AU20" s="5"/>
      <c r="AV20" s="5"/>
    </row>
    <row r="21" spans="1:48" ht="12.75" customHeight="1" x14ac:dyDescent="0.3">
      <c r="A21" s="49">
        <v>45975</v>
      </c>
      <c r="B21" s="50" t="s">
        <v>25</v>
      </c>
      <c r="C21" s="51">
        <f>'ODOMETERS Halba'!J17</f>
        <v>651</v>
      </c>
      <c r="D21" s="52">
        <v>0.80430000000000001</v>
      </c>
      <c r="E21" s="53">
        <f>'Daily Halba'!$C21*'Daily Halba'!$D21</f>
        <v>523.59929999999997</v>
      </c>
      <c r="F21" s="54">
        <f>'ODOMETERS Halba'!K17</f>
        <v>434</v>
      </c>
      <c r="G21" s="52">
        <v>0.80430000000000001</v>
      </c>
      <c r="H21" s="53">
        <f>'Daily Halba'!$F21*'Daily Halba'!$G21</f>
        <v>349.06619999999998</v>
      </c>
      <c r="I21" s="54">
        <f>'Daily Halba'!$C21+'Daily Halba'!$F21</f>
        <v>1085</v>
      </c>
      <c r="J21" s="55">
        <f>'Daily Halba'!$I21*'Daily Halba'!$G21</f>
        <v>872.66550000000007</v>
      </c>
      <c r="K21" s="56">
        <f>'ODOMETERS Halba'!L17</f>
        <v>652</v>
      </c>
      <c r="L21" s="57">
        <v>0.79600000000000004</v>
      </c>
      <c r="M21" s="58">
        <f>'Daily Halba'!$K21*'Daily Halba'!$L21</f>
        <v>518.99200000000008</v>
      </c>
      <c r="N21" s="59">
        <v>17.14</v>
      </c>
      <c r="O21" s="59">
        <v>7.8</v>
      </c>
      <c r="P21" s="59">
        <v>24.52</v>
      </c>
      <c r="Q21" s="59"/>
      <c r="R21" s="59">
        <v>46.75</v>
      </c>
      <c r="S21" s="71">
        <v>10</v>
      </c>
      <c r="T21" s="71">
        <v>46.72</v>
      </c>
      <c r="U21" s="61">
        <f>SUM('Daily Halba'!$E21,'Daily Halba'!$H21,$M21:$T21)</f>
        <v>1544.5875000000001</v>
      </c>
      <c r="V21" s="22"/>
      <c r="W21" s="62">
        <f>489+11.13</f>
        <v>500.13</v>
      </c>
      <c r="X21" s="62"/>
      <c r="Y21" s="62">
        <v>187.8</v>
      </c>
      <c r="Z21" s="62"/>
      <c r="AA21" s="63"/>
      <c r="AB21" s="64">
        <v>86</v>
      </c>
      <c r="AC21" s="64"/>
      <c r="AD21" s="64"/>
      <c r="AE21" s="65">
        <f t="shared" si="0"/>
        <v>86</v>
      </c>
      <c r="AF21" s="66"/>
      <c r="AG21" s="66"/>
      <c r="AH21" s="66"/>
      <c r="AI21" s="66"/>
      <c r="AJ21" s="66"/>
      <c r="AK21" s="66"/>
      <c r="AL21" s="66"/>
      <c r="AM21" s="66"/>
      <c r="AN21" s="67">
        <f t="shared" si="1"/>
        <v>0</v>
      </c>
      <c r="AO21" s="66"/>
      <c r="AP21" s="68">
        <f t="shared" si="2"/>
        <v>773.93000000000006</v>
      </c>
      <c r="AQ21" s="69"/>
      <c r="AR21" s="22"/>
      <c r="AS21" s="70">
        <f>'Daily Halba'!$U21-'Daily Halba'!$AP21</f>
        <v>770.65750000000003</v>
      </c>
      <c r="AT21" s="5"/>
      <c r="AU21" s="5"/>
      <c r="AV21" s="5"/>
    </row>
    <row r="22" spans="1:48" ht="12.75" customHeight="1" x14ac:dyDescent="0.3">
      <c r="A22" s="49">
        <v>45976</v>
      </c>
      <c r="B22" s="50"/>
      <c r="C22" s="51">
        <f>'ODOMETERS Halba'!J18</f>
        <v>1696</v>
      </c>
      <c r="D22" s="52">
        <v>0.80430000000000001</v>
      </c>
      <c r="E22" s="53">
        <f>'Daily Halba'!$C22*'Daily Halba'!$D22</f>
        <v>1364.0928000000001</v>
      </c>
      <c r="F22" s="54">
        <f>'ODOMETERS Halba'!K18</f>
        <v>820</v>
      </c>
      <c r="G22" s="52">
        <v>0.80430000000000001</v>
      </c>
      <c r="H22" s="53">
        <f>'Daily Halba'!$F22*'Daily Halba'!$G22</f>
        <v>659.52600000000007</v>
      </c>
      <c r="I22" s="54">
        <f>'Daily Halba'!$C22+'Daily Halba'!$F22</f>
        <v>2516</v>
      </c>
      <c r="J22" s="55">
        <f>'Daily Halba'!$I22*'Daily Halba'!$G22</f>
        <v>2023.6188</v>
      </c>
      <c r="K22" s="56">
        <f>'ODOMETERS Halba'!L18</f>
        <v>734</v>
      </c>
      <c r="L22" s="57">
        <v>0.79600000000000004</v>
      </c>
      <c r="M22" s="58">
        <f>'Daily Halba'!$K22*'Daily Halba'!$L22</f>
        <v>584.26400000000001</v>
      </c>
      <c r="N22" s="59">
        <v>5.57</v>
      </c>
      <c r="O22" s="59">
        <v>6.68</v>
      </c>
      <c r="P22" s="59">
        <v>24.5</v>
      </c>
      <c r="Q22" s="59"/>
      <c r="R22" s="59">
        <v>61</v>
      </c>
      <c r="S22" s="71">
        <v>52.2</v>
      </c>
      <c r="T22" s="71">
        <v>60.7</v>
      </c>
      <c r="U22" s="61">
        <f>SUM('Daily Halba'!$E22,'Daily Halba'!$H22,$M22:$T22)</f>
        <v>2818.5328</v>
      </c>
      <c r="V22" s="22"/>
      <c r="W22" s="62">
        <f>54.6+45+10.6+296.83</f>
        <v>407.03</v>
      </c>
      <c r="X22" s="62"/>
      <c r="Y22" s="62">
        <v>660.1</v>
      </c>
      <c r="Z22" s="62"/>
      <c r="AA22" s="63"/>
      <c r="AB22" s="64"/>
      <c r="AC22" s="64"/>
      <c r="AD22" s="64"/>
      <c r="AE22" s="65">
        <f t="shared" si="0"/>
        <v>0</v>
      </c>
      <c r="AF22" s="66"/>
      <c r="AG22" s="66"/>
      <c r="AH22" s="66"/>
      <c r="AI22" s="66"/>
      <c r="AJ22" s="66"/>
      <c r="AK22" s="66"/>
      <c r="AL22" s="66"/>
      <c r="AM22" s="66"/>
      <c r="AN22" s="67">
        <f t="shared" si="1"/>
        <v>0</v>
      </c>
      <c r="AO22" s="66"/>
      <c r="AP22" s="68">
        <f t="shared" si="2"/>
        <v>1067.1300000000001</v>
      </c>
      <c r="AQ22" s="69"/>
      <c r="AR22" s="22"/>
      <c r="AS22" s="70">
        <f>'Daily Halba'!$U22-'Daily Halba'!$AP22</f>
        <v>1751.4027999999998</v>
      </c>
      <c r="AT22" s="5"/>
      <c r="AU22" s="5"/>
      <c r="AV22" s="5"/>
    </row>
    <row r="23" spans="1:48" ht="12.75" customHeight="1" x14ac:dyDescent="0.3">
      <c r="A23" s="49">
        <v>45977</v>
      </c>
      <c r="B23" s="50"/>
      <c r="C23" s="51">
        <f>'ODOMETERS Halba'!J19</f>
        <v>1921</v>
      </c>
      <c r="D23" s="52">
        <v>0.80430000000000001</v>
      </c>
      <c r="E23" s="53">
        <f>'Daily Halba'!$C23*'Daily Halba'!$D23</f>
        <v>1545.0603000000001</v>
      </c>
      <c r="F23" s="54">
        <f>'ODOMETERS Halba'!K19</f>
        <v>968</v>
      </c>
      <c r="G23" s="52">
        <v>0.80430000000000001</v>
      </c>
      <c r="H23" s="53">
        <f>'Daily Halba'!$F23*'Daily Halba'!$G23</f>
        <v>778.56240000000003</v>
      </c>
      <c r="I23" s="54">
        <f>'Daily Halba'!$C23+'Daily Halba'!$F23</f>
        <v>2889</v>
      </c>
      <c r="J23" s="55">
        <f>'Daily Halba'!$I23*'Daily Halba'!$G23</f>
        <v>2323.6226999999999</v>
      </c>
      <c r="K23" s="56">
        <f>'ODOMETERS Halba'!L19</f>
        <v>387</v>
      </c>
      <c r="L23" s="57">
        <v>0.79600000000000004</v>
      </c>
      <c r="M23" s="58">
        <f>'Daily Halba'!$K23*'Daily Halba'!$L23</f>
        <v>308.05200000000002</v>
      </c>
      <c r="N23" s="59">
        <v>38.36</v>
      </c>
      <c r="O23" s="59">
        <v>25.64</v>
      </c>
      <c r="P23" s="59">
        <v>24.52</v>
      </c>
      <c r="Q23" s="59"/>
      <c r="R23" s="59">
        <v>74</v>
      </c>
      <c r="S23" s="71"/>
      <c r="T23" s="71">
        <v>18.39</v>
      </c>
      <c r="U23" s="61">
        <f>SUM('Daily Halba'!$E23,'Daily Halba'!$H23,$M23:$T23)</f>
        <v>2812.5846999999999</v>
      </c>
      <c r="V23" s="22"/>
      <c r="W23" s="62">
        <f>5.57+6.68+48.8+31.92+203.68</f>
        <v>296.64999999999998</v>
      </c>
      <c r="X23" s="62"/>
      <c r="Y23" s="62">
        <v>198.66</v>
      </c>
      <c r="Z23" s="62">
        <v>-34</v>
      </c>
      <c r="AA23" s="63"/>
      <c r="AB23" s="64"/>
      <c r="AC23" s="64"/>
      <c r="AD23" s="64"/>
      <c r="AE23" s="65">
        <f t="shared" si="0"/>
        <v>0</v>
      </c>
      <c r="AF23" s="66"/>
      <c r="AG23" s="66">
        <v>150</v>
      </c>
      <c r="AH23" s="66"/>
      <c r="AI23" s="66"/>
      <c r="AJ23" s="66"/>
      <c r="AK23" s="66"/>
      <c r="AL23" s="66"/>
      <c r="AM23" s="66"/>
      <c r="AN23" s="67">
        <f t="shared" si="1"/>
        <v>150</v>
      </c>
      <c r="AO23" s="66"/>
      <c r="AP23" s="68">
        <f t="shared" si="2"/>
        <v>611.30999999999995</v>
      </c>
      <c r="AQ23" s="69"/>
      <c r="AR23" s="22"/>
      <c r="AS23" s="70">
        <f>'Daily Halba'!$U23-'Daily Halba'!$AP23</f>
        <v>2201.2746999999999</v>
      </c>
      <c r="AT23" s="5"/>
      <c r="AU23" s="5"/>
      <c r="AV23" s="5"/>
    </row>
    <row r="24" spans="1:48" ht="12.75" customHeight="1" x14ac:dyDescent="0.3">
      <c r="A24" s="49">
        <v>45978</v>
      </c>
      <c r="B24" s="50"/>
      <c r="C24" s="51">
        <f>'ODOMETERS Halba'!J20</f>
        <v>1821</v>
      </c>
      <c r="D24" s="52">
        <v>0.80430000000000001</v>
      </c>
      <c r="E24" s="53">
        <f>'Daily Halba'!$C24*'Daily Halba'!$D24</f>
        <v>1464.6303</v>
      </c>
      <c r="F24" s="54">
        <f>'ODOMETERS Halba'!K20</f>
        <v>882</v>
      </c>
      <c r="G24" s="52">
        <v>0.80430000000000001</v>
      </c>
      <c r="H24" s="53">
        <f>'Daily Halba'!$F24*'Daily Halba'!$G24</f>
        <v>709.39260000000002</v>
      </c>
      <c r="I24" s="54">
        <f>'Daily Halba'!$C24+'Daily Halba'!$F24</f>
        <v>2703</v>
      </c>
      <c r="J24" s="55">
        <f>'Daily Halba'!$I24*'Daily Halba'!$G24</f>
        <v>2174.0228999999999</v>
      </c>
      <c r="K24" s="56">
        <f>'ODOMETERS Halba'!L20</f>
        <v>3761</v>
      </c>
      <c r="L24" s="57">
        <v>0.79600000000000004</v>
      </c>
      <c r="M24" s="58">
        <f>'Daily Halba'!$K24*'Daily Halba'!$L24</f>
        <v>2993.7560000000003</v>
      </c>
      <c r="N24" s="59">
        <v>25.78</v>
      </c>
      <c r="O24" s="59">
        <v>13.91</v>
      </c>
      <c r="P24" s="59">
        <v>12.26</v>
      </c>
      <c r="Q24" s="59"/>
      <c r="R24" s="59">
        <v>77</v>
      </c>
      <c r="S24" s="71">
        <f>28+112</f>
        <v>140</v>
      </c>
      <c r="T24" s="71">
        <v>52.61</v>
      </c>
      <c r="U24" s="61">
        <f>SUM('Daily Halba'!$E24,'Daily Halba'!$H24,$M24:$T24)</f>
        <v>5489.3388999999997</v>
      </c>
      <c r="V24" s="22"/>
      <c r="W24" s="62">
        <f>155.64+2678</f>
        <v>2833.64</v>
      </c>
      <c r="X24" s="62"/>
      <c r="Y24" s="62">
        <v>262</v>
      </c>
      <c r="Z24" s="62"/>
      <c r="AA24" s="63"/>
      <c r="AB24" s="64">
        <v>190</v>
      </c>
      <c r="AC24" s="64"/>
      <c r="AD24" s="64"/>
      <c r="AE24" s="65">
        <f t="shared" si="0"/>
        <v>190</v>
      </c>
      <c r="AF24" s="66"/>
      <c r="AG24" s="66"/>
      <c r="AH24" s="66"/>
      <c r="AI24" s="66"/>
      <c r="AJ24" s="66"/>
      <c r="AK24" s="66"/>
      <c r="AL24" s="66"/>
      <c r="AM24" s="66"/>
      <c r="AN24" s="67">
        <f t="shared" si="1"/>
        <v>0</v>
      </c>
      <c r="AO24" s="66"/>
      <c r="AP24" s="68">
        <f t="shared" si="2"/>
        <v>3285.64</v>
      </c>
      <c r="AQ24" s="69"/>
      <c r="AR24" s="22"/>
      <c r="AS24" s="70">
        <f>'Daily Halba'!$U24-'Daily Halba'!$AP24</f>
        <v>2203.6988999999999</v>
      </c>
      <c r="AT24" s="5"/>
      <c r="AU24" s="5"/>
      <c r="AV24" s="5"/>
    </row>
    <row r="25" spans="1:48" ht="12.75" customHeight="1" x14ac:dyDescent="0.3">
      <c r="A25" s="49">
        <v>45979</v>
      </c>
      <c r="B25" s="50" t="s">
        <v>24</v>
      </c>
      <c r="C25" s="51">
        <f>'ODOMETERS Halba'!J21</f>
        <v>800</v>
      </c>
      <c r="D25" s="52">
        <v>0.80430000000000001</v>
      </c>
      <c r="E25" s="53">
        <f>'Daily Halba'!$C25*'Daily Halba'!$D25</f>
        <v>643.44000000000005</v>
      </c>
      <c r="F25" s="54">
        <f>'ODOMETERS Halba'!K21</f>
        <v>445</v>
      </c>
      <c r="G25" s="52">
        <v>0.80430000000000001</v>
      </c>
      <c r="H25" s="53">
        <f>'Daily Halba'!$F25*'Daily Halba'!$G25</f>
        <v>357.9135</v>
      </c>
      <c r="I25" s="54">
        <f>'Daily Halba'!$C25+'Daily Halba'!$F25</f>
        <v>1245</v>
      </c>
      <c r="J25" s="55">
        <f>'Daily Halba'!$I25*'Daily Halba'!$G25</f>
        <v>1001.3535000000001</v>
      </c>
      <c r="K25" s="56">
        <f>'ODOMETERS Halba'!L21</f>
        <v>71</v>
      </c>
      <c r="L25" s="57">
        <v>0.79600000000000004</v>
      </c>
      <c r="M25" s="58">
        <f>'Daily Halba'!$K25*'Daily Halba'!$L25</f>
        <v>56.516000000000005</v>
      </c>
      <c r="N25" s="59">
        <v>6</v>
      </c>
      <c r="O25" s="59"/>
      <c r="P25" s="59"/>
      <c r="Q25" s="59"/>
      <c r="R25" s="59"/>
      <c r="S25" s="71">
        <v>770</v>
      </c>
      <c r="T25" s="71">
        <v>15.82</v>
      </c>
      <c r="U25" s="61">
        <f>SUM('Daily Halba'!$E25,'Daily Halba'!$H25,$M25:$T25)</f>
        <v>1849.6895</v>
      </c>
      <c r="V25" s="22"/>
      <c r="W25" s="62"/>
      <c r="X25" s="62"/>
      <c r="Y25" s="62">
        <v>230.43</v>
      </c>
      <c r="Z25" s="62">
        <v>6</v>
      </c>
      <c r="AA25" s="63"/>
      <c r="AB25" s="64"/>
      <c r="AC25" s="64"/>
      <c r="AD25" s="64"/>
      <c r="AE25" s="65">
        <f t="shared" si="0"/>
        <v>0</v>
      </c>
      <c r="AF25" s="66"/>
      <c r="AG25" s="66"/>
      <c r="AH25" s="66"/>
      <c r="AI25" s="66"/>
      <c r="AJ25" s="66"/>
      <c r="AK25" s="66"/>
      <c r="AL25" s="66"/>
      <c r="AM25" s="66"/>
      <c r="AN25" s="67">
        <f t="shared" si="1"/>
        <v>0</v>
      </c>
      <c r="AO25" s="66"/>
      <c r="AP25" s="68">
        <f t="shared" si="2"/>
        <v>236.43</v>
      </c>
      <c r="AQ25" s="69"/>
      <c r="AR25" s="22"/>
      <c r="AS25" s="70">
        <f>'Daily Halba'!$U25-'Daily Halba'!$AP25</f>
        <v>1613.2594999999999</v>
      </c>
      <c r="AT25" s="5"/>
      <c r="AU25" s="5"/>
      <c r="AV25" s="5"/>
    </row>
    <row r="26" spans="1:48" ht="12.75" customHeight="1" x14ac:dyDescent="0.3">
      <c r="A26" s="49">
        <v>45979</v>
      </c>
      <c r="B26" s="50" t="s">
        <v>25</v>
      </c>
      <c r="C26" s="51">
        <f>'ODOMETERS Halba'!J22</f>
        <v>773</v>
      </c>
      <c r="D26" s="52">
        <v>0.80820000000000003</v>
      </c>
      <c r="E26" s="53">
        <f>'Daily Halba'!$C26*'Daily Halba'!$D26</f>
        <v>624.73860000000002</v>
      </c>
      <c r="F26" s="54">
        <f>'ODOMETERS Halba'!K22</f>
        <v>406</v>
      </c>
      <c r="G26" s="52">
        <v>0.80820000000000003</v>
      </c>
      <c r="H26" s="53">
        <f>'Daily Halba'!$F26*'Daily Halba'!$G26</f>
        <v>328.12920000000003</v>
      </c>
      <c r="I26" s="54">
        <f>'Daily Halba'!$C26+'Daily Halba'!$F26</f>
        <v>1179</v>
      </c>
      <c r="J26" s="55">
        <f>'Daily Halba'!$I26*'Daily Halba'!$G26</f>
        <v>952.86779999999999</v>
      </c>
      <c r="K26" s="56">
        <f>'ODOMETERS Halba'!L22</f>
        <v>643</v>
      </c>
      <c r="L26" s="57">
        <v>0.80100000000000005</v>
      </c>
      <c r="M26" s="58">
        <f>'Daily Halba'!$K26*'Daily Halba'!$L26</f>
        <v>515.04300000000001</v>
      </c>
      <c r="N26" s="59">
        <v>6</v>
      </c>
      <c r="O26" s="59">
        <v>13.37</v>
      </c>
      <c r="P26" s="59"/>
      <c r="Q26" s="59"/>
      <c r="R26" s="59">
        <v>36</v>
      </c>
      <c r="S26" s="71">
        <v>150</v>
      </c>
      <c r="T26" s="71">
        <f>8.5+23.69</f>
        <v>32.19</v>
      </c>
      <c r="U26" s="61">
        <f>SUM('Daily Halba'!$E26,'Daily Halba'!$H26,$M26:$T26)</f>
        <v>1705.4708000000001</v>
      </c>
      <c r="V26" s="22"/>
      <c r="W26" s="62">
        <f>80+214+190</f>
        <v>484</v>
      </c>
      <c r="X26" s="62"/>
      <c r="Y26" s="62"/>
      <c r="Z26" s="62">
        <v>47</v>
      </c>
      <c r="AA26" s="63">
        <f>64+80</f>
        <v>144</v>
      </c>
      <c r="AB26" s="64">
        <f>63.54</f>
        <v>63.54</v>
      </c>
      <c r="AC26" s="64">
        <v>70</v>
      </c>
      <c r="AD26" s="64"/>
      <c r="AE26" s="65">
        <f t="shared" si="0"/>
        <v>277.53999999999996</v>
      </c>
      <c r="AF26" s="66"/>
      <c r="AG26" s="66"/>
      <c r="AH26" s="66"/>
      <c r="AI26" s="66"/>
      <c r="AJ26" s="66">
        <v>80</v>
      </c>
      <c r="AK26" s="66"/>
      <c r="AL26" s="66"/>
      <c r="AM26" s="66"/>
      <c r="AN26" s="67">
        <f t="shared" si="1"/>
        <v>80</v>
      </c>
      <c r="AO26" s="66"/>
      <c r="AP26" s="68">
        <f t="shared" si="2"/>
        <v>888.54</v>
      </c>
      <c r="AQ26" s="69" t="s">
        <v>81</v>
      </c>
      <c r="AR26" s="22"/>
      <c r="AS26" s="70">
        <f>'Daily Halba'!$U26-'Daily Halba'!$AP26</f>
        <v>816.93080000000009</v>
      </c>
      <c r="AT26" s="5"/>
      <c r="AU26" s="5"/>
      <c r="AV26" s="5"/>
    </row>
    <row r="27" spans="1:48" ht="12.75" customHeight="1" x14ac:dyDescent="0.3">
      <c r="A27" s="49">
        <v>45980</v>
      </c>
      <c r="B27" s="50"/>
      <c r="C27" s="51">
        <f>'ODOMETERS Halba'!J23</f>
        <v>1436</v>
      </c>
      <c r="D27" s="52">
        <v>0.80820000000000003</v>
      </c>
      <c r="E27" s="53">
        <f>'Daily Halba'!$C27*'Daily Halba'!$D27</f>
        <v>1160.5752</v>
      </c>
      <c r="F27" s="54">
        <f>'ODOMETERS Halba'!K23</f>
        <v>1345</v>
      </c>
      <c r="G27" s="52">
        <v>0.80820000000000003</v>
      </c>
      <c r="H27" s="53">
        <f>'Daily Halba'!$F27*'Daily Halba'!$G27</f>
        <v>1087.029</v>
      </c>
      <c r="I27" s="54">
        <f>'Daily Halba'!$C27+'Daily Halba'!$F27</f>
        <v>2781</v>
      </c>
      <c r="J27" s="55">
        <f>'Daily Halba'!$I27*'Daily Halba'!$G27</f>
        <v>2247.6042000000002</v>
      </c>
      <c r="K27" s="56">
        <f>'ODOMETERS Halba'!L23</f>
        <v>662</v>
      </c>
      <c r="L27" s="57">
        <v>0.80100000000000005</v>
      </c>
      <c r="M27" s="58">
        <f>'Daily Halba'!$K27*'Daily Halba'!$L27</f>
        <v>530.26200000000006</v>
      </c>
      <c r="N27" s="59">
        <v>8.3000000000000007</v>
      </c>
      <c r="O27" s="59">
        <f>15.6+2.2</f>
        <v>17.8</v>
      </c>
      <c r="P27" s="59">
        <v>36.700000000000003</v>
      </c>
      <c r="Q27" s="59"/>
      <c r="R27" s="59">
        <v>31</v>
      </c>
      <c r="S27" s="71">
        <v>158</v>
      </c>
      <c r="T27" s="71">
        <v>56</v>
      </c>
      <c r="U27" s="61">
        <f>SUM('Daily Halba'!$E27,'Daily Halba'!$H27,$M27:$T27)</f>
        <v>3085.6662000000001</v>
      </c>
      <c r="V27" s="22"/>
      <c r="W27" s="62">
        <f>207-125-7</f>
        <v>75</v>
      </c>
      <c r="X27" s="62"/>
      <c r="Y27" s="62">
        <f>350.75+344.4</f>
        <v>695.15</v>
      </c>
      <c r="Z27" s="62"/>
      <c r="AA27" s="63"/>
      <c r="AB27" s="64"/>
      <c r="AC27" s="64"/>
      <c r="AD27" s="64"/>
      <c r="AE27" s="65">
        <f t="shared" si="0"/>
        <v>0</v>
      </c>
      <c r="AF27" s="66"/>
      <c r="AG27" s="66"/>
      <c r="AH27" s="66">
        <v>125</v>
      </c>
      <c r="AI27" s="66">
        <f>7</f>
        <v>7</v>
      </c>
      <c r="AJ27" s="66"/>
      <c r="AK27" s="66"/>
      <c r="AL27" s="66"/>
      <c r="AM27" s="66"/>
      <c r="AN27" s="67">
        <f t="shared" si="1"/>
        <v>132</v>
      </c>
      <c r="AO27" s="66"/>
      <c r="AP27" s="68">
        <f t="shared" si="2"/>
        <v>902.15</v>
      </c>
      <c r="AQ27" s="69" t="s">
        <v>82</v>
      </c>
      <c r="AR27" s="22"/>
      <c r="AS27" s="70">
        <f>'Daily Halba'!$U27-'Daily Halba'!$AP27</f>
        <v>2183.5162</v>
      </c>
      <c r="AT27" s="5"/>
      <c r="AU27" s="5"/>
      <c r="AV27" s="5"/>
    </row>
    <row r="28" spans="1:48" ht="12.75" customHeight="1" x14ac:dyDescent="0.3">
      <c r="A28" s="49">
        <v>45981</v>
      </c>
      <c r="B28" s="50"/>
      <c r="C28" s="51">
        <f>'ODOMETERS Halba'!J24</f>
        <v>1442</v>
      </c>
      <c r="D28" s="52">
        <v>0.80820000000000003</v>
      </c>
      <c r="E28" s="53">
        <f>'Daily Halba'!$C28*'Daily Halba'!$D28</f>
        <v>1165.4244000000001</v>
      </c>
      <c r="F28" s="54">
        <f>'ODOMETERS Halba'!K24</f>
        <v>898</v>
      </c>
      <c r="G28" s="52">
        <v>0.80820000000000003</v>
      </c>
      <c r="H28" s="53">
        <f>'Daily Halba'!$F28*'Daily Halba'!$G28</f>
        <v>725.7636</v>
      </c>
      <c r="I28" s="54">
        <f>'Daily Halba'!$C28+'Daily Halba'!$F28</f>
        <v>2340</v>
      </c>
      <c r="J28" s="55">
        <f>'Daily Halba'!$I28*'Daily Halba'!$G28</f>
        <v>1891.1880000000001</v>
      </c>
      <c r="K28" s="56">
        <f>'ODOMETERS Halba'!L24</f>
        <v>936</v>
      </c>
      <c r="L28" s="57">
        <v>0.80100000000000005</v>
      </c>
      <c r="M28" s="58">
        <f>'Daily Halba'!$K28*'Daily Halba'!$L28</f>
        <v>749.73599999999999</v>
      </c>
      <c r="N28" s="59">
        <v>5.57</v>
      </c>
      <c r="O28" s="59">
        <v>21.18</v>
      </c>
      <c r="P28" s="59">
        <v>12.26</v>
      </c>
      <c r="Q28" s="59">
        <v>25</v>
      </c>
      <c r="R28" s="59">
        <v>57</v>
      </c>
      <c r="S28" s="71">
        <v>4300</v>
      </c>
      <c r="T28" s="71">
        <v>39.520000000000003</v>
      </c>
      <c r="U28" s="61">
        <f>SUM('Daily Halba'!$E28,'Daily Halba'!$H28,$M28:$T28)</f>
        <v>7101.4540000000006</v>
      </c>
      <c r="V28" s="22"/>
      <c r="W28" s="62">
        <f>20.6+395</f>
        <v>415.6</v>
      </c>
      <c r="X28" s="62"/>
      <c r="Y28" s="62">
        <f>149+323.39+247</f>
        <v>719.39</v>
      </c>
      <c r="Z28" s="62">
        <v>47</v>
      </c>
      <c r="AA28" s="63">
        <v>133</v>
      </c>
      <c r="AB28" s="64">
        <v>220</v>
      </c>
      <c r="AC28" s="64">
        <v>81.96</v>
      </c>
      <c r="AD28" s="64"/>
      <c r="AE28" s="65">
        <f t="shared" si="0"/>
        <v>434.96</v>
      </c>
      <c r="AF28" s="66"/>
      <c r="AG28" s="66"/>
      <c r="AH28" s="66"/>
      <c r="AI28" s="66"/>
      <c r="AJ28" s="66"/>
      <c r="AK28" s="66"/>
      <c r="AL28" s="66"/>
      <c r="AM28" s="66"/>
      <c r="AN28" s="67">
        <f t="shared" si="1"/>
        <v>0</v>
      </c>
      <c r="AO28" s="66"/>
      <c r="AP28" s="68">
        <f t="shared" si="2"/>
        <v>1616.95</v>
      </c>
      <c r="AQ28" s="69"/>
      <c r="AR28" s="22"/>
      <c r="AS28" s="70">
        <f>'Daily Halba'!$U28-'Daily Halba'!$AP28</f>
        <v>5484.5040000000008</v>
      </c>
      <c r="AT28" s="5"/>
      <c r="AU28" s="5"/>
      <c r="AV28" s="5"/>
    </row>
    <row r="29" spans="1:48" ht="12.75" customHeight="1" x14ac:dyDescent="0.3">
      <c r="A29" s="49">
        <v>45982</v>
      </c>
      <c r="B29" s="50" t="s">
        <v>24</v>
      </c>
      <c r="C29" s="51">
        <f>'ODOMETERS Halba'!J25</f>
        <v>632</v>
      </c>
      <c r="D29" s="52">
        <v>0.80820000000000003</v>
      </c>
      <c r="E29" s="53">
        <f>'Daily Halba'!$C29*'Daily Halba'!$D29</f>
        <v>510.7824</v>
      </c>
      <c r="F29" s="54">
        <f>'ODOMETERS Halba'!K25</f>
        <v>497</v>
      </c>
      <c r="G29" s="52">
        <v>0.80820000000000003</v>
      </c>
      <c r="H29" s="53">
        <f>'Daily Halba'!$F29*'Daily Halba'!$G29</f>
        <v>401.67540000000002</v>
      </c>
      <c r="I29" s="54">
        <f>'Daily Halba'!$C29+'Daily Halba'!$F29</f>
        <v>1129</v>
      </c>
      <c r="J29" s="55">
        <f>'Daily Halba'!$I29*'Daily Halba'!$G29</f>
        <v>912.45780000000002</v>
      </c>
      <c r="K29" s="56">
        <f>'ODOMETERS Halba'!L25</f>
        <v>188</v>
      </c>
      <c r="L29" s="57">
        <v>0.80100000000000005</v>
      </c>
      <c r="M29" s="58">
        <f>'Daily Halba'!$K29*'Daily Halba'!$L29</f>
        <v>150.58800000000002</v>
      </c>
      <c r="N29" s="59"/>
      <c r="O29" s="59"/>
      <c r="P29" s="59"/>
      <c r="Q29" s="59"/>
      <c r="R29" s="59"/>
      <c r="S29" s="71"/>
      <c r="T29" s="71">
        <v>5.79</v>
      </c>
      <c r="U29" s="61">
        <f>SUM('Daily Halba'!$E29,'Daily Halba'!$H29,$M29:$T29)</f>
        <v>1068.8358000000001</v>
      </c>
      <c r="V29" s="22"/>
      <c r="W29" s="62">
        <v>41.18</v>
      </c>
      <c r="X29" s="62"/>
      <c r="Y29" s="62">
        <f>68.69+1812</f>
        <v>1880.69</v>
      </c>
      <c r="Z29" s="62"/>
      <c r="AA29" s="63"/>
      <c r="AB29" s="64"/>
      <c r="AC29" s="64"/>
      <c r="AD29" s="64"/>
      <c r="AE29" s="65">
        <f t="shared" si="0"/>
        <v>0</v>
      </c>
      <c r="AF29" s="66"/>
      <c r="AG29" s="66"/>
      <c r="AH29" s="66">
        <v>290</v>
      </c>
      <c r="AI29" s="66"/>
      <c r="AJ29" s="66"/>
      <c r="AK29" s="66"/>
      <c r="AL29" s="66"/>
      <c r="AM29" s="66"/>
      <c r="AN29" s="67">
        <f t="shared" si="1"/>
        <v>290</v>
      </c>
      <c r="AO29" s="66"/>
      <c r="AP29" s="68">
        <f t="shared" si="2"/>
        <v>2211.87</v>
      </c>
      <c r="AQ29" s="69" t="s">
        <v>83</v>
      </c>
      <c r="AR29" s="22"/>
      <c r="AS29" s="70">
        <f>'Daily Halba'!$U29-'Daily Halba'!$AP29</f>
        <v>-1143.0341999999998</v>
      </c>
      <c r="AT29" s="5"/>
      <c r="AU29" s="5"/>
      <c r="AV29" s="5"/>
    </row>
    <row r="30" spans="1:48" ht="12.75" customHeight="1" x14ac:dyDescent="0.3">
      <c r="A30" s="49">
        <v>45982</v>
      </c>
      <c r="B30" s="50" t="s">
        <v>25</v>
      </c>
      <c r="C30" s="51">
        <f>'ODOMETERS Halba'!J26</f>
        <v>827</v>
      </c>
      <c r="D30" s="52">
        <v>0.81269999999999998</v>
      </c>
      <c r="E30" s="53">
        <f>'Daily Halba'!$C30*'Daily Halba'!$D30</f>
        <v>672.10289999999998</v>
      </c>
      <c r="F30" s="54">
        <f>'ODOMETERS Halba'!K26</f>
        <v>835</v>
      </c>
      <c r="G30" s="52">
        <v>0.81269999999999998</v>
      </c>
      <c r="H30" s="53">
        <f>'Daily Halba'!$F30*'Daily Halba'!$G30</f>
        <v>678.60450000000003</v>
      </c>
      <c r="I30" s="54">
        <f>'Daily Halba'!$C30+'Daily Halba'!$F30</f>
        <v>1662</v>
      </c>
      <c r="J30" s="55">
        <f>'Daily Halba'!$I30*'Daily Halba'!$G30</f>
        <v>1350.7074</v>
      </c>
      <c r="K30" s="56">
        <f>'ODOMETERS Halba'!L26</f>
        <v>1076</v>
      </c>
      <c r="L30" s="57">
        <v>0.81100000000000005</v>
      </c>
      <c r="M30" s="58">
        <f>'Daily Halba'!$K30*'Daily Halba'!$L30</f>
        <v>872.63600000000008</v>
      </c>
      <c r="N30" s="59">
        <v>6</v>
      </c>
      <c r="O30" s="59">
        <v>17.91</v>
      </c>
      <c r="P30" s="59"/>
      <c r="Q30" s="59">
        <v>5</v>
      </c>
      <c r="R30" s="59">
        <v>37</v>
      </c>
      <c r="S30" s="71"/>
      <c r="T30" s="71">
        <v>8.58</v>
      </c>
      <c r="U30" s="61">
        <f>SUM('Daily Halba'!$E30,'Daily Halba'!$H30,$M30:$T30)</f>
        <v>2297.8334</v>
      </c>
      <c r="V30" s="22"/>
      <c r="W30" s="62">
        <f>766+554</f>
        <v>1320</v>
      </c>
      <c r="X30" s="62"/>
      <c r="Y30" s="62">
        <v>83.7</v>
      </c>
      <c r="Z30" s="62"/>
      <c r="AA30" s="63">
        <v>104</v>
      </c>
      <c r="AB30" s="64"/>
      <c r="AC30" s="64"/>
      <c r="AD30" s="64"/>
      <c r="AE30" s="65">
        <f t="shared" si="0"/>
        <v>104</v>
      </c>
      <c r="AF30" s="66"/>
      <c r="AG30" s="66"/>
      <c r="AH30" s="66"/>
      <c r="AI30" s="66"/>
      <c r="AJ30" s="66"/>
      <c r="AK30" s="66"/>
      <c r="AL30" s="66"/>
      <c r="AM30" s="66"/>
      <c r="AN30" s="67">
        <f t="shared" si="1"/>
        <v>0</v>
      </c>
      <c r="AO30" s="66"/>
      <c r="AP30" s="68">
        <f t="shared" si="2"/>
        <v>1507.7</v>
      </c>
      <c r="AQ30" s="69"/>
      <c r="AR30" s="22"/>
      <c r="AS30" s="70">
        <f>'Daily Halba'!$U30-'Daily Halba'!$AP30</f>
        <v>790.13339999999994</v>
      </c>
      <c r="AT30" s="5"/>
      <c r="AU30" s="5"/>
      <c r="AV30" s="5"/>
    </row>
    <row r="31" spans="1:48" ht="12.75" customHeight="1" x14ac:dyDescent="0.3">
      <c r="A31" s="49">
        <v>45983</v>
      </c>
      <c r="B31" s="50"/>
      <c r="C31" s="51">
        <f>'ODOMETERS Halba'!J27</f>
        <v>1892</v>
      </c>
      <c r="D31" s="52">
        <v>0.81269999999999998</v>
      </c>
      <c r="E31" s="53">
        <f>'Daily Halba'!$C31*'Daily Halba'!$D31</f>
        <v>1537.6284000000001</v>
      </c>
      <c r="F31" s="54">
        <f>'ODOMETERS Halba'!K27</f>
        <v>1240</v>
      </c>
      <c r="G31" s="52">
        <v>0.81269999999999998</v>
      </c>
      <c r="H31" s="53">
        <f>'Daily Halba'!$F31*'Daily Halba'!$G31</f>
        <v>1007.7479999999999</v>
      </c>
      <c r="I31" s="54">
        <f>'Daily Halba'!$C31+'Daily Halba'!$F31</f>
        <v>3132</v>
      </c>
      <c r="J31" s="55">
        <f>'Daily Halba'!$I31*'Daily Halba'!$G31</f>
        <v>2545.3764000000001</v>
      </c>
      <c r="K31" s="56">
        <f>'ODOMETERS Halba'!L27</f>
        <v>1531</v>
      </c>
      <c r="L31" s="57">
        <v>0.81100000000000005</v>
      </c>
      <c r="M31" s="58">
        <f>'Daily Halba'!$K31*'Daily Halba'!$L31</f>
        <v>1241.6410000000001</v>
      </c>
      <c r="N31" s="59">
        <v>13.54</v>
      </c>
      <c r="O31" s="59">
        <v>20</v>
      </c>
      <c r="P31" s="59">
        <v>12.26</v>
      </c>
      <c r="Q31" s="59"/>
      <c r="R31" s="59">
        <f>17+87</f>
        <v>104</v>
      </c>
      <c r="S31" s="71">
        <v>611</v>
      </c>
      <c r="T31" s="71">
        <v>15.83</v>
      </c>
      <c r="U31" s="61">
        <f>SUM('Daily Halba'!$E31,'Daily Halba'!$H31,$M31:$T31)</f>
        <v>4563.6473999999998</v>
      </c>
      <c r="V31" s="22"/>
      <c r="W31" s="62">
        <f>272.55+892</f>
        <v>1164.55</v>
      </c>
      <c r="X31" s="62"/>
      <c r="Y31" s="62">
        <v>116</v>
      </c>
      <c r="Z31" s="62"/>
      <c r="AA31" s="63"/>
      <c r="AB31" s="64"/>
      <c r="AC31" s="64"/>
      <c r="AD31" s="64"/>
      <c r="AE31" s="65">
        <f t="shared" si="0"/>
        <v>0</v>
      </c>
      <c r="AF31" s="66"/>
      <c r="AG31" s="66"/>
      <c r="AH31" s="66"/>
      <c r="AI31" s="66"/>
      <c r="AJ31" s="66"/>
      <c r="AK31" s="66"/>
      <c r="AL31" s="66"/>
      <c r="AM31" s="66"/>
      <c r="AN31" s="67">
        <f t="shared" si="1"/>
        <v>0</v>
      </c>
      <c r="AO31" s="66"/>
      <c r="AP31" s="68">
        <f t="shared" si="2"/>
        <v>1280.55</v>
      </c>
      <c r="AQ31" s="69"/>
      <c r="AR31" s="22"/>
      <c r="AS31" s="70">
        <f>'Daily Halba'!$U31-'Daily Halba'!$AP31</f>
        <v>3283.0973999999997</v>
      </c>
      <c r="AT31" s="5"/>
      <c r="AU31" s="5"/>
      <c r="AV31" s="5"/>
    </row>
    <row r="32" spans="1:48" ht="12.75" customHeight="1" x14ac:dyDescent="0.3">
      <c r="A32" s="49">
        <v>45984</v>
      </c>
      <c r="B32" s="50"/>
      <c r="C32" s="51">
        <f>'ODOMETERS Halba'!J28</f>
        <v>1682</v>
      </c>
      <c r="D32" s="52">
        <v>0.81269999999999998</v>
      </c>
      <c r="E32" s="53">
        <f>'Daily Halba'!$C32*'Daily Halba'!$D32</f>
        <v>1366.9613999999999</v>
      </c>
      <c r="F32" s="54">
        <f>'ODOMETERS Halba'!K28</f>
        <v>771</v>
      </c>
      <c r="G32" s="52">
        <v>0.81269999999999998</v>
      </c>
      <c r="H32" s="53">
        <f>'Daily Halba'!$F32*'Daily Halba'!$G32</f>
        <v>626.59169999999995</v>
      </c>
      <c r="I32" s="54">
        <f>'Daily Halba'!$C32+'Daily Halba'!$F32</f>
        <v>2453</v>
      </c>
      <c r="J32" s="55">
        <f>'Daily Halba'!$I32*'Daily Halba'!$G32</f>
        <v>1993.5530999999999</v>
      </c>
      <c r="K32" s="56">
        <f>'ODOMETERS Halba'!L28</f>
        <v>246</v>
      </c>
      <c r="L32" s="57">
        <v>0.81100000000000005</v>
      </c>
      <c r="M32" s="58">
        <f>'Daily Halba'!$K32*'Daily Halba'!$L32</f>
        <v>199.506</v>
      </c>
      <c r="N32" s="59">
        <v>15.57</v>
      </c>
      <c r="O32" s="59">
        <v>17.829999999999998</v>
      </c>
      <c r="P32" s="59"/>
      <c r="Q32" s="59"/>
      <c r="R32" s="59">
        <v>64</v>
      </c>
      <c r="S32" s="71">
        <v>2.4500000000000002</v>
      </c>
      <c r="T32" s="71"/>
      <c r="U32" s="61">
        <f>SUM('Daily Halba'!$E32,'Daily Halba'!$H32,$M32:$T32)</f>
        <v>2292.9090999999999</v>
      </c>
      <c r="V32" s="22"/>
      <c r="W32" s="62">
        <v>42.8</v>
      </c>
      <c r="X32" s="62"/>
      <c r="Y32" s="62">
        <v>48</v>
      </c>
      <c r="Z32" s="62"/>
      <c r="AA32" s="63"/>
      <c r="AB32" s="64"/>
      <c r="AC32" s="64"/>
      <c r="AD32" s="64"/>
      <c r="AE32" s="65">
        <f t="shared" si="0"/>
        <v>0</v>
      </c>
      <c r="AF32" s="66"/>
      <c r="AG32" s="66"/>
      <c r="AH32" s="66"/>
      <c r="AI32" s="66"/>
      <c r="AJ32" s="66"/>
      <c r="AK32" s="66"/>
      <c r="AL32" s="66"/>
      <c r="AM32" s="66"/>
      <c r="AN32" s="67">
        <f t="shared" si="1"/>
        <v>0</v>
      </c>
      <c r="AO32" s="66"/>
      <c r="AP32" s="68">
        <f t="shared" si="2"/>
        <v>90.8</v>
      </c>
      <c r="AQ32" s="69"/>
      <c r="AR32" s="22"/>
      <c r="AS32" s="70">
        <f>'Daily Halba'!$U32-'Daily Halba'!$AP32</f>
        <v>2202.1090999999997</v>
      </c>
      <c r="AT32" s="5"/>
      <c r="AU32" s="5"/>
      <c r="AV32" s="5"/>
    </row>
    <row r="33" spans="1:48" ht="12.75" customHeight="1" x14ac:dyDescent="0.3">
      <c r="A33" s="49">
        <v>45985</v>
      </c>
      <c r="B33" s="50"/>
      <c r="C33" s="51">
        <f>'ODOMETERS Halba'!J29</f>
        <v>1407</v>
      </c>
      <c r="D33" s="52">
        <v>0.81269999999999998</v>
      </c>
      <c r="E33" s="53">
        <f>'Daily Halba'!$C33*'Daily Halba'!$D33</f>
        <v>1143.4689000000001</v>
      </c>
      <c r="F33" s="54">
        <f>'ODOMETERS Halba'!K29</f>
        <v>969</v>
      </c>
      <c r="G33" s="52">
        <v>0.81269999999999998</v>
      </c>
      <c r="H33" s="53">
        <f>'Daily Halba'!$F33*'Daily Halba'!$G33</f>
        <v>787.50630000000001</v>
      </c>
      <c r="I33" s="54">
        <f>'Daily Halba'!$C33+'Daily Halba'!$F33</f>
        <v>2376</v>
      </c>
      <c r="J33" s="55">
        <f>'Daily Halba'!$I33*'Daily Halba'!$G33</f>
        <v>1930.9751999999999</v>
      </c>
      <c r="K33" s="56">
        <f>'ODOMETERS Halba'!L29</f>
        <v>1205</v>
      </c>
      <c r="L33" s="57">
        <v>0.81100000000000005</v>
      </c>
      <c r="M33" s="58">
        <f>'Daily Halba'!$K33*'Daily Halba'!$L33</f>
        <v>977.25500000000011</v>
      </c>
      <c r="N33" s="59">
        <v>8.36</v>
      </c>
      <c r="O33" s="59">
        <v>7.8</v>
      </c>
      <c r="P33" s="59"/>
      <c r="Q33" s="59"/>
      <c r="R33" s="59">
        <v>216</v>
      </c>
      <c r="S33" s="71">
        <f>947+7741</f>
        <v>8688</v>
      </c>
      <c r="T33" s="71">
        <v>13.37</v>
      </c>
      <c r="U33" s="61">
        <f>SUM('Daily Halba'!$E33,'Daily Halba'!$H33,$M33:$T33)</f>
        <v>11841.760200000001</v>
      </c>
      <c r="V33" s="22"/>
      <c r="W33" s="62">
        <f>33.44+159+616+50</f>
        <v>858.44</v>
      </c>
      <c r="X33" s="62"/>
      <c r="Y33" s="62">
        <f>63.39+361</f>
        <v>424.39</v>
      </c>
      <c r="Z33" s="62"/>
      <c r="AA33" s="63"/>
      <c r="AB33" s="64">
        <f>59.75+40+118</f>
        <v>217.75</v>
      </c>
      <c r="AC33" s="64"/>
      <c r="AD33" s="64"/>
      <c r="AE33" s="65">
        <f t="shared" si="0"/>
        <v>217.75</v>
      </c>
      <c r="AF33" s="66"/>
      <c r="AG33" s="66"/>
      <c r="AH33" s="66"/>
      <c r="AI33" s="66"/>
      <c r="AJ33" s="66"/>
      <c r="AK33" s="66"/>
      <c r="AL33" s="66"/>
      <c r="AM33" s="66"/>
      <c r="AN33" s="67">
        <f t="shared" si="1"/>
        <v>0</v>
      </c>
      <c r="AO33" s="66"/>
      <c r="AP33" s="68">
        <f t="shared" si="2"/>
        <v>1500.58</v>
      </c>
      <c r="AQ33" s="69"/>
      <c r="AR33" s="22"/>
      <c r="AS33" s="70">
        <f>'Daily Halba'!$U33-'Daily Halba'!$AP33</f>
        <v>10341.180200000001</v>
      </c>
      <c r="AT33" s="5"/>
      <c r="AU33" s="5"/>
      <c r="AV33" s="5"/>
    </row>
    <row r="34" spans="1:48" ht="12.75" customHeight="1" x14ac:dyDescent="0.3">
      <c r="A34" s="49">
        <v>45986</v>
      </c>
      <c r="B34" s="50" t="s">
        <v>24</v>
      </c>
      <c r="C34" s="51">
        <f>'ODOMETERS Halba'!J30</f>
        <v>861</v>
      </c>
      <c r="D34" s="52">
        <v>0.81269999999999998</v>
      </c>
      <c r="E34" s="53">
        <f>'Daily Halba'!$C34*'Daily Halba'!$D34</f>
        <v>699.73469999999998</v>
      </c>
      <c r="F34" s="54">
        <f>'ODOMETERS Halba'!K30</f>
        <v>329</v>
      </c>
      <c r="G34" s="52">
        <v>0.81269999999999998</v>
      </c>
      <c r="H34" s="53">
        <f>'Daily Halba'!$F34*'Daily Halba'!$G34</f>
        <v>267.37829999999997</v>
      </c>
      <c r="I34" s="54">
        <f>'Daily Halba'!$C34+'Daily Halba'!$F34</f>
        <v>1190</v>
      </c>
      <c r="J34" s="55">
        <f>'Daily Halba'!$I34*'Daily Halba'!$G34</f>
        <v>967.11299999999994</v>
      </c>
      <c r="K34" s="56">
        <f>'ODOMETERS Halba'!L30</f>
        <v>117</v>
      </c>
      <c r="L34" s="57">
        <v>0.81100000000000005</v>
      </c>
      <c r="M34" s="58">
        <f>'Daily Halba'!$K34*'Daily Halba'!$L34</f>
        <v>94.887</v>
      </c>
      <c r="N34" s="59"/>
      <c r="O34" s="59"/>
      <c r="P34" s="59">
        <v>12.26</v>
      </c>
      <c r="Q34" s="59"/>
      <c r="R34" s="59"/>
      <c r="S34" s="71"/>
      <c r="T34" s="71">
        <v>7.8</v>
      </c>
      <c r="U34" s="61">
        <f>SUM('Daily Halba'!$E34,'Daily Halba'!$H34,$M34:$T34)</f>
        <v>1082.06</v>
      </c>
      <c r="V34" s="22"/>
      <c r="W34" s="62">
        <v>10</v>
      </c>
      <c r="X34" s="62"/>
      <c r="Y34" s="62">
        <f>65+36.5</f>
        <v>101.5</v>
      </c>
      <c r="Z34" s="62"/>
      <c r="AA34" s="63"/>
      <c r="AB34" s="64"/>
      <c r="AC34" s="64"/>
      <c r="AD34" s="64"/>
      <c r="AE34" s="65">
        <f t="shared" si="0"/>
        <v>0</v>
      </c>
      <c r="AF34" s="66"/>
      <c r="AG34" s="66"/>
      <c r="AH34" s="66"/>
      <c r="AI34" s="66"/>
      <c r="AJ34" s="66"/>
      <c r="AK34" s="66"/>
      <c r="AL34" s="66"/>
      <c r="AM34" s="66"/>
      <c r="AN34" s="67">
        <f t="shared" si="1"/>
        <v>0</v>
      </c>
      <c r="AO34" s="66"/>
      <c r="AP34" s="68">
        <f t="shared" si="2"/>
        <v>111.5</v>
      </c>
      <c r="AQ34" s="69"/>
      <c r="AR34" s="22"/>
      <c r="AS34" s="70">
        <f>'Daily Halba'!$U34-'Daily Halba'!$AP34</f>
        <v>970.56</v>
      </c>
      <c r="AT34" s="5"/>
      <c r="AU34" s="5"/>
      <c r="AV34" s="5"/>
    </row>
    <row r="35" spans="1:48" ht="12.75" customHeight="1" x14ac:dyDescent="0.3">
      <c r="A35" s="49">
        <v>45986</v>
      </c>
      <c r="B35" s="50" t="s">
        <v>25</v>
      </c>
      <c r="C35" s="51">
        <f>'ODOMETERS Halba'!J31</f>
        <v>774</v>
      </c>
      <c r="D35" s="52">
        <v>0.81379999999999997</v>
      </c>
      <c r="E35" s="53">
        <f>'Daily Halba'!$C35*'Daily Halba'!$D35</f>
        <v>629.88119999999992</v>
      </c>
      <c r="F35" s="54">
        <f>'ODOMETERS Halba'!K31</f>
        <v>583</v>
      </c>
      <c r="G35" s="52">
        <v>0.81379999999999997</v>
      </c>
      <c r="H35" s="53">
        <f>'Daily Halba'!$F35*'Daily Halba'!$G35</f>
        <v>474.44540000000001</v>
      </c>
      <c r="I35" s="54">
        <f>'Daily Halba'!$C35+'Daily Halba'!$F35</f>
        <v>1357</v>
      </c>
      <c r="J35" s="55">
        <f>'Daily Halba'!$I35*'Daily Halba'!$G35</f>
        <v>1104.3265999999999</v>
      </c>
      <c r="K35" s="56">
        <f>'ODOMETERS Halba'!L31</f>
        <v>349</v>
      </c>
      <c r="L35" s="57">
        <v>0.81379999999999997</v>
      </c>
      <c r="M35" s="58">
        <f>'Daily Halba'!$K35*'Daily Halba'!$L35</f>
        <v>284.01619999999997</v>
      </c>
      <c r="N35" s="59">
        <v>19.57</v>
      </c>
      <c r="O35" s="59">
        <v>3</v>
      </c>
      <c r="P35" s="59">
        <v>36.78</v>
      </c>
      <c r="Q35" s="59"/>
      <c r="R35" s="59">
        <v>43</v>
      </c>
      <c r="S35" s="71"/>
      <c r="T35" s="71">
        <v>9.19</v>
      </c>
      <c r="U35" s="61">
        <f>SUM('Daily Halba'!$E35,'Daily Halba'!$H35,$M35:$T35)</f>
        <v>1499.8827999999999</v>
      </c>
      <c r="V35" s="22"/>
      <c r="W35" s="62">
        <f>118.71+5+80</f>
        <v>203.70999999999998</v>
      </c>
      <c r="X35" s="62"/>
      <c r="Y35" s="62">
        <f>70.8+81.38+170</f>
        <v>322.18</v>
      </c>
      <c r="Z35" s="62"/>
      <c r="AA35" s="63"/>
      <c r="AB35" s="64"/>
      <c r="AC35" s="64"/>
      <c r="AD35" s="64"/>
      <c r="AE35" s="65">
        <f t="shared" si="0"/>
        <v>0</v>
      </c>
      <c r="AF35" s="66"/>
      <c r="AG35" s="66"/>
      <c r="AH35" s="66"/>
      <c r="AI35" s="66"/>
      <c r="AJ35" s="66"/>
      <c r="AK35" s="66"/>
      <c r="AL35" s="66"/>
      <c r="AM35" s="66"/>
      <c r="AN35" s="67">
        <f t="shared" si="1"/>
        <v>0</v>
      </c>
      <c r="AO35" s="66"/>
      <c r="AP35" s="68">
        <f t="shared" si="2"/>
        <v>525.89</v>
      </c>
      <c r="AQ35" s="69"/>
      <c r="AR35" s="22"/>
      <c r="AS35" s="70">
        <f>'Daily Halba'!$U35-'Daily Halba'!$AP35</f>
        <v>973.99279999999987</v>
      </c>
      <c r="AT35" s="5"/>
      <c r="AU35" s="5"/>
      <c r="AV35" s="5"/>
    </row>
    <row r="36" spans="1:48" ht="12.75" customHeight="1" x14ac:dyDescent="0.3">
      <c r="A36" s="49">
        <v>45987</v>
      </c>
      <c r="B36" s="50"/>
      <c r="C36" s="51">
        <f>'ODOMETERS Halba'!J32</f>
        <v>1141</v>
      </c>
      <c r="D36" s="52">
        <v>0.81379999999999997</v>
      </c>
      <c r="E36" s="53">
        <f>'Daily Halba'!$C36*'Daily Halba'!$D36</f>
        <v>928.54579999999999</v>
      </c>
      <c r="F36" s="54">
        <f>'ODOMETERS Halba'!K32</f>
        <v>856</v>
      </c>
      <c r="G36" s="52">
        <v>0.81379999999999997</v>
      </c>
      <c r="H36" s="53">
        <f>'Daily Halba'!$F36*'Daily Halba'!$G36</f>
        <v>696.61279999999999</v>
      </c>
      <c r="I36" s="54">
        <f>'Daily Halba'!$C36+'Daily Halba'!$F36</f>
        <v>1997</v>
      </c>
      <c r="J36" s="55">
        <f>'Daily Halba'!$I36*'Daily Halba'!$G36</f>
        <v>1625.1586</v>
      </c>
      <c r="K36" s="56">
        <f>'ODOMETERS Halba'!L32</f>
        <v>472</v>
      </c>
      <c r="L36" s="57">
        <v>0.81379999999999997</v>
      </c>
      <c r="M36" s="58">
        <f>'Daily Halba'!$K36*'Daily Halba'!$L36</f>
        <v>384.11359999999996</v>
      </c>
      <c r="N36" s="59"/>
      <c r="O36" s="59">
        <v>3</v>
      </c>
      <c r="P36" s="59">
        <v>49.13</v>
      </c>
      <c r="Q36" s="59"/>
      <c r="R36" s="59">
        <v>36</v>
      </c>
      <c r="S36" s="71"/>
      <c r="T36" s="71"/>
      <c r="U36" s="61">
        <f>SUM('Daily Halba'!$E36,'Daily Halba'!$H36,$M36:$T36)</f>
        <v>2097.4022</v>
      </c>
      <c r="V36" s="22"/>
      <c r="W36" s="62">
        <f>10.57+63.57+164.38</f>
        <v>238.51999999999998</v>
      </c>
      <c r="X36" s="62"/>
      <c r="Y36" s="62"/>
      <c r="Z36" s="62"/>
      <c r="AA36" s="63"/>
      <c r="AB36" s="64">
        <f>254+17.83</f>
        <v>271.83</v>
      </c>
      <c r="AC36" s="64"/>
      <c r="AD36" s="64"/>
      <c r="AE36" s="65">
        <f t="shared" si="0"/>
        <v>271.83</v>
      </c>
      <c r="AF36" s="66"/>
      <c r="AG36" s="66"/>
      <c r="AH36" s="66"/>
      <c r="AI36" s="66">
        <v>10.57</v>
      </c>
      <c r="AJ36" s="66"/>
      <c r="AK36" s="66">
        <v>16.72</v>
      </c>
      <c r="AL36" s="66"/>
      <c r="AM36" s="66"/>
      <c r="AN36" s="67">
        <f t="shared" si="1"/>
        <v>27.29</v>
      </c>
      <c r="AO36" s="66"/>
      <c r="AP36" s="68">
        <f t="shared" si="2"/>
        <v>537.64</v>
      </c>
      <c r="AQ36" s="69"/>
      <c r="AR36" s="22"/>
      <c r="AS36" s="70">
        <f>'Daily Halba'!$U36-'Daily Halba'!$AP36</f>
        <v>1559.7622000000001</v>
      </c>
      <c r="AT36" s="5"/>
      <c r="AU36" s="5"/>
      <c r="AV36" s="5"/>
    </row>
    <row r="37" spans="1:48" ht="12.75" customHeight="1" x14ac:dyDescent="0.3">
      <c r="A37" s="49">
        <v>45988</v>
      </c>
      <c r="B37" s="50"/>
      <c r="C37" s="51">
        <f>'ODOMETERS Halba'!J33</f>
        <v>1699</v>
      </c>
      <c r="D37" s="52">
        <v>0.81379999999999997</v>
      </c>
      <c r="E37" s="53">
        <f>'Daily Halba'!$C37*'Daily Halba'!$D37</f>
        <v>1382.6461999999999</v>
      </c>
      <c r="F37" s="54">
        <f>'ODOMETERS Halba'!K33</f>
        <v>1015</v>
      </c>
      <c r="G37" s="52">
        <v>0.81379999999999997</v>
      </c>
      <c r="H37" s="53">
        <f>'Daily Halba'!$F37*'Daily Halba'!$G37</f>
        <v>826.00699999999995</v>
      </c>
      <c r="I37" s="54">
        <f>'Daily Halba'!$C37+'Daily Halba'!$F37</f>
        <v>2714</v>
      </c>
      <c r="J37" s="55">
        <f>'Daily Halba'!$I37*'Daily Halba'!$G37</f>
        <v>2208.6531999999997</v>
      </c>
      <c r="K37" s="56">
        <f>'ODOMETERS Halba'!L33</f>
        <v>406</v>
      </c>
      <c r="L37" s="57">
        <v>0.81379999999999997</v>
      </c>
      <c r="M37" s="58">
        <f>'Daily Halba'!$K37*'Daily Halba'!$L37</f>
        <v>330.40280000000001</v>
      </c>
      <c r="N37" s="59">
        <v>33.93</v>
      </c>
      <c r="O37" s="59">
        <v>17.829999999999998</v>
      </c>
      <c r="P37" s="59">
        <v>24.52</v>
      </c>
      <c r="Q37" s="59">
        <v>10</v>
      </c>
      <c r="R37" s="59">
        <v>54</v>
      </c>
      <c r="S37" s="71">
        <v>100</v>
      </c>
      <c r="T37" s="71">
        <v>26.68</v>
      </c>
      <c r="U37" s="61">
        <f>SUM('Daily Halba'!$E37,'Daily Halba'!$H37,$M37:$T37)</f>
        <v>2806.0159999999992</v>
      </c>
      <c r="V37" s="22"/>
      <c r="W37" s="62">
        <v>43.18</v>
      </c>
      <c r="X37" s="62"/>
      <c r="Y37" s="62">
        <f>203.45+65.1</f>
        <v>268.54999999999995</v>
      </c>
      <c r="Z37" s="62"/>
      <c r="AA37" s="63"/>
      <c r="AB37" s="64">
        <v>209</v>
      </c>
      <c r="AC37" s="64">
        <v>165.5</v>
      </c>
      <c r="AD37" s="64"/>
      <c r="AE37" s="65">
        <f t="shared" si="0"/>
        <v>374.5</v>
      </c>
      <c r="AF37" s="66"/>
      <c r="AG37" s="66"/>
      <c r="AH37" s="66"/>
      <c r="AI37" s="66">
        <v>6.51</v>
      </c>
      <c r="AJ37" s="66"/>
      <c r="AK37" s="66"/>
      <c r="AL37" s="66"/>
      <c r="AM37" s="66"/>
      <c r="AN37" s="67">
        <f t="shared" si="1"/>
        <v>6.51</v>
      </c>
      <c r="AO37" s="66"/>
      <c r="AP37" s="68">
        <f t="shared" si="2"/>
        <v>692.74</v>
      </c>
      <c r="AQ37" s="69"/>
      <c r="AR37" s="22"/>
      <c r="AS37" s="70">
        <f>'Daily Halba'!$U37-'Daily Halba'!$AP37</f>
        <v>2113.2759999999989</v>
      </c>
      <c r="AT37" s="5"/>
      <c r="AU37" s="5"/>
      <c r="AV37" s="5"/>
    </row>
    <row r="38" spans="1:48" ht="12.75" customHeight="1" x14ac:dyDescent="0.3">
      <c r="A38" s="49">
        <v>45989</v>
      </c>
      <c r="B38" s="50"/>
      <c r="C38" s="51">
        <f>'ODOMETERS Halba'!J34</f>
        <v>1674</v>
      </c>
      <c r="D38" s="52">
        <v>0.81379999999999997</v>
      </c>
      <c r="E38" s="53">
        <f>'Daily Halba'!$C38*'Daily Halba'!$D38</f>
        <v>1362.3011999999999</v>
      </c>
      <c r="F38" s="54">
        <f>'ODOMETERS Halba'!K34</f>
        <v>1419</v>
      </c>
      <c r="G38" s="52">
        <v>0.81379999999999997</v>
      </c>
      <c r="H38" s="53">
        <f>'Daily Halba'!$F38*'Daily Halba'!$G38</f>
        <v>1154.7821999999999</v>
      </c>
      <c r="I38" s="54">
        <f>'Daily Halba'!$C38+'Daily Halba'!$F38</f>
        <v>3093</v>
      </c>
      <c r="J38" s="55">
        <f>'Daily Halba'!$I38*'Daily Halba'!$G38</f>
        <v>2517.0834</v>
      </c>
      <c r="K38" s="56">
        <f>'ODOMETERS Halba'!L34</f>
        <v>721</v>
      </c>
      <c r="L38" s="57">
        <v>0.81379999999999997</v>
      </c>
      <c r="M38" s="58">
        <f>'Daily Halba'!$K38*'Daily Halba'!$L38</f>
        <v>586.74979999999994</v>
      </c>
      <c r="N38" s="59">
        <v>25.57</v>
      </c>
      <c r="O38" s="59">
        <v>8.6999999999999993</v>
      </c>
      <c r="P38" s="59">
        <v>12.26</v>
      </c>
      <c r="Q38" s="59"/>
      <c r="R38" s="59">
        <v>125</v>
      </c>
      <c r="S38" s="71">
        <f>80+570*0.8138</f>
        <v>543.86599999999999</v>
      </c>
      <c r="T38" s="71">
        <v>18.29</v>
      </c>
      <c r="U38" s="61">
        <f>SUM('Daily Halba'!$E38,'Daily Halba'!$H38,$M38:$T38)</f>
        <v>3837.5191999999997</v>
      </c>
      <c r="V38" s="22"/>
      <c r="W38" s="62"/>
      <c r="X38" s="62">
        <f>570*0.8138</f>
        <v>463.86599999999999</v>
      </c>
      <c r="Y38" s="62">
        <v>69.98</v>
      </c>
      <c r="Z38" s="62"/>
      <c r="AA38" s="63">
        <f>217.57+309</f>
        <v>526.56999999999994</v>
      </c>
      <c r="AB38" s="64">
        <v>26.3</v>
      </c>
      <c r="AC38" s="64"/>
      <c r="AD38" s="64"/>
      <c r="AE38" s="65">
        <f t="shared" si="0"/>
        <v>552.86999999999989</v>
      </c>
      <c r="AF38" s="66"/>
      <c r="AG38" s="66"/>
      <c r="AH38" s="66"/>
      <c r="AI38" s="66"/>
      <c r="AJ38" s="66"/>
      <c r="AK38" s="66"/>
      <c r="AL38" s="66"/>
      <c r="AM38" s="66"/>
      <c r="AN38" s="67">
        <f t="shared" si="1"/>
        <v>0</v>
      </c>
      <c r="AO38" s="66"/>
      <c r="AP38" s="68">
        <f t="shared" si="2"/>
        <v>1086.7159999999999</v>
      </c>
      <c r="AQ38" s="69"/>
      <c r="AR38" s="22"/>
      <c r="AS38" s="70">
        <f>'Daily Halba'!$U38-'Daily Halba'!$AP38</f>
        <v>2750.8031999999998</v>
      </c>
      <c r="AT38" s="5"/>
      <c r="AU38" s="5"/>
      <c r="AV38" s="5"/>
    </row>
    <row r="39" spans="1:48" ht="12.75" customHeight="1" x14ac:dyDescent="0.3">
      <c r="A39" s="49">
        <v>45990</v>
      </c>
      <c r="B39" s="50"/>
      <c r="C39" s="51">
        <f>'ODOMETERS Halba'!J35</f>
        <v>1688</v>
      </c>
      <c r="D39" s="52">
        <v>0.81379999999999997</v>
      </c>
      <c r="E39" s="53">
        <f>'Daily Halba'!$C39*'Daily Halba'!$D39</f>
        <v>1373.6943999999999</v>
      </c>
      <c r="F39" s="54">
        <f>'ODOMETERS Halba'!K35</f>
        <v>1199</v>
      </c>
      <c r="G39" s="52">
        <v>0.81379999999999997</v>
      </c>
      <c r="H39" s="53">
        <f>'Daily Halba'!$F39*'Daily Halba'!$G39</f>
        <v>975.74619999999993</v>
      </c>
      <c r="I39" s="54">
        <f>'Daily Halba'!$C39+'Daily Halba'!$F39</f>
        <v>2887</v>
      </c>
      <c r="J39" s="55">
        <f>'Daily Halba'!$I39*'Daily Halba'!$G39</f>
        <v>2349.4405999999999</v>
      </c>
      <c r="K39" s="56">
        <f>'ODOMETERS Halba'!L35</f>
        <v>592</v>
      </c>
      <c r="L39" s="57">
        <v>0.80710000000000004</v>
      </c>
      <c r="M39" s="58">
        <f>'Daily Halba'!$K39*'Daily Halba'!$L39</f>
        <v>477.8032</v>
      </c>
      <c r="N39" s="59">
        <v>24.36</v>
      </c>
      <c r="O39" s="59">
        <v>12.26</v>
      </c>
      <c r="P39" s="59">
        <v>12.26</v>
      </c>
      <c r="Q39" s="59"/>
      <c r="R39" s="59">
        <v>57</v>
      </c>
      <c r="S39" s="71"/>
      <c r="T39" s="71">
        <v>3.34</v>
      </c>
      <c r="U39" s="61">
        <f>SUM('Daily Halba'!$E39,'Daily Halba'!$H39,$M39:$T39)</f>
        <v>2936.4638000000004</v>
      </c>
      <c r="V39" s="22"/>
      <c r="W39" s="62">
        <v>242</v>
      </c>
      <c r="X39" s="62"/>
      <c r="Y39" s="62">
        <v>32.549999999999997</v>
      </c>
      <c r="Z39" s="62"/>
      <c r="AA39" s="63">
        <v>250</v>
      </c>
      <c r="AB39" s="64"/>
      <c r="AC39" s="64"/>
      <c r="AD39" s="64"/>
      <c r="AE39" s="65">
        <f t="shared" si="0"/>
        <v>250</v>
      </c>
      <c r="AF39" s="66"/>
      <c r="AG39" s="66"/>
      <c r="AH39" s="66"/>
      <c r="AI39" s="66">
        <v>7</v>
      </c>
      <c r="AJ39" s="66">
        <v>238</v>
      </c>
      <c r="AK39" s="66"/>
      <c r="AL39" s="66"/>
      <c r="AM39" s="66"/>
      <c r="AN39" s="67">
        <f t="shared" si="1"/>
        <v>245</v>
      </c>
      <c r="AO39" s="66"/>
      <c r="AP39" s="68">
        <f t="shared" si="2"/>
        <v>769.55</v>
      </c>
      <c r="AQ39" s="69"/>
      <c r="AR39" s="22"/>
      <c r="AS39" s="70">
        <f>'Daily Halba'!$U39-'Daily Halba'!$AP39</f>
        <v>2166.9138000000003</v>
      </c>
      <c r="AT39" s="5"/>
      <c r="AU39" s="5"/>
      <c r="AV39" s="5"/>
    </row>
    <row r="40" spans="1:48" ht="15.6" x14ac:dyDescent="0.3">
      <c r="A40" s="49">
        <v>45991</v>
      </c>
      <c r="B40" s="50"/>
      <c r="C40" s="51">
        <f>'ODOMETERS Halba'!J36</f>
        <v>1440</v>
      </c>
      <c r="D40" s="52">
        <v>0.81379999999999997</v>
      </c>
      <c r="E40" s="53">
        <f>'Daily Halba'!$C40*'Daily Halba'!$D40</f>
        <v>1171.8719999999998</v>
      </c>
      <c r="F40" s="54">
        <f>'ODOMETERS Halba'!K36</f>
        <v>921</v>
      </c>
      <c r="G40" s="52">
        <v>0.81379999999999997</v>
      </c>
      <c r="H40" s="53">
        <f>'Daily Halba'!$F40*'Daily Halba'!$G40</f>
        <v>749.50979999999993</v>
      </c>
      <c r="I40" s="54">
        <f>'Daily Halba'!$C40+'Daily Halba'!$F40</f>
        <v>2361</v>
      </c>
      <c r="J40" s="55">
        <f>'Daily Halba'!$I40*'Daily Halba'!$G40</f>
        <v>1921.3817999999999</v>
      </c>
      <c r="K40" s="56">
        <f>'ODOMETERS Halba'!L36</f>
        <v>762</v>
      </c>
      <c r="L40" s="57">
        <v>0.80710000000000004</v>
      </c>
      <c r="M40" s="58">
        <f>'Daily Halba'!$K40*'Daily Halba'!$L40</f>
        <v>615.01020000000005</v>
      </c>
      <c r="N40" s="59">
        <v>20</v>
      </c>
      <c r="O40" s="59">
        <v>17.8</v>
      </c>
      <c r="P40" s="59">
        <v>36.869999999999997</v>
      </c>
      <c r="Q40" s="59"/>
      <c r="R40" s="59">
        <v>58</v>
      </c>
      <c r="S40" s="71"/>
      <c r="T40" s="71">
        <v>1.67</v>
      </c>
      <c r="U40" s="61">
        <f>SUM('Daily Halba'!$E40,'Daily Halba'!$H40,$M40:$T40)</f>
        <v>2670.732</v>
      </c>
      <c r="V40" s="22"/>
      <c r="W40" s="62">
        <f>30+30+20+242</f>
        <v>322</v>
      </c>
      <c r="X40" s="62"/>
      <c r="Y40" s="62">
        <v>45.5</v>
      </c>
      <c r="Z40" s="62"/>
      <c r="AA40" s="63"/>
      <c r="AB40" s="64"/>
      <c r="AC40" s="64"/>
      <c r="AD40" s="64"/>
      <c r="AE40" s="65">
        <f t="shared" si="0"/>
        <v>0</v>
      </c>
      <c r="AF40" s="66"/>
      <c r="AG40" s="66"/>
      <c r="AH40" s="66"/>
      <c r="AI40" s="66">
        <v>6</v>
      </c>
      <c r="AJ40" s="66"/>
      <c r="AK40" s="66"/>
      <c r="AL40" s="66"/>
      <c r="AM40" s="66"/>
      <c r="AN40" s="67">
        <f t="shared" si="1"/>
        <v>6</v>
      </c>
      <c r="AO40" s="66"/>
      <c r="AP40" s="68">
        <f t="shared" si="2"/>
        <v>373.5</v>
      </c>
      <c r="AQ40" s="69"/>
      <c r="AR40" s="22"/>
      <c r="AS40" s="70">
        <f>'Daily Halba'!$U40-'Daily Halba'!$AP40</f>
        <v>2297.232</v>
      </c>
      <c r="AT40" s="5"/>
      <c r="AU40" s="5"/>
      <c r="AV40" s="5"/>
    </row>
    <row r="41" spans="1:48" ht="12.75" customHeight="1" x14ac:dyDescent="0.3">
      <c r="A41" s="49">
        <v>45992</v>
      </c>
      <c r="B41" s="50"/>
      <c r="C41" s="51">
        <f>'ODOMETERS Halba'!J37</f>
        <v>1557</v>
      </c>
      <c r="D41" s="52">
        <v>0.81379999999999997</v>
      </c>
      <c r="E41" s="53">
        <f>'Daily Halba'!$C41*'Daily Halba'!$D41</f>
        <v>1267.0865999999999</v>
      </c>
      <c r="F41" s="54">
        <f>'ODOMETERS Halba'!K37</f>
        <v>929</v>
      </c>
      <c r="G41" s="52">
        <v>0.81379999999999997</v>
      </c>
      <c r="H41" s="53">
        <f>'Daily Halba'!$F41*'Daily Halba'!$G41</f>
        <v>756.02019999999993</v>
      </c>
      <c r="I41" s="54">
        <f>'Daily Halba'!$C41+'Daily Halba'!$F41</f>
        <v>2486</v>
      </c>
      <c r="J41" s="55">
        <f>'Daily Halba'!$I41*'Daily Halba'!$G41</f>
        <v>2023.1068</v>
      </c>
      <c r="K41" s="56">
        <f>'ODOMETERS Halba'!L37</f>
        <v>5937</v>
      </c>
      <c r="L41" s="57">
        <v>0.80710000000000004</v>
      </c>
      <c r="M41" s="58">
        <f>'Daily Halba'!$K41*'Daily Halba'!$L41</f>
        <v>4791.7527</v>
      </c>
      <c r="N41" s="59">
        <v>10.87</v>
      </c>
      <c r="O41" s="59">
        <v>12.26</v>
      </c>
      <c r="P41" s="59">
        <v>49.05</v>
      </c>
      <c r="Q41" s="59"/>
      <c r="R41" s="59">
        <v>47</v>
      </c>
      <c r="S41" s="71">
        <v>930</v>
      </c>
      <c r="T41" s="71">
        <v>1.5</v>
      </c>
      <c r="U41" s="61">
        <f>SUM('Daily Halba'!$E41,'Daily Halba'!$H41,$M41:$T41)</f>
        <v>7865.5394999999999</v>
      </c>
      <c r="V41" s="22"/>
      <c r="W41" s="62">
        <f>14.49+2825+15+50+20+717.5+957</f>
        <v>4598.99</v>
      </c>
      <c r="X41" s="62"/>
      <c r="Y41" s="62">
        <v>16.27</v>
      </c>
      <c r="Z41" s="62">
        <v>9</v>
      </c>
      <c r="AA41" s="63"/>
      <c r="AB41" s="64">
        <v>10.5</v>
      </c>
      <c r="AC41" s="64"/>
      <c r="AD41" s="64"/>
      <c r="AE41" s="65">
        <f t="shared" si="0"/>
        <v>10.5</v>
      </c>
      <c r="AF41" s="66"/>
      <c r="AG41" s="66"/>
      <c r="AH41" s="66"/>
      <c r="AI41" s="66"/>
      <c r="AJ41" s="66"/>
      <c r="AK41" s="66"/>
      <c r="AL41" s="66"/>
      <c r="AM41" s="66"/>
      <c r="AN41" s="67">
        <f t="shared" si="1"/>
        <v>0</v>
      </c>
      <c r="AO41" s="66"/>
      <c r="AP41" s="68">
        <f t="shared" si="2"/>
        <v>4634.76</v>
      </c>
      <c r="AQ41" s="69"/>
      <c r="AR41" s="22"/>
      <c r="AS41" s="70">
        <f>'Daily Halba'!$U41-'Daily Halba'!$AP41</f>
        <v>3230.7794999999996</v>
      </c>
      <c r="AT41" s="5"/>
      <c r="AU41" s="5"/>
      <c r="AV41" s="5"/>
    </row>
    <row r="42" spans="1:48" ht="12.75" customHeight="1" x14ac:dyDescent="0.3">
      <c r="A42" s="49">
        <v>45993</v>
      </c>
      <c r="B42" s="50"/>
      <c r="C42" s="51">
        <f>'ODOMETERS Halba'!J38</f>
        <v>1493</v>
      </c>
      <c r="D42" s="52">
        <v>0.81379999999999997</v>
      </c>
      <c r="E42" s="53">
        <f>'Daily Halba'!$C42*'Daily Halba'!$D42</f>
        <v>1215.0034000000001</v>
      </c>
      <c r="F42" s="54">
        <f>'ODOMETERS Halba'!K38</f>
        <v>1128</v>
      </c>
      <c r="G42" s="52">
        <v>0.81379999999999997</v>
      </c>
      <c r="H42" s="53">
        <f>'Daily Halba'!$F42*'Daily Halba'!$G42</f>
        <v>917.96639999999991</v>
      </c>
      <c r="I42" s="54">
        <f>'Daily Halba'!$C42+'Daily Halba'!$F42</f>
        <v>2621</v>
      </c>
      <c r="J42" s="55">
        <f>'Daily Halba'!$I42*'Daily Halba'!$G42</f>
        <v>2132.9697999999999</v>
      </c>
      <c r="K42" s="56">
        <f>'ODOMETERS Halba'!L38</f>
        <v>1282</v>
      </c>
      <c r="L42" s="57">
        <v>0.80710000000000004</v>
      </c>
      <c r="M42" s="58">
        <f>'Daily Halba'!$K42*'Daily Halba'!$L42</f>
        <v>1034.7021999999999</v>
      </c>
      <c r="N42" s="59">
        <v>14.36</v>
      </c>
      <c r="O42" s="59">
        <v>13.9</v>
      </c>
      <c r="P42" s="59"/>
      <c r="Q42" s="59"/>
      <c r="R42" s="59">
        <v>79</v>
      </c>
      <c r="S42" s="71">
        <f>274+140</f>
        <v>414</v>
      </c>
      <c r="T42" s="71"/>
      <c r="U42" s="61">
        <f>SUM('Daily Halba'!$E42,'Daily Halba'!$H42,$M42:$T42)</f>
        <v>3688.9319999999998</v>
      </c>
      <c r="V42" s="22"/>
      <c r="W42" s="62">
        <f>25.6+300+323+5.6</f>
        <v>654.20000000000005</v>
      </c>
      <c r="X42" s="62"/>
      <c r="Y42" s="62">
        <f>108.2+46</f>
        <v>154.19999999999999</v>
      </c>
      <c r="Z42" s="62"/>
      <c r="AA42" s="63"/>
      <c r="AB42" s="64">
        <v>60</v>
      </c>
      <c r="AC42" s="64">
        <v>106.5</v>
      </c>
      <c r="AD42" s="64"/>
      <c r="AE42" s="65">
        <f t="shared" si="0"/>
        <v>166.5</v>
      </c>
      <c r="AF42" s="66"/>
      <c r="AG42" s="66"/>
      <c r="AH42" s="66"/>
      <c r="AI42" s="66"/>
      <c r="AJ42" s="66"/>
      <c r="AK42" s="66"/>
      <c r="AL42" s="66"/>
      <c r="AM42" s="66"/>
      <c r="AN42" s="67">
        <f t="shared" si="1"/>
        <v>0</v>
      </c>
      <c r="AO42" s="66"/>
      <c r="AP42" s="68">
        <f t="shared" si="2"/>
        <v>974.90000000000009</v>
      </c>
      <c r="AQ42" s="69"/>
      <c r="AR42" s="22"/>
      <c r="AS42" s="70">
        <f>'Daily Halba'!$U42-'Daily Halba'!$AP42</f>
        <v>2714.0319999999997</v>
      </c>
      <c r="AT42" s="5"/>
      <c r="AU42" s="5"/>
      <c r="AV42" s="5"/>
    </row>
    <row r="43" spans="1:48" ht="12.75" customHeight="1" x14ac:dyDescent="0.3">
      <c r="A43" s="49">
        <v>45994</v>
      </c>
      <c r="B43" s="50" t="s">
        <v>24</v>
      </c>
      <c r="C43" s="51">
        <f>'ODOMETERS Halba'!J39</f>
        <v>436</v>
      </c>
      <c r="D43" s="52">
        <v>0.81379999999999997</v>
      </c>
      <c r="E43" s="53">
        <f>'Daily Halba'!$C43*'Daily Halba'!$D43</f>
        <v>354.8168</v>
      </c>
      <c r="F43" s="54">
        <f>'ODOMETERS Halba'!K39</f>
        <v>949</v>
      </c>
      <c r="G43" s="52">
        <v>0.81379999999999997</v>
      </c>
      <c r="H43" s="53">
        <f>'Daily Halba'!$F43*'Daily Halba'!$G43</f>
        <v>772.2962</v>
      </c>
      <c r="I43" s="54">
        <f>'Daily Halba'!$C43+'Daily Halba'!$F43</f>
        <v>1385</v>
      </c>
      <c r="J43" s="55">
        <f>'Daily Halba'!$I43*'Daily Halba'!$G43</f>
        <v>1127.1130000000001</v>
      </c>
      <c r="K43" s="56">
        <f>'ODOMETERS Halba'!L39</f>
        <v>1482</v>
      </c>
      <c r="L43" s="57">
        <v>0.80710000000000004</v>
      </c>
      <c r="M43" s="58">
        <f>'Daily Halba'!$K43*'Daily Halba'!$L43</f>
        <v>1196.1222</v>
      </c>
      <c r="N43" s="59">
        <v>8.36</v>
      </c>
      <c r="O43" s="59">
        <v>5</v>
      </c>
      <c r="P43" s="59">
        <v>0</v>
      </c>
      <c r="Q43" s="59"/>
      <c r="R43" s="59"/>
      <c r="S43" s="71">
        <v>0</v>
      </c>
      <c r="T43" s="71">
        <v>6.58</v>
      </c>
      <c r="U43" s="61">
        <f>SUM('Daily Halba'!$E43,'Daily Halba'!$H43,$M43:$T43)</f>
        <v>2343.1752000000001</v>
      </c>
      <c r="V43" s="22"/>
      <c r="W43" s="62">
        <f>10+1130</f>
        <v>1140</v>
      </c>
      <c r="X43" s="62"/>
      <c r="Y43" s="62">
        <v>145.66999999999999</v>
      </c>
      <c r="Z43" s="62"/>
      <c r="AA43" s="63"/>
      <c r="AB43" s="64"/>
      <c r="AC43" s="64"/>
      <c r="AD43" s="64"/>
      <c r="AE43" s="65">
        <f t="shared" si="0"/>
        <v>0</v>
      </c>
      <c r="AF43" s="66"/>
      <c r="AG43" s="66"/>
      <c r="AH43" s="66"/>
      <c r="AI43" s="66"/>
      <c r="AJ43" s="66"/>
      <c r="AK43" s="66"/>
      <c r="AL43" s="66"/>
      <c r="AM43" s="66"/>
      <c r="AN43" s="67">
        <f t="shared" si="1"/>
        <v>0</v>
      </c>
      <c r="AO43" s="66"/>
      <c r="AP43" s="68">
        <f t="shared" si="2"/>
        <v>1285.67</v>
      </c>
      <c r="AQ43" s="69"/>
      <c r="AR43" s="22"/>
      <c r="AS43" s="70">
        <f>'Daily Halba'!$U43-'Daily Halba'!$AP43</f>
        <v>1057.5052000000001</v>
      </c>
      <c r="AT43" s="5"/>
      <c r="AU43" s="5"/>
      <c r="AV43" s="5"/>
    </row>
    <row r="44" spans="1:48" ht="12.75" customHeight="1" x14ac:dyDescent="0.3">
      <c r="A44" s="49">
        <v>45994</v>
      </c>
      <c r="B44" s="50" t="s">
        <v>25</v>
      </c>
      <c r="C44" s="51">
        <f>'ODOMETERS Halba'!J40</f>
        <v>529</v>
      </c>
      <c r="D44" s="52">
        <v>0.81610000000000005</v>
      </c>
      <c r="E44" s="53">
        <f>'Daily Halba'!$C44*'Daily Halba'!$D44</f>
        <v>431.71690000000001</v>
      </c>
      <c r="F44" s="54">
        <f>'ODOMETERS Halba'!K40</f>
        <v>738</v>
      </c>
      <c r="G44" s="52">
        <v>0.81610000000000005</v>
      </c>
      <c r="H44" s="53">
        <f>'Daily Halba'!$F44*'Daily Halba'!$G44</f>
        <v>602.28180000000009</v>
      </c>
      <c r="I44" s="54">
        <f>'Daily Halba'!$C44+'Daily Halba'!$F44</f>
        <v>1267</v>
      </c>
      <c r="J44" s="55">
        <f>'Daily Halba'!$I44*'Daily Halba'!$G44</f>
        <v>1033.9987000000001</v>
      </c>
      <c r="K44" s="56">
        <f>'ODOMETERS Halba'!L40</f>
        <v>730</v>
      </c>
      <c r="L44" s="57">
        <v>0.79879999999999995</v>
      </c>
      <c r="M44" s="58">
        <f>'Daily Halba'!$K44*'Daily Halba'!$L44</f>
        <v>583.12400000000002</v>
      </c>
      <c r="N44" s="59">
        <v>0</v>
      </c>
      <c r="O44" s="59">
        <v>7.8</v>
      </c>
      <c r="P44" s="59">
        <v>12.82</v>
      </c>
      <c r="Q44" s="59">
        <v>5</v>
      </c>
      <c r="R44" s="59">
        <v>52</v>
      </c>
      <c r="S44" s="71">
        <v>72.459999999999994</v>
      </c>
      <c r="T44" s="71">
        <v>21.67</v>
      </c>
      <c r="U44" s="61">
        <f>SUM('Daily Halba'!$E44,'Daily Halba'!$H44,$M44:$T44)</f>
        <v>1788.8727000000001</v>
      </c>
      <c r="V44" s="22"/>
      <c r="W44" s="62">
        <f>172.3+20+79.88+198.3</f>
        <v>470.48</v>
      </c>
      <c r="X44" s="62"/>
      <c r="Y44" s="62">
        <f>31+16</f>
        <v>47</v>
      </c>
      <c r="Z44" s="62">
        <v>20</v>
      </c>
      <c r="AA44" s="72"/>
      <c r="AB44" s="73"/>
      <c r="AC44" s="73"/>
      <c r="AD44" s="73"/>
      <c r="AE44" s="65">
        <f t="shared" si="0"/>
        <v>0</v>
      </c>
      <c r="AF44" s="74"/>
      <c r="AG44" s="74"/>
      <c r="AH44" s="74"/>
      <c r="AI44" s="74">
        <v>36</v>
      </c>
      <c r="AJ44" s="74"/>
      <c r="AK44" s="74"/>
      <c r="AL44" s="74"/>
      <c r="AM44" s="74"/>
      <c r="AN44" s="67">
        <f t="shared" si="1"/>
        <v>36</v>
      </c>
      <c r="AO44" s="74"/>
      <c r="AP44" s="68">
        <f t="shared" si="2"/>
        <v>573.48</v>
      </c>
      <c r="AQ44" s="75" t="s">
        <v>84</v>
      </c>
      <c r="AR44" s="22"/>
      <c r="AS44" s="70">
        <f>'Daily Halba'!$U44-'Daily Halba'!$AP44</f>
        <v>1215.3927000000001</v>
      </c>
      <c r="AT44" s="5"/>
      <c r="AU44" s="5"/>
      <c r="AV44" s="5"/>
    </row>
    <row r="45" spans="1:48" ht="12.75" customHeight="1" x14ac:dyDescent="0.3">
      <c r="A45" s="49">
        <v>45995</v>
      </c>
      <c r="B45" s="50"/>
      <c r="C45" s="51">
        <f>'ODOMETERS Halba'!J41</f>
        <v>1448</v>
      </c>
      <c r="D45" s="52">
        <v>0.81610000000000005</v>
      </c>
      <c r="E45" s="53">
        <f>'Daily Halba'!$C45*'Daily Halba'!$D45</f>
        <v>1181.7128</v>
      </c>
      <c r="F45" s="54">
        <f>'ODOMETERS Halba'!K41</f>
        <v>1487</v>
      </c>
      <c r="G45" s="52">
        <v>0.81610000000000005</v>
      </c>
      <c r="H45" s="53">
        <f>'Daily Halba'!$F45*'Daily Halba'!$G45</f>
        <v>1213.5407</v>
      </c>
      <c r="I45" s="54">
        <f>'Daily Halba'!$C45+'Daily Halba'!$F45</f>
        <v>2935</v>
      </c>
      <c r="J45" s="55">
        <f>'Daily Halba'!$I45*'Daily Halba'!$G45</f>
        <v>2395.2535000000003</v>
      </c>
      <c r="K45" s="56">
        <f>'ODOMETERS Halba'!L41</f>
        <v>1364</v>
      </c>
      <c r="L45" s="57">
        <v>0.79879999999999995</v>
      </c>
      <c r="M45" s="58">
        <f>'Daily Halba'!$K45*'Daily Halba'!$L45</f>
        <v>1089.5632000000001</v>
      </c>
      <c r="N45" s="59">
        <v>20.36</v>
      </c>
      <c r="O45" s="59">
        <v>11.14</v>
      </c>
      <c r="P45" s="59">
        <v>12.82</v>
      </c>
      <c r="Q45" s="59">
        <v>5</v>
      </c>
      <c r="R45" s="59">
        <v>82</v>
      </c>
      <c r="S45" s="71">
        <v>3103</v>
      </c>
      <c r="T45" s="71">
        <v>1.5</v>
      </c>
      <c r="U45" s="61">
        <f>SUM('Daily Halba'!$E45,'Daily Halba'!$H45,$M45:$T45)</f>
        <v>6720.6367</v>
      </c>
      <c r="V45" s="22"/>
      <c r="W45" s="62">
        <f>42.36+595.1+45+10+20</f>
        <v>712.46</v>
      </c>
      <c r="X45" s="62"/>
      <c r="Y45" s="62">
        <v>97</v>
      </c>
      <c r="Z45" s="62"/>
      <c r="AA45" s="63"/>
      <c r="AB45" s="64">
        <v>176</v>
      </c>
      <c r="AC45" s="64">
        <v>36.79</v>
      </c>
      <c r="AD45" s="64"/>
      <c r="AE45" s="65">
        <f t="shared" si="0"/>
        <v>212.79</v>
      </c>
      <c r="AF45" s="66"/>
      <c r="AG45" s="66"/>
      <c r="AH45" s="66"/>
      <c r="AI45" s="66"/>
      <c r="AJ45" s="66"/>
      <c r="AK45" s="66"/>
      <c r="AL45" s="66"/>
      <c r="AM45" s="66"/>
      <c r="AN45" s="67">
        <f t="shared" si="1"/>
        <v>0</v>
      </c>
      <c r="AO45" s="66"/>
      <c r="AP45" s="68">
        <f t="shared" si="2"/>
        <v>1022.25</v>
      </c>
      <c r="AQ45" s="69"/>
      <c r="AR45" s="22"/>
      <c r="AS45" s="70">
        <f>'Daily Halba'!$U45-'Daily Halba'!$AP45</f>
        <v>5698.3867</v>
      </c>
      <c r="AT45" s="5"/>
      <c r="AU45" s="5"/>
      <c r="AV45" s="5"/>
    </row>
    <row r="46" spans="1:48" ht="12.75" customHeight="1" x14ac:dyDescent="0.3">
      <c r="A46" s="49">
        <v>45996</v>
      </c>
      <c r="B46" s="50" t="s">
        <v>24</v>
      </c>
      <c r="C46" s="51">
        <f>'ODOMETERS Halba'!J42</f>
        <v>561</v>
      </c>
      <c r="D46" s="52">
        <v>0.81610000000000005</v>
      </c>
      <c r="E46" s="53">
        <f>'Daily Halba'!$C46*'Daily Halba'!$D46</f>
        <v>457.83210000000003</v>
      </c>
      <c r="F46" s="54">
        <f>'ODOMETERS Halba'!K42</f>
        <v>493</v>
      </c>
      <c r="G46" s="52">
        <v>0.81610000000000005</v>
      </c>
      <c r="H46" s="53">
        <f>'Daily Halba'!$F46*'Daily Halba'!$G46</f>
        <v>402.33730000000003</v>
      </c>
      <c r="I46" s="54">
        <f>'Daily Halba'!$C46+'Daily Halba'!$F46</f>
        <v>1054</v>
      </c>
      <c r="J46" s="55">
        <f>'Daily Halba'!$I46*'Daily Halba'!$G46</f>
        <v>860.1694</v>
      </c>
      <c r="K46" s="56">
        <f>'ODOMETERS Halba'!L42</f>
        <v>259</v>
      </c>
      <c r="L46" s="57">
        <v>0.79879999999999995</v>
      </c>
      <c r="M46" s="58">
        <f>'Daily Halba'!$K46*'Daily Halba'!$L46</f>
        <v>206.88919999999999</v>
      </c>
      <c r="N46" s="59">
        <v>3</v>
      </c>
      <c r="O46" s="59"/>
      <c r="P46" s="59">
        <v>12.82</v>
      </c>
      <c r="Q46" s="59"/>
      <c r="R46" s="59"/>
      <c r="S46" s="71">
        <v>200</v>
      </c>
      <c r="T46" s="71"/>
      <c r="U46" s="61">
        <f>SUM('Daily Halba'!$E46,'Daily Halba'!$H46,$M46:$T46)</f>
        <v>1282.8786</v>
      </c>
      <c r="V46" s="22"/>
      <c r="W46" s="62">
        <v>158</v>
      </c>
      <c r="X46" s="62"/>
      <c r="Y46" s="62">
        <v>22.03</v>
      </c>
      <c r="Z46" s="62">
        <v>-10</v>
      </c>
      <c r="AA46" s="63"/>
      <c r="AB46" s="64"/>
      <c r="AC46" s="64"/>
      <c r="AD46" s="64"/>
      <c r="AE46" s="65">
        <f t="shared" si="0"/>
        <v>0</v>
      </c>
      <c r="AF46" s="66"/>
      <c r="AG46" s="66"/>
      <c r="AH46" s="66"/>
      <c r="AI46" s="66"/>
      <c r="AJ46" s="66"/>
      <c r="AK46" s="66"/>
      <c r="AL46" s="66"/>
      <c r="AM46" s="66"/>
      <c r="AN46" s="67">
        <f t="shared" si="1"/>
        <v>0</v>
      </c>
      <c r="AO46" s="66"/>
      <c r="AP46" s="68">
        <f t="shared" si="2"/>
        <v>170.03</v>
      </c>
      <c r="AQ46" s="69"/>
      <c r="AR46" s="22"/>
      <c r="AS46" s="70">
        <f>'Daily Halba'!$U46-'Daily Halba'!$AP46</f>
        <v>1112.8486</v>
      </c>
      <c r="AT46" s="5"/>
      <c r="AU46" s="5"/>
      <c r="AV46" s="5"/>
    </row>
    <row r="47" spans="1:48" ht="12.75" customHeight="1" x14ac:dyDescent="0.3">
      <c r="A47" s="49">
        <v>45996</v>
      </c>
      <c r="B47" s="50" t="s">
        <v>25</v>
      </c>
      <c r="C47" s="51">
        <f>'ODOMETERS Halba'!J43</f>
        <v>1079</v>
      </c>
      <c r="D47" s="52">
        <v>0.81489999999999996</v>
      </c>
      <c r="E47" s="53">
        <f>'Daily Halba'!$C47*'Daily Halba'!$D47</f>
        <v>879.2770999999999</v>
      </c>
      <c r="F47" s="54">
        <f>'ODOMETERS Halba'!K43</f>
        <v>436</v>
      </c>
      <c r="G47" s="52">
        <v>0.81489999999999996</v>
      </c>
      <c r="H47" s="53">
        <f>'Daily Halba'!$F47*'Daily Halba'!$G47</f>
        <v>355.29640000000001</v>
      </c>
      <c r="I47" s="54">
        <f>'Daily Halba'!$C47+'Daily Halba'!$F47</f>
        <v>1515</v>
      </c>
      <c r="J47" s="55">
        <f>'Daily Halba'!$I47*'Daily Halba'!$G47</f>
        <v>1234.5735</v>
      </c>
      <c r="K47" s="56">
        <f>'ODOMETERS Halba'!L43</f>
        <v>1608</v>
      </c>
      <c r="L47" s="57">
        <v>0.78480000000000005</v>
      </c>
      <c r="M47" s="58">
        <f>'Daily Halba'!$K47*'Daily Halba'!$L47</f>
        <v>1261.9584</v>
      </c>
      <c r="N47" s="59">
        <v>4</v>
      </c>
      <c r="O47" s="59">
        <v>17.82</v>
      </c>
      <c r="P47" s="59"/>
      <c r="Q47" s="59"/>
      <c r="R47" s="59">
        <v>49</v>
      </c>
      <c r="S47" s="71">
        <f>765+800+1504</f>
        <v>3069</v>
      </c>
      <c r="T47" s="71">
        <v>1</v>
      </c>
      <c r="U47" s="61">
        <f>SUM('Daily Halba'!$E47,'Daily Halba'!$H47,$M47:$T47)</f>
        <v>5637.3518999999997</v>
      </c>
      <c r="V47" s="22"/>
      <c r="W47" s="62">
        <f>936.26+145+16.72</f>
        <v>1097.98</v>
      </c>
      <c r="X47" s="62"/>
      <c r="Y47" s="62">
        <v>8.15</v>
      </c>
      <c r="Z47" s="76"/>
      <c r="AA47" s="63"/>
      <c r="AB47" s="64"/>
      <c r="AC47" s="64"/>
      <c r="AD47" s="64"/>
      <c r="AE47" s="65">
        <f t="shared" si="0"/>
        <v>0</v>
      </c>
      <c r="AF47" s="66"/>
      <c r="AG47" s="66">
        <f>80+300+265+300+50</f>
        <v>995</v>
      </c>
      <c r="AH47" s="66"/>
      <c r="AI47" s="66">
        <v>38</v>
      </c>
      <c r="AJ47" s="66"/>
      <c r="AK47" s="66"/>
      <c r="AL47" s="66"/>
      <c r="AM47" s="66"/>
      <c r="AN47" s="67">
        <f t="shared" si="1"/>
        <v>1033</v>
      </c>
      <c r="AO47" s="66"/>
      <c r="AP47" s="68">
        <f t="shared" si="2"/>
        <v>2139.13</v>
      </c>
      <c r="AQ47" s="69" t="s">
        <v>85</v>
      </c>
      <c r="AR47" s="22"/>
      <c r="AS47" s="70">
        <f>'Daily Halba'!$U47-'Daily Halba'!$AP47</f>
        <v>3498.2218999999996</v>
      </c>
      <c r="AT47" s="5"/>
      <c r="AU47" s="5"/>
      <c r="AV47" s="5"/>
    </row>
    <row r="48" spans="1:48" ht="12.75" customHeight="1" x14ac:dyDescent="0.3">
      <c r="A48" s="49">
        <v>45997</v>
      </c>
      <c r="B48" s="50"/>
      <c r="C48" s="51">
        <f>'ODOMETERS Halba'!J44</f>
        <v>1496</v>
      </c>
      <c r="D48" s="52">
        <v>0.81489999999999996</v>
      </c>
      <c r="E48" s="53">
        <f>'Daily Halba'!$C48*'Daily Halba'!$D48</f>
        <v>1219.0904</v>
      </c>
      <c r="F48" s="54">
        <f>'ODOMETERS Halba'!K44</f>
        <v>1229</v>
      </c>
      <c r="G48" s="52">
        <v>0.81489999999999996</v>
      </c>
      <c r="H48" s="53">
        <f>'Daily Halba'!$F48*'Daily Halba'!$G48</f>
        <v>1001.5120999999999</v>
      </c>
      <c r="I48" s="54">
        <f>'Daily Halba'!$C48+'Daily Halba'!$F48</f>
        <v>2725</v>
      </c>
      <c r="J48" s="55">
        <f>'Daily Halba'!$I48*'Daily Halba'!$G48</f>
        <v>2220.6025</v>
      </c>
      <c r="K48" s="56">
        <f>'ODOMETERS Halba'!L44</f>
        <v>429</v>
      </c>
      <c r="L48" s="57">
        <v>0.78480000000000005</v>
      </c>
      <c r="M48" s="58">
        <f>'Daily Halba'!$K48*'Daily Halba'!$L48</f>
        <v>336.67920000000004</v>
      </c>
      <c r="N48" s="59">
        <v>55.03</v>
      </c>
      <c r="O48" s="59">
        <v>10.57</v>
      </c>
      <c r="P48" s="59">
        <v>12.82</v>
      </c>
      <c r="Q48" s="59">
        <v>10</v>
      </c>
      <c r="R48" s="59">
        <v>57</v>
      </c>
      <c r="S48" s="71">
        <v>95.42</v>
      </c>
      <c r="T48" s="71">
        <v>1.67</v>
      </c>
      <c r="U48" s="61">
        <f>SUM('Daily Halba'!$E48,'Daily Halba'!$H48,$M48:$T48)</f>
        <v>2799.7917000000007</v>
      </c>
      <c r="V48" s="22"/>
      <c r="W48" s="62">
        <f>239+7</f>
        <v>246</v>
      </c>
      <c r="X48" s="62"/>
      <c r="Y48" s="62">
        <v>16.29</v>
      </c>
      <c r="Z48" s="62"/>
      <c r="AA48" s="63">
        <v>75</v>
      </c>
      <c r="AB48" s="64">
        <v>35</v>
      </c>
      <c r="AC48" s="64"/>
      <c r="AD48" s="64"/>
      <c r="AE48" s="65">
        <f t="shared" si="0"/>
        <v>110</v>
      </c>
      <c r="AF48" s="66"/>
      <c r="AG48" s="66"/>
      <c r="AH48" s="66">
        <v>350</v>
      </c>
      <c r="AI48" s="66">
        <v>15</v>
      </c>
      <c r="AJ48" s="66"/>
      <c r="AK48" s="66"/>
      <c r="AL48" s="66"/>
      <c r="AM48" s="66"/>
      <c r="AN48" s="67">
        <f t="shared" si="1"/>
        <v>365</v>
      </c>
      <c r="AO48" s="66"/>
      <c r="AP48" s="68">
        <f t="shared" si="2"/>
        <v>737.29</v>
      </c>
      <c r="AQ48" s="69" t="s">
        <v>86</v>
      </c>
      <c r="AR48" s="22"/>
      <c r="AS48" s="70">
        <f>'Daily Halba'!$U48-'Daily Halba'!$AP48</f>
        <v>2062.5017000000007</v>
      </c>
      <c r="AT48" s="5"/>
      <c r="AU48" s="5"/>
      <c r="AV48" s="5"/>
    </row>
    <row r="49" spans="1:48" ht="12.75" customHeight="1" x14ac:dyDescent="0.3">
      <c r="A49" s="49">
        <v>45998</v>
      </c>
      <c r="B49" s="50"/>
      <c r="C49" s="51">
        <f>'ODOMETERS Halba'!J45</f>
        <v>1543</v>
      </c>
      <c r="D49" s="52">
        <v>0.81489999999999996</v>
      </c>
      <c r="E49" s="53">
        <f>'Daily Halba'!$C49*'Daily Halba'!$D49</f>
        <v>1257.3906999999999</v>
      </c>
      <c r="F49" s="54">
        <f>'ODOMETERS Halba'!K45</f>
        <v>1156</v>
      </c>
      <c r="G49" s="52">
        <v>0.81489999999999996</v>
      </c>
      <c r="H49" s="53">
        <f>'Daily Halba'!$F49*'Daily Halba'!$G49</f>
        <v>942.0243999999999</v>
      </c>
      <c r="I49" s="54">
        <f>'Daily Halba'!$C49+'Daily Halba'!$F49</f>
        <v>2699</v>
      </c>
      <c r="J49" s="55">
        <f>'Daily Halba'!$I49*'Daily Halba'!$G49</f>
        <v>2199.4150999999997</v>
      </c>
      <c r="K49" s="56">
        <f>'ODOMETERS Halba'!L45</f>
        <v>2844</v>
      </c>
      <c r="L49" s="57">
        <v>0.78480000000000005</v>
      </c>
      <c r="M49" s="58">
        <f>'Daily Halba'!$K49*'Daily Halba'!$L49</f>
        <v>2231.9712</v>
      </c>
      <c r="N49" s="59">
        <v>11.57</v>
      </c>
      <c r="O49" s="59">
        <v>11.14</v>
      </c>
      <c r="P49" s="59">
        <v>12.82</v>
      </c>
      <c r="Q49" s="59"/>
      <c r="R49" s="59">
        <v>91</v>
      </c>
      <c r="S49" s="71">
        <f>50+788+2174</f>
        <v>3012</v>
      </c>
      <c r="T49" s="71">
        <v>5</v>
      </c>
      <c r="U49" s="61">
        <f>SUM('Daily Halba'!$E49,'Daily Halba'!$H49,$M49:$T49)</f>
        <v>7574.9162999999999</v>
      </c>
      <c r="V49" s="22"/>
      <c r="W49" s="62">
        <f>13.37+2002</f>
        <v>2015.37</v>
      </c>
      <c r="X49" s="62"/>
      <c r="Y49" s="62">
        <v>49</v>
      </c>
      <c r="Z49" s="62">
        <v>5</v>
      </c>
      <c r="AA49" s="63"/>
      <c r="AB49" s="64"/>
      <c r="AC49" s="64"/>
      <c r="AD49" s="64"/>
      <c r="AE49" s="65">
        <f t="shared" si="0"/>
        <v>0</v>
      </c>
      <c r="AF49" s="66"/>
      <c r="AG49" s="66"/>
      <c r="AH49" s="66"/>
      <c r="AI49" s="66"/>
      <c r="AJ49" s="66"/>
      <c r="AK49" s="66"/>
      <c r="AL49" s="66"/>
      <c r="AM49" s="66"/>
      <c r="AN49" s="67">
        <f t="shared" si="1"/>
        <v>0</v>
      </c>
      <c r="AO49" s="66"/>
      <c r="AP49" s="68">
        <f t="shared" si="2"/>
        <v>2069.37</v>
      </c>
      <c r="AQ49" s="69"/>
      <c r="AR49" s="22"/>
      <c r="AS49" s="70">
        <f>'Daily Halba'!$U49-'Daily Halba'!$AP49</f>
        <v>5505.5463</v>
      </c>
      <c r="AT49" s="5"/>
      <c r="AU49" s="5"/>
      <c r="AV49" s="5"/>
    </row>
    <row r="50" spans="1:48" ht="12.75" customHeight="1" x14ac:dyDescent="0.3">
      <c r="A50" s="49">
        <v>45999</v>
      </c>
      <c r="B50" s="50"/>
      <c r="C50" s="51">
        <f>'ODOMETERS Halba'!J46</f>
        <v>1242</v>
      </c>
      <c r="D50" s="52">
        <v>0.81489999999999996</v>
      </c>
      <c r="E50" s="53">
        <f>'Daily Halba'!$C50*'Daily Halba'!$D50</f>
        <v>1012.1057999999999</v>
      </c>
      <c r="F50" s="54">
        <f>'ODOMETERS Halba'!K46</f>
        <v>754</v>
      </c>
      <c r="G50" s="52">
        <v>0.81489999999999996</v>
      </c>
      <c r="H50" s="53">
        <f>'Daily Halba'!$F50*'Daily Halba'!$G50</f>
        <v>614.43459999999993</v>
      </c>
      <c r="I50" s="54">
        <f>'Daily Halba'!$C50+'Daily Halba'!$F50</f>
        <v>1996</v>
      </c>
      <c r="J50" s="55">
        <f>'Daily Halba'!$I50*'Daily Halba'!$G50</f>
        <v>1626.5403999999999</v>
      </c>
      <c r="K50" s="56">
        <f>'ODOMETERS Halba'!L46</f>
        <v>243</v>
      </c>
      <c r="L50" s="57">
        <v>0.78480000000000005</v>
      </c>
      <c r="M50" s="58">
        <f>'Daily Halba'!$K50*'Daily Halba'!$L50</f>
        <v>190.7064</v>
      </c>
      <c r="N50" s="59">
        <v>21.14</v>
      </c>
      <c r="O50" s="59">
        <v>14.49</v>
      </c>
      <c r="P50" s="59"/>
      <c r="Q50" s="59"/>
      <c r="R50" s="59">
        <v>56</v>
      </c>
      <c r="S50" s="71">
        <v>1900</v>
      </c>
      <c r="T50" s="71"/>
      <c r="U50" s="61">
        <f>SUM('Daily Halba'!$E50,'Daily Halba'!$H50,$M50:$T50)</f>
        <v>3808.8768</v>
      </c>
      <c r="V50" s="22"/>
      <c r="W50" s="62">
        <f>46.72+3</f>
        <v>49.72</v>
      </c>
      <c r="X50" s="62"/>
      <c r="Y50" s="62"/>
      <c r="Z50" s="62">
        <v>10</v>
      </c>
      <c r="AA50" s="63"/>
      <c r="AB50" s="64">
        <f>25.5+37.68</f>
        <v>63.18</v>
      </c>
      <c r="AC50" s="64">
        <v>48.5</v>
      </c>
      <c r="AD50" s="64"/>
      <c r="AE50" s="65">
        <f t="shared" si="0"/>
        <v>111.68</v>
      </c>
      <c r="AF50" s="66"/>
      <c r="AG50" s="66"/>
      <c r="AH50" s="66"/>
      <c r="AI50" s="66"/>
      <c r="AJ50" s="66"/>
      <c r="AK50" s="66"/>
      <c r="AL50" s="66"/>
      <c r="AM50" s="66"/>
      <c r="AN50" s="67">
        <f t="shared" si="1"/>
        <v>0</v>
      </c>
      <c r="AO50" s="66"/>
      <c r="AP50" s="68">
        <f t="shared" si="2"/>
        <v>171.4</v>
      </c>
      <c r="AQ50" s="69"/>
      <c r="AR50" s="22"/>
      <c r="AS50" s="70">
        <f>'Daily Halba'!$U50-'Daily Halba'!$AP50</f>
        <v>3637.4767999999999</v>
      </c>
      <c r="AT50" s="5"/>
      <c r="AU50" s="5"/>
      <c r="AV50" s="5"/>
    </row>
    <row r="51" spans="1:48" ht="12.75" customHeight="1" x14ac:dyDescent="0.3">
      <c r="A51" s="49">
        <v>46000</v>
      </c>
      <c r="B51" s="50" t="s">
        <v>24</v>
      </c>
      <c r="C51" s="51">
        <f>'ODOMETERS Halba'!J47</f>
        <v>767</v>
      </c>
      <c r="D51" s="52">
        <v>0.81489999999999996</v>
      </c>
      <c r="E51" s="53">
        <f>'Daily Halba'!$C51*'Daily Halba'!$D51</f>
        <v>625.02829999999994</v>
      </c>
      <c r="F51" s="54">
        <f>'ODOMETERS Halba'!K47</f>
        <v>395</v>
      </c>
      <c r="G51" s="52">
        <v>0.81489999999999996</v>
      </c>
      <c r="H51" s="53">
        <f>'Daily Halba'!$F51*'Daily Halba'!$G51</f>
        <v>321.88549999999998</v>
      </c>
      <c r="I51" s="54">
        <f>'Daily Halba'!$C51+'Daily Halba'!$F51</f>
        <v>1162</v>
      </c>
      <c r="J51" s="55">
        <f>'Daily Halba'!$I51*'Daily Halba'!$G51</f>
        <v>946.91379999999992</v>
      </c>
      <c r="K51" s="56">
        <f>'ODOMETERS Halba'!L47</f>
        <v>134</v>
      </c>
      <c r="L51" s="57">
        <v>0.78480000000000005</v>
      </c>
      <c r="M51" s="58">
        <f>'Daily Halba'!$K51*'Daily Halba'!$L51</f>
        <v>105.1632</v>
      </c>
      <c r="N51" s="59">
        <v>14.36</v>
      </c>
      <c r="O51" s="59"/>
      <c r="P51" s="59"/>
      <c r="Q51" s="59"/>
      <c r="R51" s="59"/>
      <c r="S51" s="71">
        <v>100</v>
      </c>
      <c r="T51" s="71"/>
      <c r="U51" s="61">
        <f>SUM('Daily Halba'!$E51,'Daily Halba'!$H51,$M51:$T51)</f>
        <v>1166.4369999999999</v>
      </c>
      <c r="V51" s="22"/>
      <c r="W51" s="62">
        <v>45.57</v>
      </c>
      <c r="X51" s="62"/>
      <c r="Y51" s="62"/>
      <c r="Z51" s="62"/>
      <c r="AA51" s="63"/>
      <c r="AB51" s="64">
        <v>380</v>
      </c>
      <c r="AC51" s="64"/>
      <c r="AD51" s="64"/>
      <c r="AE51" s="65">
        <f t="shared" si="0"/>
        <v>380</v>
      </c>
      <c r="AF51" s="66"/>
      <c r="AG51" s="66"/>
      <c r="AH51" s="66"/>
      <c r="AI51" s="66"/>
      <c r="AJ51" s="66"/>
      <c r="AK51" s="66"/>
      <c r="AL51" s="66"/>
      <c r="AM51" s="66"/>
      <c r="AN51" s="67">
        <f t="shared" si="1"/>
        <v>0</v>
      </c>
      <c r="AO51" s="66"/>
      <c r="AP51" s="68">
        <f t="shared" si="2"/>
        <v>425.57</v>
      </c>
      <c r="AQ51" s="69"/>
      <c r="AR51" s="22"/>
      <c r="AS51" s="70">
        <f>'Daily Halba'!$U51-'Daily Halba'!$AP51</f>
        <v>740.86699999999996</v>
      </c>
      <c r="AT51" s="5"/>
      <c r="AU51" s="5"/>
      <c r="AV51" s="5"/>
    </row>
    <row r="52" spans="1:48" ht="12.75" customHeight="1" x14ac:dyDescent="0.3">
      <c r="A52" s="49">
        <v>46000</v>
      </c>
      <c r="B52" s="50" t="s">
        <v>25</v>
      </c>
      <c r="C52" s="51">
        <f>'ODOMETERS Halba'!J48</f>
        <v>867</v>
      </c>
      <c r="D52" s="52">
        <v>0.81159999999999999</v>
      </c>
      <c r="E52" s="53">
        <f>'Daily Halba'!$C52*'Daily Halba'!$D52</f>
        <v>703.65719999999999</v>
      </c>
      <c r="F52" s="54">
        <f>'ODOMETERS Halba'!K48</f>
        <v>585</v>
      </c>
      <c r="G52" s="52">
        <v>0.81159999999999999</v>
      </c>
      <c r="H52" s="53">
        <f>'Daily Halba'!$F52*'Daily Halba'!$G52</f>
        <v>474.786</v>
      </c>
      <c r="I52" s="54">
        <f>'Daily Halba'!$C52+'Daily Halba'!$F52</f>
        <v>1452</v>
      </c>
      <c r="J52" s="55">
        <f>'Daily Halba'!$I52*'Daily Halba'!$G52</f>
        <v>1178.4431999999999</v>
      </c>
      <c r="K52" s="56">
        <f>'ODOMETERS Halba'!L48</f>
        <v>249</v>
      </c>
      <c r="L52" s="57">
        <v>0.77480000000000004</v>
      </c>
      <c r="M52" s="58">
        <f>'Daily Halba'!$K52*'Daily Halba'!$L52</f>
        <v>192.92520000000002</v>
      </c>
      <c r="N52" s="59"/>
      <c r="O52" s="59">
        <v>10</v>
      </c>
      <c r="P52" s="59">
        <v>64</v>
      </c>
      <c r="Q52" s="59"/>
      <c r="R52" s="59">
        <v>31</v>
      </c>
      <c r="S52" s="71">
        <v>100</v>
      </c>
      <c r="T52" s="71">
        <v>7.52</v>
      </c>
      <c r="U52" s="61">
        <f>SUM('Daily Halba'!$E52,'Daily Halba'!$H52,$M52:$T52)</f>
        <v>1583.8883999999998</v>
      </c>
      <c r="V52" s="22"/>
      <c r="W52" s="62">
        <v>43.95</v>
      </c>
      <c r="X52" s="62"/>
      <c r="Y52" s="62">
        <v>109.56</v>
      </c>
      <c r="Z52" s="62">
        <v>-7</v>
      </c>
      <c r="AA52" s="63">
        <v>54</v>
      </c>
      <c r="AB52" s="64">
        <v>201</v>
      </c>
      <c r="AC52" s="64"/>
      <c r="AD52" s="64"/>
      <c r="AE52" s="65">
        <f t="shared" si="0"/>
        <v>255</v>
      </c>
      <c r="AF52" s="66"/>
      <c r="AG52" s="66">
        <v>83</v>
      </c>
      <c r="AH52" s="66"/>
      <c r="AI52" s="66">
        <v>10</v>
      </c>
      <c r="AJ52" s="66"/>
      <c r="AK52" s="66"/>
      <c r="AL52" s="66"/>
      <c r="AM52" s="66"/>
      <c r="AN52" s="67">
        <f t="shared" si="1"/>
        <v>93</v>
      </c>
      <c r="AO52" s="66"/>
      <c r="AP52" s="68">
        <f t="shared" si="2"/>
        <v>494.51</v>
      </c>
      <c r="AQ52" s="69"/>
      <c r="AR52" s="22"/>
      <c r="AS52" s="70">
        <f>'Daily Halba'!$U52-'Daily Halba'!$AP52</f>
        <v>1089.3783999999998</v>
      </c>
      <c r="AT52" s="5"/>
      <c r="AU52" s="5"/>
      <c r="AV52" s="5"/>
    </row>
    <row r="53" spans="1:48" ht="12.75" customHeight="1" x14ac:dyDescent="0.3">
      <c r="A53" s="49">
        <v>46001</v>
      </c>
      <c r="B53" s="50"/>
      <c r="C53" s="51">
        <f>'ODOMETERS Halba'!J49</f>
        <v>1603</v>
      </c>
      <c r="D53" s="52">
        <v>0.81159999999999999</v>
      </c>
      <c r="E53" s="53">
        <f>'Daily Halba'!$C53*'Daily Halba'!$D53</f>
        <v>1300.9947999999999</v>
      </c>
      <c r="F53" s="54">
        <f>'ODOMETERS Halba'!K49</f>
        <v>1885</v>
      </c>
      <c r="G53" s="52">
        <v>0.81159999999999999</v>
      </c>
      <c r="H53" s="53">
        <f>'Daily Halba'!$F53*'Daily Halba'!$G53</f>
        <v>1529.866</v>
      </c>
      <c r="I53" s="54">
        <f>'Daily Halba'!$C53+'Daily Halba'!$F53</f>
        <v>3488</v>
      </c>
      <c r="J53" s="55">
        <f>'Daily Halba'!$I53*'Daily Halba'!$G53</f>
        <v>2830.8607999999999</v>
      </c>
      <c r="K53" s="56">
        <f>'ODOMETERS Halba'!L49</f>
        <v>2023</v>
      </c>
      <c r="L53" s="57">
        <v>0.77480000000000004</v>
      </c>
      <c r="M53" s="58">
        <f>'Daily Halba'!$K53*'Daily Halba'!$L53</f>
        <v>1567.4204000000002</v>
      </c>
      <c r="N53" s="59">
        <v>14.86</v>
      </c>
      <c r="O53" s="59">
        <v>16.72</v>
      </c>
      <c r="P53" s="59">
        <v>64.099999999999994</v>
      </c>
      <c r="Q53" s="59"/>
      <c r="R53" s="59">
        <v>50</v>
      </c>
      <c r="S53" s="71">
        <f>894+748</f>
        <v>1642</v>
      </c>
      <c r="T53" s="71">
        <v>2.5</v>
      </c>
      <c r="U53" s="61">
        <f>SUM('Daily Halba'!$E53,'Daily Halba'!$H53,$M53:$T53)</f>
        <v>6188.4612000000006</v>
      </c>
      <c r="V53" s="22"/>
      <c r="W53" s="62">
        <f>26.14+1272+811.6</f>
        <v>2109.7400000000002</v>
      </c>
      <c r="X53" s="62"/>
      <c r="Y53" s="62">
        <v>46.26</v>
      </c>
      <c r="Z53" s="62"/>
      <c r="AA53" s="63"/>
      <c r="AB53" s="64">
        <v>28</v>
      </c>
      <c r="AC53" s="64"/>
      <c r="AD53" s="64"/>
      <c r="AE53" s="65">
        <f t="shared" si="0"/>
        <v>28</v>
      </c>
      <c r="AF53" s="66"/>
      <c r="AG53" s="66"/>
      <c r="AH53" s="66"/>
      <c r="AI53" s="66"/>
      <c r="AJ53" s="66"/>
      <c r="AK53" s="66"/>
      <c r="AL53" s="66"/>
      <c r="AM53" s="66"/>
      <c r="AN53" s="67">
        <f t="shared" si="1"/>
        <v>0</v>
      </c>
      <c r="AO53" s="66"/>
      <c r="AP53" s="68">
        <f t="shared" si="2"/>
        <v>2184.0000000000005</v>
      </c>
      <c r="AQ53" s="69"/>
      <c r="AR53" s="22"/>
      <c r="AS53" s="70">
        <f>'Daily Halba'!$U53-'Daily Halba'!$AP53</f>
        <v>4004.4612000000002</v>
      </c>
      <c r="AT53" s="5"/>
      <c r="AU53" s="5"/>
      <c r="AV53" s="5"/>
    </row>
    <row r="54" spans="1:48" ht="12.75" customHeight="1" x14ac:dyDescent="0.3">
      <c r="A54" s="49">
        <v>46002</v>
      </c>
      <c r="B54" s="50"/>
      <c r="C54" s="51">
        <f>'ODOMETERS Halba'!J50</f>
        <v>1530</v>
      </c>
      <c r="D54" s="52">
        <v>0.81159999999999999</v>
      </c>
      <c r="E54" s="53">
        <f>'Daily Halba'!$C54*'Daily Halba'!$D54</f>
        <v>1241.748</v>
      </c>
      <c r="F54" s="54">
        <f>'ODOMETERS Halba'!K50</f>
        <v>755</v>
      </c>
      <c r="G54" s="52">
        <v>0.81159999999999999</v>
      </c>
      <c r="H54" s="53">
        <f>'Daily Halba'!$F54*'Daily Halba'!$G54</f>
        <v>612.75800000000004</v>
      </c>
      <c r="I54" s="54">
        <f>'Daily Halba'!$C54+'Daily Halba'!$F54</f>
        <v>2285</v>
      </c>
      <c r="J54" s="55">
        <f>'Daily Halba'!$I54*'Daily Halba'!$G54</f>
        <v>1854.5060000000001</v>
      </c>
      <c r="K54" s="56">
        <f>'ODOMETERS Halba'!L50</f>
        <v>824</v>
      </c>
      <c r="L54" s="57">
        <v>0.77480000000000004</v>
      </c>
      <c r="M54" s="58">
        <f>'Daily Halba'!$K54*'Daily Halba'!$L54</f>
        <v>638.43520000000001</v>
      </c>
      <c r="N54" s="59">
        <v>12.82</v>
      </c>
      <c r="O54" s="59">
        <v>7.8</v>
      </c>
      <c r="P54" s="59">
        <v>89.74</v>
      </c>
      <c r="Q54" s="59"/>
      <c r="R54" s="59">
        <v>47</v>
      </c>
      <c r="S54" s="71">
        <v>1665.82</v>
      </c>
      <c r="T54" s="71">
        <v>18.39</v>
      </c>
      <c r="U54" s="61">
        <f>SUM('Daily Halba'!$E54,'Daily Halba'!$H54,$M54:$T54)</f>
        <v>4334.5112000000008</v>
      </c>
      <c r="V54" s="22"/>
      <c r="W54" s="62">
        <f>35+375</f>
        <v>410</v>
      </c>
      <c r="X54" s="62"/>
      <c r="Y54" s="62">
        <v>30.8</v>
      </c>
      <c r="Z54" s="62"/>
      <c r="AA54" s="63"/>
      <c r="AB54" s="64">
        <v>17</v>
      </c>
      <c r="AC54" s="64">
        <v>161</v>
      </c>
      <c r="AD54" s="64">
        <v>3152</v>
      </c>
      <c r="AE54" s="65">
        <f t="shared" si="0"/>
        <v>3330</v>
      </c>
      <c r="AF54" s="66"/>
      <c r="AG54" s="66"/>
      <c r="AH54" s="66"/>
      <c r="AI54" s="66"/>
      <c r="AJ54" s="66"/>
      <c r="AK54" s="66"/>
      <c r="AL54" s="66"/>
      <c r="AM54" s="66"/>
      <c r="AN54" s="67">
        <f t="shared" si="1"/>
        <v>0</v>
      </c>
      <c r="AO54" s="66"/>
      <c r="AP54" s="68">
        <f t="shared" si="2"/>
        <v>3770.8</v>
      </c>
      <c r="AQ54" s="69" t="s">
        <v>87</v>
      </c>
      <c r="AR54" s="22"/>
      <c r="AS54" s="70">
        <f>'Daily Halba'!$U54-'Daily Halba'!$AP54</f>
        <v>563.71120000000064</v>
      </c>
      <c r="AT54" s="5"/>
      <c r="AU54" s="5"/>
      <c r="AV54" s="5"/>
    </row>
    <row r="55" spans="1:48" ht="12.75" customHeight="1" x14ac:dyDescent="0.3">
      <c r="A55" s="49">
        <v>46003</v>
      </c>
      <c r="B55" s="50" t="s">
        <v>24</v>
      </c>
      <c r="C55" s="51">
        <f>'ODOMETERS Halba'!J51</f>
        <v>679</v>
      </c>
      <c r="D55" s="52">
        <v>0.81159999999999999</v>
      </c>
      <c r="E55" s="53">
        <f>'Daily Halba'!$C55*'Daily Halba'!$D55</f>
        <v>551.07640000000004</v>
      </c>
      <c r="F55" s="54">
        <f>'ODOMETERS Halba'!K51</f>
        <v>356</v>
      </c>
      <c r="G55" s="52">
        <v>0.81159999999999999</v>
      </c>
      <c r="H55" s="53">
        <f>'Daily Halba'!$F55*'Daily Halba'!$G55</f>
        <v>288.92959999999999</v>
      </c>
      <c r="I55" s="54">
        <f>'Daily Halba'!$C55+'Daily Halba'!$F55</f>
        <v>1035</v>
      </c>
      <c r="J55" s="55">
        <f>'Daily Halba'!$I55*'Daily Halba'!$G55</f>
        <v>840.00599999999997</v>
      </c>
      <c r="K55" s="56">
        <f>'ODOMETERS Halba'!L51</f>
        <v>199</v>
      </c>
      <c r="L55" s="57">
        <v>0.77480000000000004</v>
      </c>
      <c r="M55" s="58">
        <f>'Daily Halba'!$K55*'Daily Halba'!$L55</f>
        <v>154.18520000000001</v>
      </c>
      <c r="N55" s="59"/>
      <c r="O55" s="59">
        <v>5.57</v>
      </c>
      <c r="P55" s="59"/>
      <c r="Q55" s="59"/>
      <c r="R55" s="59"/>
      <c r="S55" s="71"/>
      <c r="T55" s="71"/>
      <c r="U55" s="61">
        <f>SUM('Daily Halba'!$E55,'Daily Halba'!$H55,$M55:$T55)</f>
        <v>999.76120000000014</v>
      </c>
      <c r="V55" s="22"/>
      <c r="W55" s="62">
        <v>44</v>
      </c>
      <c r="X55" s="62"/>
      <c r="Y55" s="62"/>
      <c r="Z55" s="62">
        <v>1</v>
      </c>
      <c r="AA55" s="63"/>
      <c r="AB55" s="64"/>
      <c r="AC55" s="64"/>
      <c r="AD55" s="64"/>
      <c r="AE55" s="65">
        <f t="shared" si="0"/>
        <v>0</v>
      </c>
      <c r="AF55" s="66"/>
      <c r="AG55" s="66">
        <v>150</v>
      </c>
      <c r="AH55" s="66"/>
      <c r="AI55" s="66">
        <v>5</v>
      </c>
      <c r="AJ55" s="66"/>
      <c r="AK55" s="66"/>
      <c r="AL55" s="66"/>
      <c r="AM55" s="66"/>
      <c r="AN55" s="67">
        <f t="shared" si="1"/>
        <v>155</v>
      </c>
      <c r="AO55" s="66"/>
      <c r="AP55" s="68">
        <f t="shared" si="2"/>
        <v>200</v>
      </c>
      <c r="AQ55" s="69"/>
      <c r="AR55" s="22"/>
      <c r="AS55" s="70">
        <f>'Daily Halba'!$U55-'Daily Halba'!$AP55</f>
        <v>799.76120000000014</v>
      </c>
      <c r="AT55" s="5"/>
      <c r="AU55" s="5"/>
      <c r="AV55" s="5"/>
    </row>
    <row r="56" spans="1:48" ht="12.75" customHeight="1" x14ac:dyDescent="0.3">
      <c r="A56" s="49">
        <v>46003</v>
      </c>
      <c r="B56" s="50" t="s">
        <v>25</v>
      </c>
      <c r="C56" s="51">
        <f>'ODOMETERS Halba'!J52</f>
        <v>2314</v>
      </c>
      <c r="D56" s="52">
        <v>0.80379999999999996</v>
      </c>
      <c r="E56" s="53">
        <f>'Daily Halba'!$C56*'Daily Halba'!$D56</f>
        <v>1859.9931999999999</v>
      </c>
      <c r="F56" s="54">
        <f>'ODOMETERS Halba'!K52</f>
        <v>573</v>
      </c>
      <c r="G56" s="52">
        <v>0.80379999999999996</v>
      </c>
      <c r="H56" s="53">
        <f>'Daily Halba'!$F56*'Daily Halba'!$G56</f>
        <v>460.57739999999995</v>
      </c>
      <c r="I56" s="54">
        <f>'Daily Halba'!$C56+'Daily Halba'!$F56</f>
        <v>2887</v>
      </c>
      <c r="J56" s="55">
        <f>'Daily Halba'!$I56*'Daily Halba'!$G56</f>
        <v>2320.5706</v>
      </c>
      <c r="K56" s="56">
        <f>'ODOMETERS Halba'!L52</f>
        <v>187</v>
      </c>
      <c r="L56" s="57">
        <v>0.752</v>
      </c>
      <c r="M56" s="58">
        <f>'Daily Halba'!$K56*'Daily Halba'!$L56</f>
        <v>140.624</v>
      </c>
      <c r="N56" s="59">
        <v>11.15</v>
      </c>
      <c r="O56" s="59">
        <v>21.18</v>
      </c>
      <c r="P56" s="59">
        <f>25.64*2</f>
        <v>51.28</v>
      </c>
      <c r="Q56" s="59"/>
      <c r="R56" s="59"/>
      <c r="S56" s="71">
        <v>1115</v>
      </c>
      <c r="T56" s="71">
        <v>3.34</v>
      </c>
      <c r="U56" s="61">
        <f>SUM('Daily Halba'!$E56,'Daily Halba'!$H56,$M56:$T56)</f>
        <v>3663.1446000000001</v>
      </c>
      <c r="V56" s="22"/>
      <c r="W56" s="62">
        <f>15+1205.7</f>
        <v>1220.7</v>
      </c>
      <c r="X56" s="62"/>
      <c r="Y56" s="62">
        <v>32.15</v>
      </c>
      <c r="Z56" s="62"/>
      <c r="AA56" s="63"/>
      <c r="AB56" s="64">
        <v>82.38</v>
      </c>
      <c r="AC56" s="64"/>
      <c r="AD56" s="64"/>
      <c r="AE56" s="65">
        <f t="shared" si="0"/>
        <v>82.38</v>
      </c>
      <c r="AF56" s="66"/>
      <c r="AG56" s="66"/>
      <c r="AH56" s="66"/>
      <c r="AI56" s="66">
        <v>5</v>
      </c>
      <c r="AJ56" s="66"/>
      <c r="AK56" s="66">
        <v>13.38</v>
      </c>
      <c r="AL56" s="66"/>
      <c r="AM56" s="66"/>
      <c r="AN56" s="67">
        <f t="shared" si="1"/>
        <v>18.380000000000003</v>
      </c>
      <c r="AO56" s="66"/>
      <c r="AP56" s="68">
        <f t="shared" si="2"/>
        <v>1353.6100000000001</v>
      </c>
      <c r="AQ56" s="69"/>
      <c r="AR56" s="22"/>
      <c r="AS56" s="70">
        <f>'Daily Halba'!$U56-'Daily Halba'!$AP56</f>
        <v>2309.5346</v>
      </c>
      <c r="AT56" s="5"/>
      <c r="AU56" s="5"/>
      <c r="AV56" s="5"/>
    </row>
    <row r="57" spans="1:48" ht="12.75" customHeight="1" x14ac:dyDescent="0.3">
      <c r="A57" s="49">
        <v>46004</v>
      </c>
      <c r="B57" s="50"/>
      <c r="C57" s="51">
        <f>'ODOMETERS Halba'!J53</f>
        <v>1722</v>
      </c>
      <c r="D57" s="52">
        <v>0.80379999999999996</v>
      </c>
      <c r="E57" s="53">
        <f>'Daily Halba'!$C57*'Daily Halba'!$D57</f>
        <v>1384.1435999999999</v>
      </c>
      <c r="F57" s="54">
        <f>'ODOMETERS Halba'!K53</f>
        <v>1083</v>
      </c>
      <c r="G57" s="52">
        <v>0.80379999999999996</v>
      </c>
      <c r="H57" s="53">
        <f>'Daily Halba'!$F57*'Daily Halba'!$G57</f>
        <v>870.5154</v>
      </c>
      <c r="I57" s="54">
        <f>'Daily Halba'!$C57+'Daily Halba'!$F57</f>
        <v>2805</v>
      </c>
      <c r="J57" s="55">
        <f>'Daily Halba'!$I57*'Daily Halba'!$G57</f>
        <v>2254.6590000000001</v>
      </c>
      <c r="K57" s="56">
        <f>'ODOMETERS Halba'!L53</f>
        <v>1445</v>
      </c>
      <c r="L57" s="57">
        <v>0.752</v>
      </c>
      <c r="M57" s="58">
        <f>'Daily Halba'!$K57*'Daily Halba'!$L57</f>
        <v>1086.6400000000001</v>
      </c>
      <c r="N57" s="59">
        <v>4.45</v>
      </c>
      <c r="O57" s="59">
        <v>20</v>
      </c>
      <c r="P57" s="59">
        <v>12.82</v>
      </c>
      <c r="Q57" s="59"/>
      <c r="R57" s="59">
        <v>133</v>
      </c>
      <c r="S57" s="71">
        <v>687</v>
      </c>
      <c r="T57" s="71">
        <v>6.35</v>
      </c>
      <c r="U57" s="61">
        <f>SUM('Daily Halba'!$E57,'Daily Halba'!$H57,$M57:$T57)</f>
        <v>4204.9189999999999</v>
      </c>
      <c r="V57" s="22"/>
      <c r="W57" s="62">
        <f>67+143.25+752</f>
        <v>962.25</v>
      </c>
      <c r="X57" s="62"/>
      <c r="Y57" s="62">
        <f>60.6+37.6</f>
        <v>98.2</v>
      </c>
      <c r="Z57" s="62"/>
      <c r="AA57" s="63"/>
      <c r="AB57" s="64">
        <v>49.7</v>
      </c>
      <c r="AC57" s="64"/>
      <c r="AD57" s="64"/>
      <c r="AE57" s="65">
        <f t="shared" si="0"/>
        <v>49.7</v>
      </c>
      <c r="AF57" s="66"/>
      <c r="AG57" s="66">
        <v>190</v>
      </c>
      <c r="AH57" s="66"/>
      <c r="AI57" s="66">
        <v>4</v>
      </c>
      <c r="AJ57" s="66"/>
      <c r="AK57" s="66"/>
      <c r="AL57" s="66"/>
      <c r="AM57" s="66"/>
      <c r="AN57" s="67">
        <f t="shared" si="1"/>
        <v>194</v>
      </c>
      <c r="AO57" s="66"/>
      <c r="AP57" s="68">
        <f t="shared" si="2"/>
        <v>1304.1500000000001</v>
      </c>
      <c r="AQ57" s="69"/>
      <c r="AR57" s="22"/>
      <c r="AS57" s="70">
        <f>'Daily Halba'!$U57-'Daily Halba'!$AP57</f>
        <v>2900.7689999999998</v>
      </c>
      <c r="AT57" s="5"/>
      <c r="AU57" s="5"/>
      <c r="AV57" s="5"/>
    </row>
    <row r="58" spans="1:48" ht="12.75" customHeight="1" x14ac:dyDescent="0.3">
      <c r="A58" s="49">
        <v>46005</v>
      </c>
      <c r="B58" s="77"/>
      <c r="C58" s="51">
        <f>'ODOMETERS Halba'!J54</f>
        <v>1420</v>
      </c>
      <c r="D58" s="52">
        <v>0.80379999999999996</v>
      </c>
      <c r="E58" s="53">
        <f>'Daily Halba'!$C58*'Daily Halba'!$D58</f>
        <v>1141.396</v>
      </c>
      <c r="F58" s="54">
        <f>'ODOMETERS Halba'!K54</f>
        <v>1568</v>
      </c>
      <c r="G58" s="52">
        <v>0.80379999999999996</v>
      </c>
      <c r="H58" s="53">
        <f>'Daily Halba'!$F58*'Daily Halba'!$G58</f>
        <v>1260.3583999999998</v>
      </c>
      <c r="I58" s="54">
        <f>'Daily Halba'!$C58+'Daily Halba'!$F58</f>
        <v>2988</v>
      </c>
      <c r="J58" s="55">
        <f>'Daily Halba'!$I58*'Daily Halba'!$G58</f>
        <v>2401.7543999999998</v>
      </c>
      <c r="K58" s="56">
        <f>'ODOMETERS Halba'!L54</f>
        <v>657</v>
      </c>
      <c r="L58" s="57">
        <v>0.752</v>
      </c>
      <c r="M58" s="58">
        <f>'Daily Halba'!$K58*'Daily Halba'!$L58</f>
        <v>494.06400000000002</v>
      </c>
      <c r="N58" s="59">
        <v>27.21</v>
      </c>
      <c r="O58" s="59">
        <v>24.52</v>
      </c>
      <c r="P58" s="59">
        <v>25.64</v>
      </c>
      <c r="Q58" s="59">
        <v>9</v>
      </c>
      <c r="R58" s="78"/>
      <c r="S58" s="71">
        <v>5</v>
      </c>
      <c r="T58" s="71">
        <v>45</v>
      </c>
      <c r="U58" s="61">
        <f>SUM('Daily Halba'!$E58,'Daily Halba'!$H58,$M58:$T58)</f>
        <v>3032.1883999999995</v>
      </c>
      <c r="V58" s="22"/>
      <c r="W58" s="62">
        <f>37+30+63+5.57</f>
        <v>135.57</v>
      </c>
      <c r="X58" s="62"/>
      <c r="Y58" s="62">
        <f>150.4+43.4+48.88</f>
        <v>242.68</v>
      </c>
      <c r="Z58" s="62"/>
      <c r="AA58" s="63"/>
      <c r="AB58" s="64"/>
      <c r="AC58" s="64"/>
      <c r="AD58" s="64"/>
      <c r="AE58" s="65">
        <f t="shared" si="0"/>
        <v>0</v>
      </c>
      <c r="AF58" s="66"/>
      <c r="AG58" s="66"/>
      <c r="AH58" s="66"/>
      <c r="AI58" s="66">
        <v>10</v>
      </c>
      <c r="AJ58" s="66"/>
      <c r="AK58" s="66"/>
      <c r="AL58" s="66">
        <v>1150</v>
      </c>
      <c r="AM58" s="66"/>
      <c r="AN58" s="67">
        <f t="shared" si="1"/>
        <v>1160</v>
      </c>
      <c r="AO58" s="66"/>
      <c r="AP58" s="68">
        <f t="shared" si="2"/>
        <v>1538.25</v>
      </c>
      <c r="AQ58" s="69" t="s">
        <v>88</v>
      </c>
      <c r="AR58" s="22"/>
      <c r="AS58" s="70">
        <f>'Daily Halba'!$U58-'Daily Halba'!$AP58</f>
        <v>1493.9383999999995</v>
      </c>
      <c r="AT58" s="5"/>
      <c r="AU58" s="5"/>
      <c r="AV58" s="5"/>
    </row>
    <row r="59" spans="1:48" ht="12.75" customHeight="1" x14ac:dyDescent="0.3">
      <c r="A59" s="49">
        <v>46006</v>
      </c>
      <c r="B59" s="77"/>
      <c r="C59" s="51">
        <f>'ODOMETERS Halba'!J55</f>
        <v>869</v>
      </c>
      <c r="D59" s="52">
        <v>0.80379999999999996</v>
      </c>
      <c r="E59" s="53">
        <f>'Daily Halba'!$C59*'Daily Halba'!$D59</f>
        <v>698.50220000000002</v>
      </c>
      <c r="F59" s="54">
        <f>'ODOMETERS Halba'!K55</f>
        <v>2001</v>
      </c>
      <c r="G59" s="52">
        <v>0.80379999999999996</v>
      </c>
      <c r="H59" s="53">
        <f>'Daily Halba'!$F59*'Daily Halba'!$G59</f>
        <v>1608.4037999999998</v>
      </c>
      <c r="I59" s="54">
        <f>'Daily Halba'!$C59+'Daily Halba'!$F59</f>
        <v>2870</v>
      </c>
      <c r="J59" s="55">
        <f>'Daily Halba'!$I59*'Daily Halba'!$G59</f>
        <v>2306.9059999999999</v>
      </c>
      <c r="K59" s="56">
        <f>'ODOMETERS Halba'!L55</f>
        <v>1162</v>
      </c>
      <c r="L59" s="57">
        <v>0.752</v>
      </c>
      <c r="M59" s="58">
        <f>'Daily Halba'!$K59*'Daily Halba'!$L59</f>
        <v>873.82399999999996</v>
      </c>
      <c r="N59" s="59">
        <v>6</v>
      </c>
      <c r="O59" s="59">
        <v>6.67</v>
      </c>
      <c r="P59" s="59">
        <v>25.64</v>
      </c>
      <c r="Q59" s="59"/>
      <c r="R59" s="59">
        <v>124</v>
      </c>
      <c r="S59" s="71">
        <v>1320</v>
      </c>
      <c r="T59" s="71">
        <v>37.9</v>
      </c>
      <c r="U59" s="61">
        <f>SUM('Daily Halba'!$E59,'Daily Halba'!$H59,$M59:$T59)</f>
        <v>4700.9399999999996</v>
      </c>
      <c r="V59" s="22"/>
      <c r="W59" s="62">
        <f>10+376</f>
        <v>386</v>
      </c>
      <c r="X59" s="62"/>
      <c r="Y59" s="62">
        <f>178.44+225.6</f>
        <v>404.03999999999996</v>
      </c>
      <c r="Z59" s="62"/>
      <c r="AA59" s="63"/>
      <c r="AB59" s="64">
        <v>118.17</v>
      </c>
      <c r="AC59" s="64">
        <v>285</v>
      </c>
      <c r="AD59" s="64"/>
      <c r="AE59" s="65">
        <f t="shared" si="0"/>
        <v>403.17</v>
      </c>
      <c r="AF59" s="66"/>
      <c r="AG59" s="66"/>
      <c r="AH59" s="66"/>
      <c r="AI59" s="66">
        <v>23</v>
      </c>
      <c r="AJ59" s="66"/>
      <c r="AK59" s="66"/>
      <c r="AL59" s="66">
        <v>31</v>
      </c>
      <c r="AM59" s="66"/>
      <c r="AN59" s="67">
        <f t="shared" si="1"/>
        <v>54</v>
      </c>
      <c r="AO59" s="66"/>
      <c r="AP59" s="68">
        <f t="shared" si="2"/>
        <v>1247.21</v>
      </c>
      <c r="AQ59" s="69" t="s">
        <v>89</v>
      </c>
      <c r="AR59" s="22"/>
      <c r="AS59" s="70">
        <f>'Daily Halba'!$U59-'Daily Halba'!$AP59</f>
        <v>3453.7299999999996</v>
      </c>
      <c r="AT59" s="5"/>
      <c r="AU59" s="5"/>
      <c r="AV59" s="5"/>
    </row>
    <row r="60" spans="1:48" ht="12.75" customHeight="1" x14ac:dyDescent="0.3">
      <c r="A60" s="49">
        <v>46007</v>
      </c>
      <c r="B60" s="77" t="s">
        <v>24</v>
      </c>
      <c r="C60" s="51">
        <f>'ODOMETERS Halba'!J56</f>
        <v>404</v>
      </c>
      <c r="D60" s="52">
        <v>0.80379999999999996</v>
      </c>
      <c r="E60" s="53">
        <f>'Daily Halba'!$C60*'Daily Halba'!$D60</f>
        <v>324.73519999999996</v>
      </c>
      <c r="F60" s="54">
        <f>'ODOMETERS Halba'!K56</f>
        <v>548</v>
      </c>
      <c r="G60" s="52">
        <v>0.80379999999999996</v>
      </c>
      <c r="H60" s="53">
        <f>'Daily Halba'!$F60*'Daily Halba'!$G60</f>
        <v>440.48239999999998</v>
      </c>
      <c r="I60" s="54">
        <f>'Daily Halba'!$C60+'Daily Halba'!$F60</f>
        <v>952</v>
      </c>
      <c r="J60" s="55">
        <f>'Daily Halba'!$I60*'Daily Halba'!$G60</f>
        <v>765.21759999999995</v>
      </c>
      <c r="K60" s="56">
        <f>'ODOMETERS Halba'!L56</f>
        <v>3183</v>
      </c>
      <c r="L60" s="57">
        <v>0.752</v>
      </c>
      <c r="M60" s="58">
        <f>'Daily Halba'!$K60*'Daily Halba'!$L60</f>
        <v>2393.616</v>
      </c>
      <c r="N60" s="59">
        <v>5.57</v>
      </c>
      <c r="O60" s="59"/>
      <c r="P60" s="59">
        <v>51.8</v>
      </c>
      <c r="Q60" s="59"/>
      <c r="R60" s="59"/>
      <c r="S60" s="71"/>
      <c r="T60" s="71">
        <v>5.8</v>
      </c>
      <c r="U60" s="61">
        <f>SUM('Daily Halba'!$E60,'Daily Halba'!$H60,$M60:$T60)</f>
        <v>3222.0036000000005</v>
      </c>
      <c r="V60" s="22"/>
      <c r="W60" s="62">
        <f>30+2256</f>
        <v>2286</v>
      </c>
      <c r="X60" s="62"/>
      <c r="Y60" s="62">
        <v>76.400000000000006</v>
      </c>
      <c r="Z60" s="62">
        <v>1</v>
      </c>
      <c r="AA60" s="63"/>
      <c r="AB60" s="64"/>
      <c r="AC60" s="64">
        <v>87</v>
      </c>
      <c r="AD60" s="64"/>
      <c r="AE60" s="65">
        <f t="shared" si="0"/>
        <v>87</v>
      </c>
      <c r="AF60" s="66"/>
      <c r="AG60" s="66"/>
      <c r="AH60" s="66"/>
      <c r="AI60" s="66">
        <v>10</v>
      </c>
      <c r="AJ60" s="66"/>
      <c r="AK60" s="66"/>
      <c r="AL60" s="66"/>
      <c r="AM60" s="66"/>
      <c r="AN60" s="67">
        <f t="shared" si="1"/>
        <v>10</v>
      </c>
      <c r="AO60" s="66"/>
      <c r="AP60" s="68">
        <f t="shared" si="2"/>
        <v>2460.4</v>
      </c>
      <c r="AQ60" s="69" t="s">
        <v>90</v>
      </c>
      <c r="AR60" s="22"/>
      <c r="AS60" s="70">
        <f>'Daily Halba'!$U60-'Daily Halba'!$AP60</f>
        <v>761.60360000000037</v>
      </c>
      <c r="AT60" s="5"/>
      <c r="AU60" s="5"/>
      <c r="AV60" s="5"/>
    </row>
    <row r="61" spans="1:48" ht="12.75" customHeight="1" x14ac:dyDescent="0.3">
      <c r="A61" s="49">
        <v>46007</v>
      </c>
      <c r="B61" s="77" t="s">
        <v>25</v>
      </c>
      <c r="C61" s="51">
        <f>'ODOMETERS Halba'!J57</f>
        <v>551</v>
      </c>
      <c r="D61" s="52">
        <v>0.79879999999999995</v>
      </c>
      <c r="E61" s="53">
        <f>'Daily Halba'!$C61*'Daily Halba'!$D61</f>
        <v>440.13879999999995</v>
      </c>
      <c r="F61" s="54">
        <f>'ODOMETERS Halba'!K57</f>
        <v>754</v>
      </c>
      <c r="G61" s="52">
        <v>0.79879999999999995</v>
      </c>
      <c r="H61" s="53">
        <f>'Daily Halba'!$F61*'Daily Halba'!$G61</f>
        <v>602.29520000000002</v>
      </c>
      <c r="I61" s="54">
        <f>'Daily Halba'!$C61+'Daily Halba'!$F61</f>
        <v>1305</v>
      </c>
      <c r="J61" s="55">
        <f>'Daily Halba'!$I61*'Daily Halba'!$G61</f>
        <v>1042.434</v>
      </c>
      <c r="K61" s="56">
        <f>'ODOMETERS Halba'!L57</f>
        <v>658</v>
      </c>
      <c r="L61" s="57">
        <v>0.73799999999999999</v>
      </c>
      <c r="M61" s="58">
        <f>'Daily Halba'!$K61*'Daily Halba'!$L61</f>
        <v>485.60399999999998</v>
      </c>
      <c r="N61" s="59">
        <v>27.78</v>
      </c>
      <c r="O61" s="59">
        <v>6.68</v>
      </c>
      <c r="P61" s="59">
        <f>27+13.5</f>
        <v>40.5</v>
      </c>
      <c r="Q61" s="78"/>
      <c r="R61" s="59">
        <v>79</v>
      </c>
      <c r="S61" s="71">
        <f>299+30</f>
        <v>329</v>
      </c>
      <c r="T61" s="71">
        <v>3.34</v>
      </c>
      <c r="U61" s="61">
        <f>SUM('Daily Halba'!$E61,'Daily Halba'!$H61,$M61:$T61)</f>
        <v>2014.338</v>
      </c>
      <c r="V61" s="22"/>
      <c r="W61" s="62">
        <f>15+295.5</f>
        <v>310.5</v>
      </c>
      <c r="X61" s="62"/>
      <c r="Y61" s="62">
        <f>39.14+33.21</f>
        <v>72.349999999999994</v>
      </c>
      <c r="Z61" s="62"/>
      <c r="AA61" s="63"/>
      <c r="AB61" s="64"/>
      <c r="AC61" s="64"/>
      <c r="AD61" s="64"/>
      <c r="AE61" s="65">
        <f t="shared" si="0"/>
        <v>0</v>
      </c>
      <c r="AF61" s="66"/>
      <c r="AG61" s="66"/>
      <c r="AH61" s="66"/>
      <c r="AI61" s="66"/>
      <c r="AJ61" s="66"/>
      <c r="AK61" s="66">
        <v>13.37</v>
      </c>
      <c r="AL61" s="66"/>
      <c r="AM61" s="66"/>
      <c r="AN61" s="67">
        <f t="shared" si="1"/>
        <v>13.37</v>
      </c>
      <c r="AO61" s="66">
        <v>1000</v>
      </c>
      <c r="AP61" s="68">
        <f t="shared" si="2"/>
        <v>1396.22</v>
      </c>
      <c r="AQ61" s="69"/>
      <c r="AR61" s="22"/>
      <c r="AS61" s="70">
        <f>'Daily Halba'!$U61-'Daily Halba'!$AP61</f>
        <v>618.11799999999994</v>
      </c>
      <c r="AT61" s="5"/>
      <c r="AU61" s="5"/>
      <c r="AV61" s="5"/>
    </row>
    <row r="62" spans="1:48" ht="12.75" customHeight="1" x14ac:dyDescent="0.3">
      <c r="A62" s="49">
        <v>46008</v>
      </c>
      <c r="B62" s="77"/>
      <c r="C62" s="51">
        <f>'ODOMETERS Halba'!J58</f>
        <v>1273</v>
      </c>
      <c r="D62" s="52">
        <v>0.79879999999999995</v>
      </c>
      <c r="E62" s="53">
        <f>'Daily Halba'!$C62*'Daily Halba'!$D62</f>
        <v>1016.8724</v>
      </c>
      <c r="F62" s="54">
        <f>'ODOMETERS Halba'!K58</f>
        <v>2276</v>
      </c>
      <c r="G62" s="52">
        <v>0.79879999999999995</v>
      </c>
      <c r="H62" s="53">
        <f>'Daily Halba'!$F62*'Daily Halba'!$G62</f>
        <v>1818.0688</v>
      </c>
      <c r="I62" s="54">
        <f>'Daily Halba'!$C62+'Daily Halba'!$F62</f>
        <v>3549</v>
      </c>
      <c r="J62" s="55">
        <f>'Daily Halba'!$I62*'Daily Halba'!$G62</f>
        <v>2834.9411999999998</v>
      </c>
      <c r="K62" s="56">
        <f>'ODOMETERS Halba'!L58</f>
        <v>586</v>
      </c>
      <c r="L62" s="57">
        <v>0.73799999999999999</v>
      </c>
      <c r="M62" s="58">
        <f>'Daily Halba'!$K62*'Daily Halba'!$L62</f>
        <v>432.46800000000002</v>
      </c>
      <c r="N62" s="78">
        <v>6.13</v>
      </c>
      <c r="O62" s="78">
        <v>14.49</v>
      </c>
      <c r="P62" s="78">
        <v>67.5</v>
      </c>
      <c r="Q62" s="78"/>
      <c r="R62" s="78">
        <v>51.86</v>
      </c>
      <c r="S62" s="71">
        <f>0.738*800+480*0.7988</f>
        <v>973.82399999999996</v>
      </c>
      <c r="T62" s="71">
        <v>2.78</v>
      </c>
      <c r="U62" s="61">
        <f>SUM('Daily Halba'!$E62,'Daily Halba'!$H62,$M62:$T62)</f>
        <v>4383.9931999999999</v>
      </c>
      <c r="V62" s="22"/>
      <c r="W62" s="62">
        <v>12.26</v>
      </c>
      <c r="X62" s="62">
        <f>798.8+973.824</f>
        <v>1772.6239999999998</v>
      </c>
      <c r="Y62" s="62">
        <v>23.97</v>
      </c>
      <c r="Z62" s="62"/>
      <c r="AA62" s="63"/>
      <c r="AB62" s="64"/>
      <c r="AC62" s="64"/>
      <c r="AD62" s="64"/>
      <c r="AE62" s="65">
        <f t="shared" si="0"/>
        <v>0</v>
      </c>
      <c r="AF62" s="66"/>
      <c r="AG62" s="66"/>
      <c r="AH62" s="66"/>
      <c r="AI62" s="66"/>
      <c r="AJ62" s="66"/>
      <c r="AK62" s="66"/>
      <c r="AL62" s="66"/>
      <c r="AM62" s="66"/>
      <c r="AN62" s="67">
        <f t="shared" si="1"/>
        <v>0</v>
      </c>
      <c r="AO62" s="66">
        <v>1000</v>
      </c>
      <c r="AP62" s="68">
        <f t="shared" si="2"/>
        <v>2808.8539999999998</v>
      </c>
      <c r="AQ62" s="69"/>
      <c r="AR62" s="22"/>
      <c r="AS62" s="70">
        <f>'Daily Halba'!$U62-'Daily Halba'!$AP62</f>
        <v>1575.1392000000001</v>
      </c>
      <c r="AT62" s="5"/>
      <c r="AU62" s="5"/>
      <c r="AV62" s="5"/>
    </row>
    <row r="63" spans="1:48" ht="12.75" customHeight="1" x14ac:dyDescent="0.3">
      <c r="A63" s="49">
        <v>46009</v>
      </c>
      <c r="B63" s="77"/>
      <c r="C63" s="51">
        <f>'ODOMETERS Halba'!J59</f>
        <v>1408</v>
      </c>
      <c r="D63" s="52">
        <v>0.79879999999999995</v>
      </c>
      <c r="E63" s="53">
        <f>'Daily Halba'!$C63*'Daily Halba'!$D63</f>
        <v>1124.7103999999999</v>
      </c>
      <c r="F63" s="54">
        <f>'ODOMETERS Halba'!K59</f>
        <v>1059</v>
      </c>
      <c r="G63" s="52">
        <v>0.79879999999999995</v>
      </c>
      <c r="H63" s="53">
        <f>'Daily Halba'!$F63*'Daily Halba'!$G63</f>
        <v>845.92919999999992</v>
      </c>
      <c r="I63" s="54">
        <f>'Daily Halba'!$C63+'Daily Halba'!$F63</f>
        <v>2467</v>
      </c>
      <c r="J63" s="55">
        <f>'Daily Halba'!$I63*'Daily Halba'!$G63</f>
        <v>1970.6396</v>
      </c>
      <c r="K63" s="56">
        <f>'ODOMETERS Halba'!L59</f>
        <v>327</v>
      </c>
      <c r="L63" s="57">
        <v>0.73799999999999999</v>
      </c>
      <c r="M63" s="58">
        <f>'Daily Halba'!$K63*'Daily Halba'!$L63</f>
        <v>241.32599999999999</v>
      </c>
      <c r="N63" s="71">
        <f>34.7+5+6.5</f>
        <v>46.2</v>
      </c>
      <c r="O63" s="71">
        <v>9</v>
      </c>
      <c r="P63" s="71">
        <v>66.88</v>
      </c>
      <c r="Q63" s="71"/>
      <c r="R63" s="71">
        <v>70</v>
      </c>
      <c r="S63" s="71"/>
      <c r="T63" s="71">
        <v>6.68</v>
      </c>
      <c r="U63" s="61">
        <f>SUM('Daily Halba'!$E63,'Daily Halba'!$H63,$M63:$T63)</f>
        <v>2410.7255999999998</v>
      </c>
      <c r="V63" s="22"/>
      <c r="W63" s="62">
        <v>23.34</v>
      </c>
      <c r="X63" s="62"/>
      <c r="Y63" s="62">
        <v>99.85</v>
      </c>
      <c r="Z63" s="62">
        <v>15</v>
      </c>
      <c r="AA63" s="63"/>
      <c r="AB63" s="64">
        <f>85+313</f>
        <v>398</v>
      </c>
      <c r="AC63" s="64">
        <v>127.5</v>
      </c>
      <c r="AD63" s="64"/>
      <c r="AE63" s="65">
        <f t="shared" si="0"/>
        <v>525.5</v>
      </c>
      <c r="AF63" s="66"/>
      <c r="AG63" s="66"/>
      <c r="AH63" s="66"/>
      <c r="AI63" s="66">
        <v>5.57</v>
      </c>
      <c r="AJ63" s="66"/>
      <c r="AK63" s="66"/>
      <c r="AL63" s="66"/>
      <c r="AM63" s="66"/>
      <c r="AN63" s="67">
        <f t="shared" si="1"/>
        <v>5.57</v>
      </c>
      <c r="AO63" s="66">
        <v>1000</v>
      </c>
      <c r="AP63" s="68">
        <f t="shared" si="2"/>
        <v>1669.2600000000002</v>
      </c>
      <c r="AQ63" s="69"/>
      <c r="AR63" s="22"/>
      <c r="AS63" s="70">
        <f>'Daily Halba'!$U63-'Daily Halba'!$AP63</f>
        <v>741.46559999999954</v>
      </c>
      <c r="AT63" s="5"/>
      <c r="AU63" s="5"/>
      <c r="AV63" s="5"/>
    </row>
    <row r="64" spans="1:48" ht="12.75" customHeight="1" x14ac:dyDescent="0.3">
      <c r="A64" s="49">
        <v>46010</v>
      </c>
      <c r="B64" s="77" t="s">
        <v>24</v>
      </c>
      <c r="C64" s="51">
        <f>'ODOMETERS Halba'!J60</f>
        <v>1182</v>
      </c>
      <c r="D64" s="52">
        <v>0.79879999999999995</v>
      </c>
      <c r="E64" s="53">
        <f>'Daily Halba'!$C64*'Daily Halba'!$D64</f>
        <v>944.18159999999989</v>
      </c>
      <c r="F64" s="54">
        <f>'ODOMETERS Halba'!K60</f>
        <v>211</v>
      </c>
      <c r="G64" s="52">
        <v>0.79879999999999995</v>
      </c>
      <c r="H64" s="53">
        <f>'Daily Halba'!$F64*'Daily Halba'!$G64</f>
        <v>168.54679999999999</v>
      </c>
      <c r="I64" s="54">
        <f>'Daily Halba'!$C64+'Daily Halba'!$F64</f>
        <v>1393</v>
      </c>
      <c r="J64" s="55">
        <f>'Daily Halba'!$I64*'Daily Halba'!$G64</f>
        <v>1112.7284</v>
      </c>
      <c r="K64" s="56">
        <f>'ODOMETERS Halba'!L60</f>
        <v>152</v>
      </c>
      <c r="L64" s="57">
        <v>0.73799999999999999</v>
      </c>
      <c r="M64" s="58">
        <f>'Daily Halba'!$K64*'Daily Halba'!$L64</f>
        <v>112.176</v>
      </c>
      <c r="N64" s="78"/>
      <c r="O64" s="71">
        <v>3</v>
      </c>
      <c r="P64" s="78"/>
      <c r="Q64" s="78"/>
      <c r="R64" s="78"/>
      <c r="S64" s="71"/>
      <c r="T64" s="71"/>
      <c r="U64" s="61">
        <f>SUM('Daily Halba'!$E64,'Daily Halba'!$H64,$M64:$T64)</f>
        <v>1227.9043999999999</v>
      </c>
      <c r="V64" s="22"/>
      <c r="W64" s="62">
        <v>40</v>
      </c>
      <c r="X64" s="79"/>
      <c r="Y64" s="62">
        <v>28.75</v>
      </c>
      <c r="Z64" s="62"/>
      <c r="AA64" s="63"/>
      <c r="AB64" s="64"/>
      <c r="AC64" s="64">
        <v>25.5</v>
      </c>
      <c r="AD64" s="64"/>
      <c r="AE64" s="65">
        <f t="shared" si="0"/>
        <v>25.5</v>
      </c>
      <c r="AF64" s="66"/>
      <c r="AG64" s="66"/>
      <c r="AH64" s="66"/>
      <c r="AI64" s="66"/>
      <c r="AJ64" s="66"/>
      <c r="AK64" s="66"/>
      <c r="AL64" s="66"/>
      <c r="AM64" s="66"/>
      <c r="AN64" s="67">
        <f t="shared" si="1"/>
        <v>0</v>
      </c>
      <c r="AO64" s="66"/>
      <c r="AP64" s="68">
        <f t="shared" si="2"/>
        <v>94.25</v>
      </c>
      <c r="AQ64" s="80"/>
      <c r="AR64" s="22"/>
      <c r="AS64" s="70">
        <f>'Daily Halba'!$U64-'Daily Halba'!$AP64</f>
        <v>1133.6543999999999</v>
      </c>
      <c r="AT64" s="5"/>
      <c r="AU64" s="5"/>
      <c r="AV64" s="5"/>
    </row>
    <row r="65" spans="1:48" ht="12.75" customHeight="1" x14ac:dyDescent="0.3">
      <c r="A65" s="49">
        <v>46010</v>
      </c>
      <c r="B65" s="77" t="s">
        <v>25</v>
      </c>
      <c r="C65" s="51">
        <f>'ODOMETERS Halba'!J61</f>
        <v>1068</v>
      </c>
      <c r="D65" s="52">
        <v>0.78480000000000005</v>
      </c>
      <c r="E65" s="53">
        <f>'Daily Halba'!$C65*'Daily Halba'!$D65</f>
        <v>838.16640000000007</v>
      </c>
      <c r="F65" s="54">
        <f>'ODOMETERS Halba'!K61</f>
        <v>228</v>
      </c>
      <c r="G65" s="52">
        <v>0.78480000000000005</v>
      </c>
      <c r="H65" s="53">
        <f>'Daily Halba'!$F65*'Daily Halba'!$G65</f>
        <v>178.93440000000001</v>
      </c>
      <c r="I65" s="54">
        <f>'Daily Halba'!$C65+'Daily Halba'!$F65</f>
        <v>1296</v>
      </c>
      <c r="J65" s="55">
        <f>'Daily Halba'!$I65*'Daily Halba'!$G65</f>
        <v>1017.1008</v>
      </c>
      <c r="K65" s="56">
        <f>'ODOMETERS Halba'!L61</f>
        <v>635</v>
      </c>
      <c r="L65" s="57">
        <v>0.72299999999999998</v>
      </c>
      <c r="M65" s="58">
        <f>'Daily Halba'!$K65*'Daily Halba'!$L65</f>
        <v>459.10499999999996</v>
      </c>
      <c r="N65" s="71"/>
      <c r="O65" s="71">
        <v>10</v>
      </c>
      <c r="P65" s="59">
        <f>1200000/89700</f>
        <v>13.377926421404682</v>
      </c>
      <c r="Q65" s="71"/>
      <c r="R65" s="71"/>
      <c r="S65" s="71"/>
      <c r="T65" s="71">
        <v>13.82</v>
      </c>
      <c r="U65" s="61">
        <f>SUM('Daily Halba'!$E65,'Daily Halba'!$H65,$M65:$T65)</f>
        <v>1513.4037264214046</v>
      </c>
      <c r="V65" s="22"/>
      <c r="W65" s="62">
        <f>56.29+135-117</f>
        <v>74.289999999999992</v>
      </c>
      <c r="X65" s="62"/>
      <c r="Y65" s="62">
        <f>47.08+292.8</f>
        <v>339.88</v>
      </c>
      <c r="Z65" s="62"/>
      <c r="AA65" s="63"/>
      <c r="AB65" s="64"/>
      <c r="AC65" s="64"/>
      <c r="AD65" s="64"/>
      <c r="AE65" s="65">
        <f t="shared" si="0"/>
        <v>0</v>
      </c>
      <c r="AF65" s="66"/>
      <c r="AG65" s="66">
        <v>100</v>
      </c>
      <c r="AH65" s="66"/>
      <c r="AI65" s="66">
        <v>7</v>
      </c>
      <c r="AJ65" s="66"/>
      <c r="AK65" s="66">
        <v>10</v>
      </c>
      <c r="AL65" s="66"/>
      <c r="AM65" s="66"/>
      <c r="AN65" s="67">
        <f t="shared" si="1"/>
        <v>117</v>
      </c>
      <c r="AO65" s="66"/>
      <c r="AP65" s="68">
        <f t="shared" si="2"/>
        <v>531.16999999999996</v>
      </c>
      <c r="AQ65" s="69"/>
      <c r="AR65" s="22"/>
      <c r="AS65" s="70">
        <f>'Daily Halba'!$U65-'Daily Halba'!$AP65</f>
        <v>982.23372642140464</v>
      </c>
      <c r="AT65" s="5"/>
      <c r="AU65" s="5"/>
      <c r="AV65" s="5"/>
    </row>
    <row r="66" spans="1:48" ht="12.75" customHeight="1" x14ac:dyDescent="0.3">
      <c r="A66" s="49">
        <v>46011</v>
      </c>
      <c r="B66" s="77"/>
      <c r="C66" s="51">
        <f>'ODOMETERS Halba'!J62</f>
        <v>2158</v>
      </c>
      <c r="D66" s="52">
        <v>0.78480000000000005</v>
      </c>
      <c r="E66" s="53">
        <f>'Daily Halba'!$C66*'Daily Halba'!$D66</f>
        <v>1693.5984000000001</v>
      </c>
      <c r="F66" s="54">
        <f>'ODOMETERS Halba'!K62</f>
        <v>1045</v>
      </c>
      <c r="G66" s="52">
        <v>0.78480000000000005</v>
      </c>
      <c r="H66" s="53">
        <f>'Daily Halba'!$F66*'Daily Halba'!$G66</f>
        <v>820.1160000000001</v>
      </c>
      <c r="I66" s="54">
        <f>'Daily Halba'!$C66+'Daily Halba'!$F66</f>
        <v>3203</v>
      </c>
      <c r="J66" s="55">
        <f>'Daily Halba'!$I66*'Daily Halba'!$G66</f>
        <v>2513.7144000000003</v>
      </c>
      <c r="K66" s="56">
        <f>'ODOMETERS Halba'!L62</f>
        <v>2956</v>
      </c>
      <c r="L66" s="57">
        <v>0.72299999999999998</v>
      </c>
      <c r="M66" s="58">
        <f>'Daily Halba'!$K66*'Daily Halba'!$L66</f>
        <v>2137.1880000000001</v>
      </c>
      <c r="N66" s="71">
        <v>18.260000000000002</v>
      </c>
      <c r="O66" s="71">
        <v>24.52</v>
      </c>
      <c r="P66" s="71">
        <v>26.75</v>
      </c>
      <c r="Q66" s="71"/>
      <c r="R66" s="71">
        <v>114</v>
      </c>
      <c r="S66" s="71">
        <f>1000+250*0.723</f>
        <v>1180.75</v>
      </c>
      <c r="T66" s="71">
        <v>4.18</v>
      </c>
      <c r="U66" s="61">
        <f>SUM('Daily Halba'!$E66,'Daily Halba'!$H66,$M66:$T66)</f>
        <v>6019.3624000000018</v>
      </c>
      <c r="V66" s="22"/>
      <c r="W66" s="62">
        <f>13.37+94+1780*0.723</f>
        <v>1394.31</v>
      </c>
      <c r="X66" s="62">
        <f>250*0.723+900*0.723</f>
        <v>831.44999999999993</v>
      </c>
      <c r="Y66" s="62">
        <v>54.93</v>
      </c>
      <c r="Z66" s="62">
        <v>15</v>
      </c>
      <c r="AA66" s="63"/>
      <c r="AB66" s="64">
        <v>130</v>
      </c>
      <c r="AC66" s="64"/>
      <c r="AD66" s="64"/>
      <c r="AE66" s="65">
        <f t="shared" si="0"/>
        <v>130</v>
      </c>
      <c r="AF66" s="66"/>
      <c r="AG66" s="66"/>
      <c r="AH66" s="66"/>
      <c r="AI66" s="66"/>
      <c r="AJ66" s="66">
        <f>130+300</f>
        <v>430</v>
      </c>
      <c r="AK66" s="66"/>
      <c r="AL66" s="66"/>
      <c r="AM66" s="66"/>
      <c r="AN66" s="67">
        <f t="shared" si="1"/>
        <v>430</v>
      </c>
      <c r="AO66" s="66"/>
      <c r="AP66" s="68">
        <f t="shared" si="2"/>
        <v>2855.6899999999996</v>
      </c>
      <c r="AQ66" s="69" t="s">
        <v>91</v>
      </c>
      <c r="AR66" s="22"/>
      <c r="AS66" s="70">
        <f>'Daily Halba'!$U66-'Daily Halba'!$AP66</f>
        <v>3163.6724000000022</v>
      </c>
      <c r="AT66" s="5"/>
      <c r="AU66" s="5"/>
      <c r="AV66" s="5"/>
    </row>
    <row r="67" spans="1:48" ht="12.75" customHeight="1" x14ac:dyDescent="0.3">
      <c r="A67" s="49">
        <v>46012</v>
      </c>
      <c r="B67" s="77"/>
      <c r="C67" s="51">
        <f>'ODOMETERS Halba'!J63</f>
        <v>875</v>
      </c>
      <c r="D67" s="52">
        <v>0.78480000000000005</v>
      </c>
      <c r="E67" s="53">
        <f>'Daily Halba'!$C67*'Daily Halba'!$D67</f>
        <v>686.7</v>
      </c>
      <c r="F67" s="54">
        <f>'ODOMETERS Halba'!K63</f>
        <v>2166</v>
      </c>
      <c r="G67" s="52">
        <v>0.78480000000000005</v>
      </c>
      <c r="H67" s="53">
        <f>'Daily Halba'!$F67*'Daily Halba'!$G67</f>
        <v>1699.8768</v>
      </c>
      <c r="I67" s="54">
        <f>'Daily Halba'!$C67+'Daily Halba'!$F67</f>
        <v>3041</v>
      </c>
      <c r="J67" s="55">
        <f>'Daily Halba'!$I67*'Daily Halba'!$G67</f>
        <v>2386.5768000000003</v>
      </c>
      <c r="K67" s="56">
        <f>'ODOMETERS Halba'!L63</f>
        <v>298</v>
      </c>
      <c r="L67" s="57">
        <v>0.72299999999999998</v>
      </c>
      <c r="M67" s="58">
        <f>'Daily Halba'!$K67*'Daily Halba'!$L67</f>
        <v>215.45399999999998</v>
      </c>
      <c r="N67" s="71">
        <v>5.57</v>
      </c>
      <c r="O67" s="71">
        <v>25.64</v>
      </c>
      <c r="P67" s="71">
        <v>40</v>
      </c>
      <c r="Q67" s="71"/>
      <c r="R67" s="71">
        <v>88</v>
      </c>
      <c r="S67" s="71"/>
      <c r="T67" s="71">
        <v>7.52</v>
      </c>
      <c r="U67" s="61">
        <f>SUM('Daily Halba'!$E67,'Daily Halba'!$H67,$M67:$T67)</f>
        <v>2768.7608</v>
      </c>
      <c r="V67" s="22"/>
      <c r="W67" s="62">
        <v>21.14</v>
      </c>
      <c r="X67" s="62"/>
      <c r="Y67" s="62">
        <v>91.82</v>
      </c>
      <c r="Z67" s="62">
        <v>-5</v>
      </c>
      <c r="AA67" s="63"/>
      <c r="AB67" s="64"/>
      <c r="AC67" s="64"/>
      <c r="AD67" s="64"/>
      <c r="AE67" s="65">
        <f t="shared" si="0"/>
        <v>0</v>
      </c>
      <c r="AF67" s="66"/>
      <c r="AG67" s="66"/>
      <c r="AH67" s="66"/>
      <c r="AI67" s="66"/>
      <c r="AJ67" s="66"/>
      <c r="AK67" s="66"/>
      <c r="AL67" s="66"/>
      <c r="AM67" s="66"/>
      <c r="AN67" s="67">
        <f t="shared" si="1"/>
        <v>0</v>
      </c>
      <c r="AO67" s="66"/>
      <c r="AP67" s="68">
        <f t="shared" si="2"/>
        <v>107.96</v>
      </c>
      <c r="AQ67" s="69"/>
      <c r="AR67" s="22"/>
      <c r="AS67" s="70">
        <f>'Daily Halba'!$U67-'Daily Halba'!$AP67</f>
        <v>2660.8008</v>
      </c>
      <c r="AT67" s="5"/>
      <c r="AU67" s="5"/>
      <c r="AV67" s="5"/>
    </row>
    <row r="68" spans="1:48" ht="12.75" customHeight="1" x14ac:dyDescent="0.3">
      <c r="A68" s="49">
        <v>46013</v>
      </c>
      <c r="B68" s="77"/>
      <c r="C68" s="51">
        <f>'ODOMETERS Halba'!J64</f>
        <v>2371</v>
      </c>
      <c r="D68" s="52">
        <v>0.78480000000000005</v>
      </c>
      <c r="E68" s="53">
        <f>'Daily Halba'!$C68*'Daily Halba'!$D68</f>
        <v>1860.7608</v>
      </c>
      <c r="F68" s="54">
        <f>'ODOMETERS Halba'!K64</f>
        <v>901</v>
      </c>
      <c r="G68" s="52">
        <v>0.78480000000000005</v>
      </c>
      <c r="H68" s="53">
        <f>'Daily Halba'!$F68*'Daily Halba'!$G68</f>
        <v>707.10480000000007</v>
      </c>
      <c r="I68" s="54">
        <f>'Daily Halba'!$C68+'Daily Halba'!$F68</f>
        <v>3272</v>
      </c>
      <c r="J68" s="55">
        <f>'Daily Halba'!$I68*'Daily Halba'!$G68</f>
        <v>2567.8656000000001</v>
      </c>
      <c r="K68" s="56">
        <f>'ODOMETERS Halba'!L64</f>
        <v>3104</v>
      </c>
      <c r="L68" s="57">
        <v>0.72299999999999998</v>
      </c>
      <c r="M68" s="58">
        <f>'Daily Halba'!$K68*'Daily Halba'!$L68</f>
        <v>2244.192</v>
      </c>
      <c r="N68" s="71">
        <f>5+12+5.57+5.57</f>
        <v>28.14</v>
      </c>
      <c r="O68" s="71">
        <v>8.9</v>
      </c>
      <c r="P68" s="71">
        <f>6*1200/89.7</f>
        <v>80.267558528428097</v>
      </c>
      <c r="Q68" s="71"/>
      <c r="R68" s="71"/>
      <c r="S68" s="71">
        <f>67+490</f>
        <v>557</v>
      </c>
      <c r="T68" s="71">
        <v>5.85</v>
      </c>
      <c r="U68" s="61">
        <f>SUM('Daily Halba'!$E68,'Daily Halba'!$H68,$M68:$T68)</f>
        <v>5492.2151585284282</v>
      </c>
      <c r="V68" s="22"/>
      <c r="W68" s="62">
        <f>677.83+200+50+30+1700*0.723+800/89700</f>
        <v>2186.938918617614</v>
      </c>
      <c r="X68" s="62"/>
      <c r="Y68" s="62">
        <f>15.696+36.15</f>
        <v>51.845999999999997</v>
      </c>
      <c r="Z68" s="62">
        <v>10</v>
      </c>
      <c r="AA68" s="63"/>
      <c r="AB68" s="64">
        <f>51.5+7400/89.7</f>
        <v>133.99721293199553</v>
      </c>
      <c r="AC68" s="64">
        <v>153</v>
      </c>
      <c r="AD68" s="64"/>
      <c r="AE68" s="65">
        <f t="shared" si="0"/>
        <v>286.99721293199553</v>
      </c>
      <c r="AF68" s="66"/>
      <c r="AG68" s="66"/>
      <c r="AH68" s="66"/>
      <c r="AI68" s="66">
        <v>14.5</v>
      </c>
      <c r="AJ68" s="66"/>
      <c r="AK68" s="66"/>
      <c r="AL68" s="66"/>
      <c r="AM68" s="66"/>
      <c r="AN68" s="67">
        <f t="shared" si="1"/>
        <v>14.5</v>
      </c>
      <c r="AO68" s="66"/>
      <c r="AP68" s="68">
        <f t="shared" si="2"/>
        <v>2550.2821315496094</v>
      </c>
      <c r="AQ68" s="69"/>
      <c r="AR68" s="22"/>
      <c r="AS68" s="70">
        <f>'Daily Halba'!$U68-'Daily Halba'!$AP68</f>
        <v>2941.9330269788188</v>
      </c>
      <c r="AT68" s="5"/>
      <c r="AU68" s="5"/>
      <c r="AV68" s="5"/>
    </row>
    <row r="69" spans="1:48" ht="12.75" customHeight="1" x14ac:dyDescent="0.3">
      <c r="A69" s="49">
        <v>46014</v>
      </c>
      <c r="B69" s="77" t="s">
        <v>24</v>
      </c>
      <c r="C69" s="51">
        <f>'ODOMETERS Halba'!J65</f>
        <v>1445</v>
      </c>
      <c r="D69" s="52">
        <v>0.78480000000000005</v>
      </c>
      <c r="E69" s="53">
        <f>'Daily Halba'!$C69*'Daily Halba'!$D69</f>
        <v>1134.0360000000001</v>
      </c>
      <c r="F69" s="54">
        <f>'ODOMETERS Halba'!K65</f>
        <v>61</v>
      </c>
      <c r="G69" s="52">
        <v>0.78480000000000005</v>
      </c>
      <c r="H69" s="53">
        <f>'Daily Halba'!$F69*'Daily Halba'!$G69</f>
        <v>47.872800000000005</v>
      </c>
      <c r="I69" s="54">
        <f>'Daily Halba'!$C69+'Daily Halba'!$F69</f>
        <v>1506</v>
      </c>
      <c r="J69" s="55">
        <f>'Daily Halba'!$I69*'Daily Halba'!$G69</f>
        <v>1181.9088000000002</v>
      </c>
      <c r="K69" s="56">
        <f>'ODOMETERS Halba'!L65</f>
        <v>315</v>
      </c>
      <c r="L69" s="57">
        <v>0.72299999999999998</v>
      </c>
      <c r="M69" s="58">
        <f>'Daily Halba'!$K69*'Daily Halba'!$L69</f>
        <v>227.745</v>
      </c>
      <c r="N69" s="71">
        <v>6.5</v>
      </c>
      <c r="O69" s="71">
        <v>7.8</v>
      </c>
      <c r="P69" s="71">
        <v>13.37</v>
      </c>
      <c r="Q69" s="71">
        <v>5</v>
      </c>
      <c r="R69" s="71"/>
      <c r="S69" s="71">
        <v>192</v>
      </c>
      <c r="T69" s="71"/>
      <c r="U69" s="61">
        <f>SUM('Daily Halba'!$E69,'Daily Halba'!$H69,$M69:$T69)</f>
        <v>1634.3237999999999</v>
      </c>
      <c r="V69" s="22"/>
      <c r="W69" s="62"/>
      <c r="X69" s="62"/>
      <c r="Y69" s="62"/>
      <c r="Z69" s="62">
        <v>5</v>
      </c>
      <c r="AA69" s="63"/>
      <c r="AB69" s="64"/>
      <c r="AC69" s="64">
        <v>25.5</v>
      </c>
      <c r="AD69" s="64"/>
      <c r="AE69" s="65">
        <f t="shared" si="0"/>
        <v>25.5</v>
      </c>
      <c r="AF69" s="66"/>
      <c r="AG69" s="66"/>
      <c r="AH69" s="66"/>
      <c r="AI69" s="66"/>
      <c r="AJ69" s="66"/>
      <c r="AK69" s="66"/>
      <c r="AL69" s="66"/>
      <c r="AM69" s="66"/>
      <c r="AN69" s="67">
        <f t="shared" si="1"/>
        <v>0</v>
      </c>
      <c r="AO69" s="66"/>
      <c r="AP69" s="68">
        <f t="shared" si="2"/>
        <v>30.5</v>
      </c>
      <c r="AQ69" s="69"/>
      <c r="AR69" s="22"/>
      <c r="AS69" s="70">
        <f>'Daily Halba'!$U69-'Daily Halba'!$AP69</f>
        <v>1603.8237999999999</v>
      </c>
      <c r="AT69" s="5"/>
      <c r="AU69" s="5"/>
      <c r="AV69" s="5"/>
    </row>
    <row r="70" spans="1:48" ht="12.75" customHeight="1" x14ac:dyDescent="0.3">
      <c r="A70" s="49">
        <v>46014</v>
      </c>
      <c r="B70" s="77" t="s">
        <v>25</v>
      </c>
      <c r="C70" s="51">
        <f>'ODOMETERS Halba'!J66</f>
        <v>557</v>
      </c>
      <c r="D70" s="52">
        <v>0.77149999999999996</v>
      </c>
      <c r="E70" s="53">
        <f>'Daily Halba'!$C70*'Daily Halba'!$D70</f>
        <v>429.72549999999995</v>
      </c>
      <c r="F70" s="54">
        <f>'ODOMETERS Halba'!K66</f>
        <v>965</v>
      </c>
      <c r="G70" s="52">
        <v>0.77149999999999996</v>
      </c>
      <c r="H70" s="53">
        <f>'Daily Halba'!$F70*'Daily Halba'!$G70</f>
        <v>744.49749999999995</v>
      </c>
      <c r="I70" s="54">
        <f>'Daily Halba'!$C70+'Daily Halba'!$F70</f>
        <v>1522</v>
      </c>
      <c r="J70" s="55">
        <f>'Daily Halba'!$I70*'Daily Halba'!$G70</f>
        <v>1174.223</v>
      </c>
      <c r="K70" s="56">
        <f>'ODOMETERS Halba'!L66</f>
        <v>1003</v>
      </c>
      <c r="L70" s="57">
        <v>0.71350000000000002</v>
      </c>
      <c r="M70" s="58">
        <f>'Daily Halba'!$K70*'Daily Halba'!$L70</f>
        <v>715.64049999999997</v>
      </c>
      <c r="N70" s="71">
        <v>5.67</v>
      </c>
      <c r="O70" s="71"/>
      <c r="P70" s="71"/>
      <c r="Q70" s="71"/>
      <c r="R70" s="71">
        <v>78</v>
      </c>
      <c r="S70" s="71">
        <f>781+450</f>
        <v>1231</v>
      </c>
      <c r="T70" s="71"/>
      <c r="U70" s="61">
        <f>SUM('Daily Halba'!$E70,'Daily Halba'!$H70,$M70:$T70)</f>
        <v>3204.5335</v>
      </c>
      <c r="V70" s="22"/>
      <c r="W70" s="62">
        <f>21.68+428</f>
        <v>449.68</v>
      </c>
      <c r="X70" s="62"/>
      <c r="Y70" s="62"/>
      <c r="Z70" s="62">
        <v>-14</v>
      </c>
      <c r="AA70" s="63">
        <v>32</v>
      </c>
      <c r="AB70" s="64"/>
      <c r="AC70" s="64"/>
      <c r="AD70" s="64"/>
      <c r="AE70" s="65">
        <f t="shared" si="0"/>
        <v>32</v>
      </c>
      <c r="AF70" s="66"/>
      <c r="AG70" s="66"/>
      <c r="AH70" s="66"/>
      <c r="AI70" s="66"/>
      <c r="AJ70" s="66"/>
      <c r="AK70" s="66"/>
      <c r="AL70" s="66"/>
      <c r="AM70" s="66"/>
      <c r="AN70" s="67">
        <f t="shared" si="1"/>
        <v>0</v>
      </c>
      <c r="AO70" s="66"/>
      <c r="AP70" s="68">
        <f t="shared" si="2"/>
        <v>467.68</v>
      </c>
      <c r="AQ70" s="69"/>
      <c r="AR70" s="22"/>
      <c r="AS70" s="70">
        <f>'Daily Halba'!$U70-'Daily Halba'!$AP70</f>
        <v>2736.8535000000002</v>
      </c>
      <c r="AT70" s="5"/>
      <c r="AU70" s="5"/>
      <c r="AV70" s="5"/>
    </row>
    <row r="71" spans="1:48" ht="12.75" customHeight="1" x14ac:dyDescent="0.3">
      <c r="A71" s="49">
        <v>46015</v>
      </c>
      <c r="B71" s="77"/>
      <c r="C71" s="51">
        <f>'ODOMETERS Halba'!J67</f>
        <v>868</v>
      </c>
      <c r="D71" s="52">
        <v>0.77149999999999996</v>
      </c>
      <c r="E71" s="53">
        <f>'Daily Halba'!$C71*'Daily Halba'!$D71</f>
        <v>669.66199999999992</v>
      </c>
      <c r="F71" s="54">
        <f>'ODOMETERS Halba'!K67</f>
        <v>2547</v>
      </c>
      <c r="G71" s="52">
        <v>0.77149999999999996</v>
      </c>
      <c r="H71" s="53">
        <f>'Daily Halba'!$F71*'Daily Halba'!$G71</f>
        <v>1965.0104999999999</v>
      </c>
      <c r="I71" s="54">
        <f>'Daily Halba'!$C71+'Daily Halba'!$F71</f>
        <v>3415</v>
      </c>
      <c r="J71" s="55">
        <f>'Daily Halba'!$I71*'Daily Halba'!$G71</f>
        <v>2634.6724999999997</v>
      </c>
      <c r="K71" s="56">
        <f>'ODOMETERS Halba'!L67</f>
        <v>1127</v>
      </c>
      <c r="L71" s="57">
        <v>0.71350000000000002</v>
      </c>
      <c r="M71" s="58">
        <f>'Daily Halba'!$K71*'Daily Halba'!$L71</f>
        <v>804.11450000000002</v>
      </c>
      <c r="N71" s="71">
        <v>9.34</v>
      </c>
      <c r="O71" s="71">
        <v>20.5</v>
      </c>
      <c r="P71" s="71"/>
      <c r="Q71" s="71"/>
      <c r="R71" s="71">
        <v>36</v>
      </c>
      <c r="S71" s="71"/>
      <c r="T71" s="71">
        <v>28.34</v>
      </c>
      <c r="U71" s="61">
        <f>SUM('Daily Halba'!$E71,'Daily Halba'!$H71,$M71:$T71)</f>
        <v>3532.9670000000001</v>
      </c>
      <c r="V71" s="22"/>
      <c r="W71" s="62">
        <v>101.6</v>
      </c>
      <c r="X71" s="62"/>
      <c r="Y71" s="62">
        <f>61.72+338.91</f>
        <v>400.63</v>
      </c>
      <c r="Z71" s="62"/>
      <c r="AA71" s="63"/>
      <c r="AB71" s="64"/>
      <c r="AC71" s="64"/>
      <c r="AD71" s="64"/>
      <c r="AE71" s="65">
        <f t="shared" si="0"/>
        <v>0</v>
      </c>
      <c r="AF71" s="66"/>
      <c r="AG71" s="66">
        <v>100</v>
      </c>
      <c r="AH71" s="66"/>
      <c r="AI71" s="66"/>
      <c r="AJ71" s="66">
        <f>10+36</f>
        <v>46</v>
      </c>
      <c r="AK71" s="66"/>
      <c r="AL71" s="66"/>
      <c r="AM71" s="66"/>
      <c r="AN71" s="67">
        <f t="shared" si="1"/>
        <v>146</v>
      </c>
      <c r="AO71" s="66"/>
      <c r="AP71" s="68">
        <f t="shared" si="2"/>
        <v>648.23</v>
      </c>
      <c r="AQ71" s="69" t="s">
        <v>92</v>
      </c>
      <c r="AR71" s="22"/>
      <c r="AS71" s="70">
        <f>'Daily Halba'!$U71-'Daily Halba'!$AP71</f>
        <v>2884.7370000000001</v>
      </c>
      <c r="AT71" s="5"/>
      <c r="AU71" s="5"/>
      <c r="AV71" s="5"/>
    </row>
    <row r="72" spans="1:48" ht="12.75" customHeight="1" x14ac:dyDescent="0.3">
      <c r="A72" s="49">
        <v>46016</v>
      </c>
      <c r="B72" s="77"/>
      <c r="C72" s="51">
        <f>'ODOMETERS Halba'!J68</f>
        <v>2828</v>
      </c>
      <c r="D72" s="52">
        <v>0.77149999999999996</v>
      </c>
      <c r="E72" s="53">
        <f>'Daily Halba'!$C72*'Daily Halba'!$D72</f>
        <v>2181.8019999999997</v>
      </c>
      <c r="F72" s="54">
        <f>'ODOMETERS Halba'!K68</f>
        <v>379</v>
      </c>
      <c r="G72" s="52">
        <v>0.77149999999999996</v>
      </c>
      <c r="H72" s="53">
        <f>'Daily Halba'!$F72*'Daily Halba'!$G72</f>
        <v>292.39850000000001</v>
      </c>
      <c r="I72" s="54">
        <f>'Daily Halba'!$C72+'Daily Halba'!$F72</f>
        <v>3207</v>
      </c>
      <c r="J72" s="55">
        <f>'Daily Halba'!$I72*'Daily Halba'!$G72</f>
        <v>2474.2004999999999</v>
      </c>
      <c r="K72" s="56">
        <f>'ODOMETERS Halba'!L68</f>
        <v>255</v>
      </c>
      <c r="L72" s="57">
        <v>0.71350000000000002</v>
      </c>
      <c r="M72" s="58">
        <f>'Daily Halba'!$K72*'Daily Halba'!$L72</f>
        <v>181.9425</v>
      </c>
      <c r="N72" s="71">
        <v>0</v>
      </c>
      <c r="O72" s="71">
        <v>14</v>
      </c>
      <c r="P72" s="71">
        <v>40</v>
      </c>
      <c r="Q72" s="71"/>
      <c r="R72" s="71">
        <v>66</v>
      </c>
      <c r="S72" s="71">
        <f>850*0.7135</f>
        <v>606.47500000000002</v>
      </c>
      <c r="T72" s="71">
        <v>1.7</v>
      </c>
      <c r="U72" s="61">
        <f>SUM('Daily Halba'!$E72,'Daily Halba'!$H72,$M72:$T72)</f>
        <v>3384.3179999999998</v>
      </c>
      <c r="V72" s="22"/>
      <c r="W72" s="62">
        <v>140</v>
      </c>
      <c r="X72" s="62">
        <f>850*0.7135</f>
        <v>606.47500000000002</v>
      </c>
      <c r="Y72" s="62">
        <v>43.2</v>
      </c>
      <c r="Z72" s="62">
        <v>-15</v>
      </c>
      <c r="AA72" s="63"/>
      <c r="AB72" s="64"/>
      <c r="AC72" s="64">
        <v>38.700000000000003</v>
      </c>
      <c r="AD72" s="64"/>
      <c r="AE72" s="65">
        <f t="shared" si="0"/>
        <v>38.700000000000003</v>
      </c>
      <c r="AF72" s="66"/>
      <c r="AG72" s="66"/>
      <c r="AH72" s="66"/>
      <c r="AI72" s="66">
        <v>5.5</v>
      </c>
      <c r="AJ72" s="66"/>
      <c r="AK72" s="66">
        <v>20</v>
      </c>
      <c r="AL72" s="66"/>
      <c r="AM72" s="66"/>
      <c r="AN72" s="67">
        <f t="shared" si="1"/>
        <v>25.5</v>
      </c>
      <c r="AO72" s="66"/>
      <c r="AP72" s="68">
        <f t="shared" si="2"/>
        <v>838.87500000000011</v>
      </c>
      <c r="AQ72" s="69"/>
      <c r="AR72" s="22"/>
      <c r="AS72" s="70">
        <f>'Daily Halba'!$U72-'Daily Halba'!$AP72</f>
        <v>2545.4429999999998</v>
      </c>
      <c r="AT72" s="5"/>
      <c r="AU72" s="5"/>
      <c r="AV72" s="5"/>
    </row>
    <row r="73" spans="1:48" ht="12.75" customHeight="1" x14ac:dyDescent="0.3">
      <c r="A73" s="49">
        <v>46017</v>
      </c>
      <c r="B73" s="77" t="s">
        <v>24</v>
      </c>
      <c r="C73" s="51">
        <f>'ODOMETERS Halba'!J69</f>
        <v>1765</v>
      </c>
      <c r="D73" s="52">
        <v>0.77149999999999996</v>
      </c>
      <c r="E73" s="53">
        <f>'Daily Halba'!$C73*'Daily Halba'!$D73</f>
        <v>1361.6975</v>
      </c>
      <c r="F73" s="54">
        <f>'ODOMETERS Halba'!K69</f>
        <v>26</v>
      </c>
      <c r="G73" s="52">
        <v>0.77149999999999996</v>
      </c>
      <c r="H73" s="53">
        <f>'Daily Halba'!$F73*'Daily Halba'!$G73</f>
        <v>20.058999999999997</v>
      </c>
      <c r="I73" s="54">
        <f>'Daily Halba'!$C73+'Daily Halba'!$F73</f>
        <v>1791</v>
      </c>
      <c r="J73" s="55">
        <f>'Daily Halba'!$I73*'Daily Halba'!$G73</f>
        <v>1381.7565</v>
      </c>
      <c r="K73" s="56">
        <f>'ODOMETERS Halba'!L69</f>
        <v>525</v>
      </c>
      <c r="L73" s="57">
        <v>0.71350000000000002</v>
      </c>
      <c r="M73" s="58">
        <f>'Daily Halba'!$K73*'Daily Halba'!$L73</f>
        <v>374.58750000000003</v>
      </c>
      <c r="N73" s="71">
        <v>9.4700000000000006</v>
      </c>
      <c r="O73" s="71"/>
      <c r="P73" s="71">
        <v>66.88</v>
      </c>
      <c r="Q73" s="71"/>
      <c r="R73" s="71"/>
      <c r="S73" s="71">
        <f>750+342</f>
        <v>1092</v>
      </c>
      <c r="T73" s="71"/>
      <c r="U73" s="61">
        <f>SUM('Daily Halba'!$E73,'Daily Halba'!$H73,$M73:$T73)</f>
        <v>2924.694</v>
      </c>
      <c r="V73" s="22"/>
      <c r="W73" s="62"/>
      <c r="X73" s="62">
        <v>342</v>
      </c>
      <c r="Y73" s="62">
        <f>29.31+157+14</f>
        <v>200.31</v>
      </c>
      <c r="Z73" s="62">
        <v>21</v>
      </c>
      <c r="AA73" s="63"/>
      <c r="AB73" s="64"/>
      <c r="AC73" s="64">
        <v>64</v>
      </c>
      <c r="AD73" s="64"/>
      <c r="AE73" s="65">
        <f t="shared" si="0"/>
        <v>64</v>
      </c>
      <c r="AF73" s="66"/>
      <c r="AG73" s="66"/>
      <c r="AH73" s="66"/>
      <c r="AI73" s="66">
        <v>10</v>
      </c>
      <c r="AJ73" s="66"/>
      <c r="AK73" s="66"/>
      <c r="AL73" s="66"/>
      <c r="AM73" s="66"/>
      <c r="AN73" s="67">
        <f t="shared" si="1"/>
        <v>10</v>
      </c>
      <c r="AO73" s="66"/>
      <c r="AP73" s="68">
        <f t="shared" si="2"/>
        <v>637.30999999999995</v>
      </c>
      <c r="AQ73" s="69"/>
      <c r="AR73" s="22"/>
      <c r="AS73" s="70">
        <f>'Daily Halba'!$U73-'Daily Halba'!$AP73</f>
        <v>2287.384</v>
      </c>
      <c r="AT73" s="5"/>
      <c r="AU73" s="5"/>
      <c r="AV73" s="5"/>
    </row>
    <row r="74" spans="1:48" ht="12.75" customHeight="1" x14ac:dyDescent="0.3">
      <c r="A74" s="49">
        <v>46017</v>
      </c>
      <c r="B74" s="77" t="s">
        <v>25</v>
      </c>
      <c r="C74" s="51">
        <f>'ODOMETERS Halba'!J70</f>
        <v>953</v>
      </c>
      <c r="D74" s="52">
        <v>0.75590000000000002</v>
      </c>
      <c r="E74" s="53">
        <f>'Daily Halba'!$C74*'Daily Halba'!$D74</f>
        <v>720.37270000000001</v>
      </c>
      <c r="F74" s="54">
        <f>'ODOMETERS Halba'!K70</f>
        <v>315</v>
      </c>
      <c r="G74" s="52">
        <v>0.75590000000000002</v>
      </c>
      <c r="H74" s="53">
        <f>'Daily Halba'!$F74*'Daily Halba'!$G74</f>
        <v>238.10849999999999</v>
      </c>
      <c r="I74" s="54">
        <f>'Daily Halba'!$C74+'Daily Halba'!$F74</f>
        <v>1268</v>
      </c>
      <c r="J74" s="55">
        <f>'Daily Halba'!$I74*'Daily Halba'!$G74</f>
        <v>958.48120000000006</v>
      </c>
      <c r="K74" s="56">
        <f>'ODOMETERS Halba'!L70</f>
        <v>1757</v>
      </c>
      <c r="L74" s="57">
        <v>0.70279999999999998</v>
      </c>
      <c r="M74" s="58">
        <f>'Daily Halba'!$K74*'Daily Halba'!$L74</f>
        <v>1234.8196</v>
      </c>
      <c r="N74" s="71">
        <v>2.87</v>
      </c>
      <c r="O74" s="71">
        <v>3</v>
      </c>
      <c r="P74" s="71"/>
      <c r="Q74" s="71"/>
      <c r="R74" s="71">
        <v>75</v>
      </c>
      <c r="S74" s="71"/>
      <c r="T74" s="71">
        <v>1.67</v>
      </c>
      <c r="U74" s="61">
        <f>SUM('Daily Halba'!$E74,'Daily Halba'!$H74,$M74:$T74)</f>
        <v>2275.8407999999999</v>
      </c>
      <c r="V74" s="22"/>
      <c r="W74" s="62">
        <f>913.64+24+98.39</f>
        <v>1036.03</v>
      </c>
      <c r="X74" s="62"/>
      <c r="Y74" s="62">
        <v>15</v>
      </c>
      <c r="Z74" s="62"/>
      <c r="AA74" s="63"/>
      <c r="AB74" s="64"/>
      <c r="AC74" s="64"/>
      <c r="AD74" s="64"/>
      <c r="AE74" s="65">
        <f t="shared" si="0"/>
        <v>0</v>
      </c>
      <c r="AF74" s="66"/>
      <c r="AG74" s="66"/>
      <c r="AH74" s="66"/>
      <c r="AI74" s="66"/>
      <c r="AJ74" s="66"/>
      <c r="AK74" s="66"/>
      <c r="AL74" s="66"/>
      <c r="AM74" s="66"/>
      <c r="AN74" s="67">
        <f t="shared" si="1"/>
        <v>0</v>
      </c>
      <c r="AO74" s="66"/>
      <c r="AP74" s="68">
        <f t="shared" si="2"/>
        <v>1051.03</v>
      </c>
      <c r="AQ74" s="69"/>
      <c r="AR74" s="22"/>
      <c r="AS74" s="70">
        <f>'Daily Halba'!$U74-'Daily Halba'!$AP74</f>
        <v>1224.8108</v>
      </c>
      <c r="AT74" s="5"/>
      <c r="AU74" s="5"/>
      <c r="AV74" s="5"/>
    </row>
    <row r="75" spans="1:48" ht="12.75" customHeight="1" x14ac:dyDescent="0.3">
      <c r="A75" s="49">
        <v>46018</v>
      </c>
      <c r="B75" s="77"/>
      <c r="C75" s="51">
        <f>'ODOMETERS Halba'!J71</f>
        <v>1540</v>
      </c>
      <c r="D75" s="52">
        <v>0.75590000000000002</v>
      </c>
      <c r="E75" s="53">
        <f>'Daily Halba'!$C75*'Daily Halba'!$D75</f>
        <v>1164.086</v>
      </c>
      <c r="F75" s="54">
        <f>'ODOMETERS Halba'!K71</f>
        <v>772</v>
      </c>
      <c r="G75" s="52">
        <v>0.75590000000000002</v>
      </c>
      <c r="H75" s="53">
        <f>'Daily Halba'!$F75*'Daily Halba'!$G75</f>
        <v>583.5548</v>
      </c>
      <c r="I75" s="54">
        <f>'Daily Halba'!$C75+'Daily Halba'!$F75</f>
        <v>2312</v>
      </c>
      <c r="J75" s="55">
        <f>'Daily Halba'!$I75*'Daily Halba'!$G75</f>
        <v>1747.6408000000001</v>
      </c>
      <c r="K75" s="56">
        <f>'ODOMETERS Halba'!L71</f>
        <v>1094</v>
      </c>
      <c r="L75" s="57">
        <v>0.70279999999999998</v>
      </c>
      <c r="M75" s="58">
        <f>'Daily Halba'!$K75*'Daily Halba'!$L75</f>
        <v>768.86320000000001</v>
      </c>
      <c r="N75" s="71">
        <v>15</v>
      </c>
      <c r="O75" s="71"/>
      <c r="P75" s="71">
        <v>26.75</v>
      </c>
      <c r="Q75" s="71"/>
      <c r="R75" s="71">
        <v>50</v>
      </c>
      <c r="S75" s="71">
        <v>1235</v>
      </c>
      <c r="T75" s="71"/>
      <c r="U75" s="61">
        <f>SUM('Daily Halba'!$E75,'Daily Halba'!$H75,$M75:$T75)</f>
        <v>3843.2539999999999</v>
      </c>
      <c r="V75" s="22"/>
      <c r="W75" s="62">
        <f>20.06+316+492</f>
        <v>828.06</v>
      </c>
      <c r="X75" s="62"/>
      <c r="Y75" s="62"/>
      <c r="Z75" s="62">
        <v>20</v>
      </c>
      <c r="AA75" s="63"/>
      <c r="AB75" s="64">
        <v>293</v>
      </c>
      <c r="AC75" s="64"/>
      <c r="AD75" s="64"/>
      <c r="AE75" s="65">
        <f t="shared" si="0"/>
        <v>293</v>
      </c>
      <c r="AF75" s="66"/>
      <c r="AG75" s="66"/>
      <c r="AH75" s="66"/>
      <c r="AI75" s="66"/>
      <c r="AJ75" s="66"/>
      <c r="AK75" s="66"/>
      <c r="AL75" s="66"/>
      <c r="AM75" s="66"/>
      <c r="AN75" s="67">
        <f t="shared" si="1"/>
        <v>0</v>
      </c>
      <c r="AO75" s="66"/>
      <c r="AP75" s="68">
        <f t="shared" si="2"/>
        <v>1141.06</v>
      </c>
      <c r="AQ75" s="69"/>
      <c r="AR75" s="22"/>
      <c r="AS75" s="70">
        <f>'Daily Halba'!$U75-'Daily Halba'!$AP75</f>
        <v>2702.194</v>
      </c>
      <c r="AT75" s="5"/>
      <c r="AU75" s="5"/>
      <c r="AV75" s="5"/>
    </row>
    <row r="76" spans="1:48" ht="12.75" customHeight="1" x14ac:dyDescent="0.3">
      <c r="A76" s="49">
        <v>46019</v>
      </c>
      <c r="B76" s="77"/>
      <c r="C76" s="51">
        <f>'ODOMETERS Halba'!J72</f>
        <v>2234</v>
      </c>
      <c r="D76" s="52">
        <v>0.75590000000000002</v>
      </c>
      <c r="E76" s="53">
        <f>'Daily Halba'!$C76*'Daily Halba'!$D76</f>
        <v>1688.6806000000001</v>
      </c>
      <c r="F76" s="54">
        <f>'ODOMETERS Halba'!K72</f>
        <v>789</v>
      </c>
      <c r="G76" s="52">
        <v>0.75590000000000002</v>
      </c>
      <c r="H76" s="53">
        <f>'Daily Halba'!$F76*'Daily Halba'!$G76</f>
        <v>596.40510000000006</v>
      </c>
      <c r="I76" s="54">
        <f>'Daily Halba'!$C76+'Daily Halba'!$F76</f>
        <v>3023</v>
      </c>
      <c r="J76" s="55">
        <f>'Daily Halba'!$I76*'Daily Halba'!$G76</f>
        <v>2285.0857000000001</v>
      </c>
      <c r="K76" s="56">
        <f>'ODOMETERS Halba'!L72</f>
        <v>588</v>
      </c>
      <c r="L76" s="57">
        <v>0.70279999999999998</v>
      </c>
      <c r="M76" s="58">
        <f>'Daily Halba'!$K76*'Daily Halba'!$L76</f>
        <v>413.24639999999999</v>
      </c>
      <c r="N76" s="71">
        <f>6.5+6+8</f>
        <v>20.5</v>
      </c>
      <c r="O76" s="71">
        <f>1300/89.7</f>
        <v>14.492753623188406</v>
      </c>
      <c r="P76" s="71">
        <f>7*1200000/89700</f>
        <v>93.645484949832777</v>
      </c>
      <c r="Q76" s="71"/>
      <c r="R76" s="71"/>
      <c r="S76" s="71">
        <f>80</f>
        <v>80</v>
      </c>
      <c r="T76" s="71">
        <f>75/89.7</f>
        <v>0.83612040133779264</v>
      </c>
      <c r="U76" s="61">
        <f>SUM('Daily Halba'!$E76,'Daily Halba'!$H76,$M76:$T76)</f>
        <v>2907.806458974359</v>
      </c>
      <c r="V76" s="22"/>
      <c r="W76" s="62">
        <v>30</v>
      </c>
      <c r="X76" s="62"/>
      <c r="Y76" s="62">
        <f>(10+27+18)*0.7559</f>
        <v>41.5745</v>
      </c>
      <c r="Z76" s="62"/>
      <c r="AA76" s="63"/>
      <c r="AB76" s="64"/>
      <c r="AC76" s="64"/>
      <c r="AD76" s="64"/>
      <c r="AE76" s="65">
        <f t="shared" si="0"/>
        <v>0</v>
      </c>
      <c r="AF76" s="66"/>
      <c r="AG76" s="66"/>
      <c r="AH76" s="66"/>
      <c r="AI76" s="66">
        <f>500/89.7</f>
        <v>5.5741360089186172</v>
      </c>
      <c r="AJ76" s="66"/>
      <c r="AK76" s="66"/>
      <c r="AL76" s="66"/>
      <c r="AM76" s="66"/>
      <c r="AN76" s="67">
        <f t="shared" si="1"/>
        <v>5.5741360089186172</v>
      </c>
      <c r="AO76" s="66"/>
      <c r="AP76" s="68">
        <f t="shared" si="2"/>
        <v>77.148636008918615</v>
      </c>
      <c r="AQ76" s="69"/>
      <c r="AR76" s="22"/>
      <c r="AS76" s="70">
        <f>'Daily Halba'!$U76-'Daily Halba'!$AP76</f>
        <v>2830.6578229654406</v>
      </c>
      <c r="AT76" s="5"/>
      <c r="AU76" s="5"/>
      <c r="AV76" s="5"/>
    </row>
    <row r="77" spans="1:48" ht="12.75" customHeight="1" x14ac:dyDescent="0.3">
      <c r="A77" s="49">
        <v>46020</v>
      </c>
      <c r="B77" s="77"/>
      <c r="C77" s="51">
        <f>'ODOMETERS Halba'!J73</f>
        <v>1283</v>
      </c>
      <c r="D77" s="52">
        <v>0.75590000000000002</v>
      </c>
      <c r="E77" s="53">
        <f>'Daily Halba'!$C77*'Daily Halba'!$D77</f>
        <v>969.81970000000001</v>
      </c>
      <c r="F77" s="54">
        <f>'ODOMETERS Halba'!K73</f>
        <v>1977</v>
      </c>
      <c r="G77" s="52">
        <v>0.75590000000000002</v>
      </c>
      <c r="H77" s="53">
        <f>'Daily Halba'!$F77*'Daily Halba'!$G77</f>
        <v>1494.4143000000001</v>
      </c>
      <c r="I77" s="54">
        <f>'Daily Halba'!$C77+'Daily Halba'!$F77</f>
        <v>3260</v>
      </c>
      <c r="J77" s="55">
        <f>'Daily Halba'!$I77*'Daily Halba'!$G77</f>
        <v>2464.2339999999999</v>
      </c>
      <c r="K77" s="56">
        <f>'ODOMETERS Halba'!L73</f>
        <v>519</v>
      </c>
      <c r="L77" s="57">
        <v>0.70279999999999998</v>
      </c>
      <c r="M77" s="58">
        <f>'Daily Halba'!$K77*'Daily Halba'!$L77</f>
        <v>364.75319999999999</v>
      </c>
      <c r="N77" s="71">
        <v>26.92</v>
      </c>
      <c r="O77" s="71">
        <v>20</v>
      </c>
      <c r="P77" s="71">
        <v>26.75</v>
      </c>
      <c r="Q77" s="71"/>
      <c r="R77" s="71"/>
      <c r="S77" s="71">
        <v>20</v>
      </c>
      <c r="T77" s="71">
        <v>4.2300000000000004</v>
      </c>
      <c r="U77" s="61">
        <f>SUM('Daily Halba'!$E77,'Daily Halba'!$H77,$M77:$T77)</f>
        <v>2926.8872000000006</v>
      </c>
      <c r="V77" s="22"/>
      <c r="W77" s="62">
        <v>53.9</v>
      </c>
      <c r="X77" s="62"/>
      <c r="Y77" s="62">
        <v>37.799999999999997</v>
      </c>
      <c r="Z77" s="62">
        <v>7</v>
      </c>
      <c r="AA77" s="63"/>
      <c r="AB77" s="64"/>
      <c r="AC77" s="64">
        <v>129</v>
      </c>
      <c r="AD77" s="64"/>
      <c r="AE77" s="65">
        <f t="shared" si="0"/>
        <v>129</v>
      </c>
      <c r="AF77" s="66"/>
      <c r="AG77" s="66"/>
      <c r="AH77" s="66"/>
      <c r="AI77" s="66">
        <v>6.67</v>
      </c>
      <c r="AJ77" s="66"/>
      <c r="AK77" s="66"/>
      <c r="AL77" s="66"/>
      <c r="AM77" s="66"/>
      <c r="AN77" s="67">
        <f t="shared" si="1"/>
        <v>6.67</v>
      </c>
      <c r="AO77" s="66"/>
      <c r="AP77" s="68">
        <f t="shared" si="2"/>
        <v>234.36999999999998</v>
      </c>
      <c r="AQ77" s="69"/>
      <c r="AR77" s="22"/>
      <c r="AS77" s="70">
        <f>'Daily Halba'!$U77-'Daily Halba'!$AP77</f>
        <v>2692.5172000000007</v>
      </c>
      <c r="AT77" s="5"/>
      <c r="AU77" s="5"/>
      <c r="AV77" s="5"/>
    </row>
    <row r="78" spans="1:48" ht="12.75" customHeight="1" x14ac:dyDescent="0.3">
      <c r="A78" s="49">
        <v>46021</v>
      </c>
      <c r="B78" s="77" t="s">
        <v>24</v>
      </c>
      <c r="C78" s="51">
        <f>'ODOMETERS Halba'!J74</f>
        <v>742</v>
      </c>
      <c r="D78" s="52">
        <v>0.75590000000000002</v>
      </c>
      <c r="E78" s="53">
        <f>'Daily Halba'!$C78*'Daily Halba'!$D78</f>
        <v>560.87779999999998</v>
      </c>
      <c r="F78" s="54">
        <f>'ODOMETERS Halba'!K74</f>
        <v>631</v>
      </c>
      <c r="G78" s="52">
        <v>0.75590000000000002</v>
      </c>
      <c r="H78" s="53">
        <f>'Daily Halba'!$F78*'Daily Halba'!$G78</f>
        <v>476.97290000000004</v>
      </c>
      <c r="I78" s="54">
        <f>'Daily Halba'!$C78+'Daily Halba'!$F78</f>
        <v>1373</v>
      </c>
      <c r="J78" s="55">
        <f>'Daily Halba'!$I78*'Daily Halba'!$G78</f>
        <v>1037.8507</v>
      </c>
      <c r="K78" s="56">
        <f>'ODOMETERS Halba'!L74</f>
        <v>153</v>
      </c>
      <c r="L78" s="57">
        <v>0.70279999999999998</v>
      </c>
      <c r="M78" s="58">
        <f>'Daily Halba'!$K78*'Daily Halba'!$L78</f>
        <v>107.52839999999999</v>
      </c>
      <c r="N78" s="71"/>
      <c r="O78" s="71"/>
      <c r="P78" s="71">
        <v>71.8</v>
      </c>
      <c r="Q78" s="71">
        <v>5</v>
      </c>
      <c r="R78" s="71"/>
      <c r="S78" s="71">
        <v>2000</v>
      </c>
      <c r="T78" s="71">
        <v>1.57</v>
      </c>
      <c r="U78" s="61">
        <f>SUM('Daily Halba'!$E78,'Daily Halba'!$H78,$M78:$T78)</f>
        <v>3223.7491</v>
      </c>
      <c r="V78" s="22"/>
      <c r="W78" s="62">
        <v>20</v>
      </c>
      <c r="X78" s="62"/>
      <c r="Y78" s="62">
        <v>28.7</v>
      </c>
      <c r="Z78" s="62">
        <v>-5</v>
      </c>
      <c r="AA78" s="63"/>
      <c r="AB78" s="64"/>
      <c r="AC78" s="64"/>
      <c r="AD78" s="64"/>
      <c r="AE78" s="65">
        <f t="shared" si="0"/>
        <v>0</v>
      </c>
      <c r="AF78" s="66"/>
      <c r="AG78" s="66">
        <v>500</v>
      </c>
      <c r="AH78" s="66"/>
      <c r="AI78" s="66"/>
      <c r="AJ78" s="66"/>
      <c r="AK78" s="66"/>
      <c r="AL78" s="66"/>
      <c r="AM78" s="66"/>
      <c r="AN78" s="67">
        <f t="shared" si="1"/>
        <v>500</v>
      </c>
      <c r="AO78" s="66"/>
      <c r="AP78" s="68">
        <f t="shared" si="2"/>
        <v>543.70000000000005</v>
      </c>
      <c r="AQ78" s="69" t="s">
        <v>93</v>
      </c>
      <c r="AR78" s="22"/>
      <c r="AS78" s="70">
        <f>'Daily Halba'!$U78-'Daily Halba'!$AP78</f>
        <v>2680.0491000000002</v>
      </c>
      <c r="AT78" s="5"/>
      <c r="AU78" s="5"/>
      <c r="AV78" s="5"/>
    </row>
    <row r="79" spans="1:48" ht="12.75" customHeight="1" x14ac:dyDescent="0.3">
      <c r="A79" s="49">
        <v>46021</v>
      </c>
      <c r="B79" s="77" t="s">
        <v>25</v>
      </c>
      <c r="C79" s="51">
        <f>'ODOMETERS Halba'!J75</f>
        <v>750</v>
      </c>
      <c r="D79" s="52">
        <v>0.74860000000000004</v>
      </c>
      <c r="E79" s="53">
        <f>'Daily Halba'!$C79*'Daily Halba'!$D79</f>
        <v>561.45000000000005</v>
      </c>
      <c r="F79" s="54">
        <f>'ODOMETERS Halba'!K75</f>
        <v>1014</v>
      </c>
      <c r="G79" s="52">
        <v>0.74860000000000004</v>
      </c>
      <c r="H79" s="53">
        <f>'Daily Halba'!$F79*'Daily Halba'!$G79</f>
        <v>759.08040000000005</v>
      </c>
      <c r="I79" s="54">
        <f>'Daily Halba'!$C79+'Daily Halba'!$F79</f>
        <v>1764</v>
      </c>
      <c r="J79" s="55">
        <f>'Daily Halba'!$I79*'Daily Halba'!$G79</f>
        <v>1320.5304000000001</v>
      </c>
      <c r="K79" s="56">
        <f>'ODOMETERS Halba'!L75</f>
        <v>2549</v>
      </c>
      <c r="L79" s="57">
        <v>0.69730000000000003</v>
      </c>
      <c r="M79" s="58">
        <f>'Daily Halba'!$K79*'Daily Halba'!$L79</f>
        <v>1777.4177</v>
      </c>
      <c r="N79" s="71">
        <v>15</v>
      </c>
      <c r="O79" s="71">
        <v>6.67</v>
      </c>
      <c r="P79" s="71">
        <v>26.75</v>
      </c>
      <c r="Q79" s="71"/>
      <c r="R79" s="71"/>
      <c r="S79" s="71"/>
      <c r="T79" s="71">
        <v>10</v>
      </c>
      <c r="U79" s="61">
        <f>SUM('Daily Halba'!$E79,'Daily Halba'!$H79,$M79:$T79)</f>
        <v>3156.3681000000001</v>
      </c>
      <c r="V79" s="22"/>
      <c r="W79" s="62">
        <f>5+1556+7</f>
        <v>1568</v>
      </c>
      <c r="X79" s="62"/>
      <c r="Y79" s="62">
        <f>14.97+69.73</f>
        <v>84.7</v>
      </c>
      <c r="Z79" s="62"/>
      <c r="AA79" s="63"/>
      <c r="AB79" s="64"/>
      <c r="AC79" s="64"/>
      <c r="AD79" s="64"/>
      <c r="AE79" s="65">
        <f t="shared" si="0"/>
        <v>0</v>
      </c>
      <c r="AF79" s="66"/>
      <c r="AG79" s="66">
        <v>50</v>
      </c>
      <c r="AH79" s="66"/>
      <c r="AI79" s="66"/>
      <c r="AJ79" s="66"/>
      <c r="AK79" s="66">
        <v>10</v>
      </c>
      <c r="AL79" s="66"/>
      <c r="AM79" s="66"/>
      <c r="AN79" s="67">
        <f t="shared" si="1"/>
        <v>60</v>
      </c>
      <c r="AO79" s="66"/>
      <c r="AP79" s="68">
        <f t="shared" si="2"/>
        <v>1712.7</v>
      </c>
      <c r="AQ79" s="69"/>
      <c r="AR79" s="22"/>
      <c r="AS79" s="70">
        <f>'Daily Halba'!$U79-'Daily Halba'!$AP79</f>
        <v>1443.6681000000001</v>
      </c>
      <c r="AT79" s="5"/>
      <c r="AU79" s="5"/>
      <c r="AV79" s="5"/>
    </row>
    <row r="80" spans="1:48" ht="12.75" customHeight="1" x14ac:dyDescent="0.3">
      <c r="A80" s="49">
        <v>46022</v>
      </c>
      <c r="B80" s="77"/>
      <c r="C80" s="51">
        <f>'ODOMETERS Halba'!J76</f>
        <v>1488</v>
      </c>
      <c r="D80" s="52">
        <v>0.74860000000000004</v>
      </c>
      <c r="E80" s="53">
        <f>'Daily Halba'!$C80*'Daily Halba'!$D80</f>
        <v>1113.9168</v>
      </c>
      <c r="F80" s="54">
        <f>'ODOMETERS Halba'!K76</f>
        <v>1338</v>
      </c>
      <c r="G80" s="52">
        <v>0.74860000000000004</v>
      </c>
      <c r="H80" s="53">
        <f>'Daily Halba'!$F80*'Daily Halba'!$G80</f>
        <v>1001.6268</v>
      </c>
      <c r="I80" s="54">
        <f>'Daily Halba'!$C80+'Daily Halba'!$F80</f>
        <v>2826</v>
      </c>
      <c r="J80" s="55">
        <f>'Daily Halba'!$I80*'Daily Halba'!$G80</f>
        <v>2115.5436</v>
      </c>
      <c r="K80" s="56">
        <f>'ODOMETERS Halba'!L76</f>
        <v>1931</v>
      </c>
      <c r="L80" s="57">
        <v>0.69730000000000003</v>
      </c>
      <c r="M80" s="58">
        <f>'Daily Halba'!$K80*'Daily Halba'!$L80</f>
        <v>1346.4863</v>
      </c>
      <c r="N80" s="71">
        <f>250/89.7</f>
        <v>2.7870680044593086</v>
      </c>
      <c r="O80" s="71">
        <f>700/89.7</f>
        <v>7.8037904124860642</v>
      </c>
      <c r="P80" s="71">
        <f>1200/89.7</f>
        <v>13.377926421404682</v>
      </c>
      <c r="Q80" s="71"/>
      <c r="R80" s="71"/>
      <c r="S80" s="71">
        <f>623+20</f>
        <v>643</v>
      </c>
      <c r="T80" s="71">
        <f>450/89.7</f>
        <v>5.0167224080267561</v>
      </c>
      <c r="U80" s="61">
        <f>SUM('Daily Halba'!$E80,'Daily Halba'!$H80,$M80:$T80)</f>
        <v>4134.0154072463774</v>
      </c>
      <c r="V80" s="22"/>
      <c r="W80" s="62">
        <f>20+(1327*0.6973)</f>
        <v>945.3171000000001</v>
      </c>
      <c r="X80" s="62"/>
      <c r="Y80" s="62">
        <f>(18+30+18+30)*0.6973</f>
        <v>66.940799999999996</v>
      </c>
      <c r="Z80" s="62">
        <v>-5</v>
      </c>
      <c r="AA80" s="63"/>
      <c r="AB80" s="64"/>
      <c r="AC80" s="64"/>
      <c r="AD80" s="64"/>
      <c r="AE80" s="65">
        <f t="shared" si="0"/>
        <v>0</v>
      </c>
      <c r="AF80" s="66"/>
      <c r="AG80" s="66"/>
      <c r="AH80" s="66"/>
      <c r="AI80" s="66">
        <v>19</v>
      </c>
      <c r="AJ80" s="66"/>
      <c r="AK80" s="66">
        <f>600/89.7</f>
        <v>6.6889632107023411</v>
      </c>
      <c r="AL80" s="66"/>
      <c r="AM80" s="66"/>
      <c r="AN80" s="67">
        <f t="shared" si="1"/>
        <v>25.68896321070234</v>
      </c>
      <c r="AO80" s="66"/>
      <c r="AP80" s="68">
        <f t="shared" si="2"/>
        <v>1032.9468632107023</v>
      </c>
      <c r="AQ80" s="69"/>
      <c r="AR80" s="22"/>
      <c r="AS80" s="70">
        <f>'Daily Halba'!$U80-'Daily Halba'!$AP80</f>
        <v>3101.0685440356751</v>
      </c>
      <c r="AT80" s="5"/>
      <c r="AU80" s="5"/>
      <c r="AV80" s="5"/>
    </row>
    <row r="81" spans="1:48" ht="12.75" customHeight="1" x14ac:dyDescent="0.3">
      <c r="A81" s="49">
        <v>46023</v>
      </c>
      <c r="B81" s="77"/>
      <c r="C81" s="51">
        <f>'ODOMETERS Halba'!J77</f>
        <v>1607</v>
      </c>
      <c r="D81" s="52">
        <v>0.74860000000000004</v>
      </c>
      <c r="E81" s="53">
        <f>'Daily Halba'!$C81*'Daily Halba'!$D81</f>
        <v>1203.0002000000002</v>
      </c>
      <c r="F81" s="54">
        <f>'ODOMETERS Halba'!K77</f>
        <v>657</v>
      </c>
      <c r="G81" s="52">
        <v>0.74860000000000004</v>
      </c>
      <c r="H81" s="53">
        <f>'Daily Halba'!$F81*'Daily Halba'!$G81</f>
        <v>491.83020000000005</v>
      </c>
      <c r="I81" s="54">
        <f>'Daily Halba'!$C81+'Daily Halba'!$F81</f>
        <v>2264</v>
      </c>
      <c r="J81" s="55">
        <f>'Daily Halba'!$I81*'Daily Halba'!$G81</f>
        <v>1694.8304000000001</v>
      </c>
      <c r="K81" s="56">
        <f>'ODOMETERS Halba'!L77</f>
        <v>2716</v>
      </c>
      <c r="L81" s="57">
        <v>0.69730000000000003</v>
      </c>
      <c r="M81" s="58">
        <f>'Daily Halba'!$K81*'Daily Halba'!$L81</f>
        <v>1893.8668</v>
      </c>
      <c r="N81" s="71">
        <f>1000/89.7+300/89.7+6</f>
        <v>20.492753623188406</v>
      </c>
      <c r="O81" s="71"/>
      <c r="P81" s="71">
        <f>(1200/89.7)*9</f>
        <v>120.40133779264214</v>
      </c>
      <c r="Q81" s="71"/>
      <c r="R81" s="71"/>
      <c r="S81" s="71">
        <f>20+2600</f>
        <v>2620</v>
      </c>
      <c r="T81" s="71">
        <f>225/89.7+150/89.7</f>
        <v>4.1806020066889635</v>
      </c>
      <c r="U81" s="61">
        <f>SUM('Daily Halba'!$E81,'Daily Halba'!$H81,$M81:$T81)</f>
        <v>6353.7718934225195</v>
      </c>
      <c r="V81" s="22"/>
      <c r="W81" s="62">
        <f>2000*0.6973+10</f>
        <v>1404.6000000000001</v>
      </c>
      <c r="X81" s="62"/>
      <c r="Y81" s="62">
        <f>(30+20)*0.7486+180*0.6973</f>
        <v>162.94400000000002</v>
      </c>
      <c r="Z81" s="62"/>
      <c r="AA81" s="63"/>
      <c r="AB81" s="64"/>
      <c r="AC81" s="64">
        <v>103</v>
      </c>
      <c r="AD81" s="64"/>
      <c r="AE81" s="65">
        <f t="shared" si="0"/>
        <v>103</v>
      </c>
      <c r="AF81" s="66"/>
      <c r="AG81" s="66"/>
      <c r="AH81" s="66"/>
      <c r="AI81" s="66"/>
      <c r="AJ81" s="66"/>
      <c r="AK81" s="66"/>
      <c r="AL81" s="66"/>
      <c r="AM81" s="66"/>
      <c r="AN81" s="67">
        <f t="shared" si="1"/>
        <v>0</v>
      </c>
      <c r="AO81" s="67"/>
      <c r="AP81" s="68">
        <f t="shared" si="2"/>
        <v>1670.5440000000001</v>
      </c>
      <c r="AQ81" s="69"/>
      <c r="AR81" s="22"/>
      <c r="AS81" s="70">
        <f>'Daily Halba'!$U81-'Daily Halba'!$AP81</f>
        <v>4683.2278934225196</v>
      </c>
      <c r="AT81" s="5"/>
      <c r="AU81" s="5"/>
      <c r="AV81" s="19"/>
    </row>
    <row r="82" spans="1:48" ht="12.75" customHeight="1" x14ac:dyDescent="0.3">
      <c r="A82" s="49">
        <v>46024</v>
      </c>
      <c r="B82" s="77"/>
      <c r="C82" s="51">
        <f>'ODOMETERS Halba'!J78</f>
        <v>2417</v>
      </c>
      <c r="D82" s="52">
        <v>0.74860000000000004</v>
      </c>
      <c r="E82" s="53">
        <f>'Daily Halba'!$C82*'Daily Halba'!$D82</f>
        <v>1809.3662000000002</v>
      </c>
      <c r="F82" s="54">
        <f>'ODOMETERS Halba'!K78</f>
        <v>143</v>
      </c>
      <c r="G82" s="52">
        <v>0.74860000000000004</v>
      </c>
      <c r="H82" s="53">
        <f>'Daily Halba'!$F82*'Daily Halba'!$G82</f>
        <v>107.0498</v>
      </c>
      <c r="I82" s="54">
        <f>'Daily Halba'!$C82+'Daily Halba'!$F82</f>
        <v>2560</v>
      </c>
      <c r="J82" s="55">
        <f>'Daily Halba'!$I82*'Daily Halba'!$G82</f>
        <v>1916.4160000000002</v>
      </c>
      <c r="K82" s="56">
        <f>'ODOMETERS Halba'!L78</f>
        <v>1431</v>
      </c>
      <c r="L82" s="57">
        <v>0.69730000000000003</v>
      </c>
      <c r="M82" s="58">
        <f>'Daily Halba'!$K82*'Daily Halba'!$L82</f>
        <v>997.83630000000005</v>
      </c>
      <c r="N82" s="71">
        <f>42+4</f>
        <v>46</v>
      </c>
      <c r="O82" s="71">
        <f>700/89.7</f>
        <v>7.8037904124860642</v>
      </c>
      <c r="P82" s="71">
        <f>1200*4/89.7</f>
        <v>53.511705685618729</v>
      </c>
      <c r="Q82" s="71">
        <v>5</v>
      </c>
      <c r="R82" s="71"/>
      <c r="S82" s="71">
        <v>38</v>
      </c>
      <c r="T82" s="71">
        <f>(150+225+150+75)/89.7</f>
        <v>6.6889632107023411</v>
      </c>
      <c r="U82" s="61">
        <f>SUM('Daily Halba'!$E82,'Daily Halba'!$H82,$M82:$T82)</f>
        <v>3071.2567593088074</v>
      </c>
      <c r="V82" s="22"/>
      <c r="W82" s="62">
        <f>30+35+0.6973*1000</f>
        <v>762.30000000000007</v>
      </c>
      <c r="X82" s="62"/>
      <c r="Y82" s="62">
        <f>0.7486*(20+36+10+20+9+30)</f>
        <v>93.575000000000003</v>
      </c>
      <c r="Z82" s="62">
        <v>3</v>
      </c>
      <c r="AA82" s="63"/>
      <c r="AB82" s="64"/>
      <c r="AC82" s="64"/>
      <c r="AD82" s="64"/>
      <c r="AE82" s="65">
        <f t="shared" si="0"/>
        <v>0</v>
      </c>
      <c r="AF82" s="66"/>
      <c r="AG82" s="66"/>
      <c r="AH82" s="66"/>
      <c r="AI82" s="66">
        <f>10*0.6973</f>
        <v>6.9730000000000008</v>
      </c>
      <c r="AJ82" s="66"/>
      <c r="AK82" s="66">
        <f>300/89.7</f>
        <v>3.3444816053511706</v>
      </c>
      <c r="AL82" s="66"/>
      <c r="AM82" s="66">
        <f>200/89.7</f>
        <v>2.229654403567447</v>
      </c>
      <c r="AN82" s="67">
        <f t="shared" si="1"/>
        <v>12.547136008918617</v>
      </c>
      <c r="AO82" s="67"/>
      <c r="AP82" s="68">
        <f t="shared" si="2"/>
        <v>871.42213600891876</v>
      </c>
      <c r="AQ82" s="69"/>
      <c r="AR82" s="22"/>
      <c r="AS82" s="70">
        <f>'Daily Halba'!$U82-'Daily Halba'!$AP82</f>
        <v>2199.8346232998888</v>
      </c>
      <c r="AT82" s="5"/>
      <c r="AU82" s="5"/>
      <c r="AV82" s="5"/>
    </row>
    <row r="83" spans="1:48" ht="12.75" customHeight="1" x14ac:dyDescent="0.3">
      <c r="A83" s="49">
        <v>46025</v>
      </c>
      <c r="B83" s="77" t="s">
        <v>24</v>
      </c>
      <c r="C83" s="51">
        <f>'ODOMETERS Halba'!J79</f>
        <v>889</v>
      </c>
      <c r="D83" s="52">
        <v>0.74860000000000004</v>
      </c>
      <c r="E83" s="53">
        <f>'Daily Halba'!$C83*'Daily Halba'!$D83</f>
        <v>665.50540000000001</v>
      </c>
      <c r="F83" s="54">
        <f>'ODOMETERS Halba'!K79</f>
        <v>309</v>
      </c>
      <c r="G83" s="52">
        <v>0.74860000000000004</v>
      </c>
      <c r="H83" s="53">
        <f>'Daily Halba'!$F83*'Daily Halba'!$G83</f>
        <v>231.31740000000002</v>
      </c>
      <c r="I83" s="54">
        <f>'Daily Halba'!$C83+'Daily Halba'!$F83</f>
        <v>1198</v>
      </c>
      <c r="J83" s="55">
        <f>'Daily Halba'!$I83*'Daily Halba'!$G83</f>
        <v>896.82280000000003</v>
      </c>
      <c r="K83" s="56">
        <f>'ODOMETERS Halba'!L79</f>
        <v>151</v>
      </c>
      <c r="L83" s="57">
        <v>0.69730000000000003</v>
      </c>
      <c r="M83" s="58">
        <f>'Daily Halba'!$K83*'Daily Halba'!$L83</f>
        <v>105.29230000000001</v>
      </c>
      <c r="N83" s="71">
        <f>150/89.7+300/89.7+13</f>
        <v>18.016722408026755</v>
      </c>
      <c r="O83" s="71"/>
      <c r="P83" s="71">
        <f>3600/89.7</f>
        <v>40.133779264214049</v>
      </c>
      <c r="Q83" s="71"/>
      <c r="R83" s="71"/>
      <c r="S83" s="71"/>
      <c r="T83" s="71">
        <f>150/89.7</f>
        <v>1.6722408026755853</v>
      </c>
      <c r="U83" s="61">
        <f>SUM('Daily Halba'!$E83,'Daily Halba'!$H83,$M83:$T83)</f>
        <v>1061.9378424749164</v>
      </c>
      <c r="V83" s="22"/>
      <c r="W83" s="62"/>
      <c r="X83" s="62"/>
      <c r="Y83" s="62">
        <f>38*0.7486</f>
        <v>28.446800000000003</v>
      </c>
      <c r="Z83" s="62"/>
      <c r="AA83" s="63"/>
      <c r="AB83" s="64"/>
      <c r="AC83" s="64"/>
      <c r="AD83" s="64"/>
      <c r="AE83" s="65">
        <f t="shared" si="0"/>
        <v>0</v>
      </c>
      <c r="AF83" s="66"/>
      <c r="AG83" s="66"/>
      <c r="AH83" s="66"/>
      <c r="AI83" s="66"/>
      <c r="AJ83" s="66"/>
      <c r="AK83" s="66"/>
      <c r="AL83" s="66"/>
      <c r="AM83" s="66"/>
      <c r="AN83" s="67">
        <f t="shared" si="1"/>
        <v>0</v>
      </c>
      <c r="AO83" s="67"/>
      <c r="AP83" s="68">
        <f t="shared" si="2"/>
        <v>28.446800000000003</v>
      </c>
      <c r="AQ83" s="69"/>
      <c r="AR83" s="22"/>
      <c r="AS83" s="70">
        <f>'Daily Halba'!$U83-'Daily Halba'!$AP83</f>
        <v>1033.4910424749164</v>
      </c>
      <c r="AT83" s="5"/>
      <c r="AU83" s="5"/>
      <c r="AV83" s="5"/>
    </row>
    <row r="84" spans="1:48" ht="12.75" customHeight="1" x14ac:dyDescent="0.3">
      <c r="A84" s="49">
        <v>46025</v>
      </c>
      <c r="B84" s="77" t="s">
        <v>25</v>
      </c>
      <c r="C84" s="51">
        <f>'ODOMETERS Halba'!J80</f>
        <v>1175</v>
      </c>
      <c r="D84" s="52">
        <v>0.73580000000000001</v>
      </c>
      <c r="E84" s="53">
        <f>'Daily Halba'!$C84*'Daily Halba'!$D84</f>
        <v>864.56500000000005</v>
      </c>
      <c r="F84" s="54">
        <f>'ODOMETERS Halba'!K80</f>
        <v>779</v>
      </c>
      <c r="G84" s="52">
        <v>0.73580000000000001</v>
      </c>
      <c r="H84" s="53">
        <f>'Daily Halba'!$F84*'Daily Halba'!$G84</f>
        <v>573.18820000000005</v>
      </c>
      <c r="I84" s="54">
        <f>'Daily Halba'!$C84+'Daily Halba'!$F84</f>
        <v>1954</v>
      </c>
      <c r="J84" s="55">
        <f>'Daily Halba'!$I84*'Daily Halba'!$G84</f>
        <v>1437.7532000000001</v>
      </c>
      <c r="K84" s="56">
        <f>'ODOMETERS Halba'!L80</f>
        <v>612</v>
      </c>
      <c r="L84" s="57">
        <v>0.6895</v>
      </c>
      <c r="M84" s="58">
        <f>'Daily Halba'!$K84*'Daily Halba'!$L84</f>
        <v>421.97399999999999</v>
      </c>
      <c r="N84" s="71">
        <f>24+48+1000/89.7+5</f>
        <v>88.148272017837229</v>
      </c>
      <c r="O84" s="71">
        <v>20</v>
      </c>
      <c r="P84" s="71">
        <f>4*1200/89.7</f>
        <v>53.511705685618729</v>
      </c>
      <c r="Q84" s="71"/>
      <c r="R84" s="71"/>
      <c r="S84" s="71">
        <f>25+210+327</f>
        <v>562</v>
      </c>
      <c r="T84" s="71">
        <f>(225+150)/89.7</f>
        <v>4.1806020066889626</v>
      </c>
      <c r="U84" s="61">
        <f>SUM('Daily Halba'!$E84,'Daily Halba'!$H84,$M84:$T84)</f>
        <v>2587.5677797101448</v>
      </c>
      <c r="V84" s="22"/>
      <c r="W84" s="62">
        <f>1700/89.7+200+300*0.6895</f>
        <v>425.8020624303233</v>
      </c>
      <c r="X84" s="62">
        <v>15</v>
      </c>
      <c r="Y84" s="62">
        <f>(30+20+27)*0.7358</f>
        <v>56.656599999999997</v>
      </c>
      <c r="Z84" s="62"/>
      <c r="AA84" s="63"/>
      <c r="AB84" s="64"/>
      <c r="AC84" s="64">
        <v>220</v>
      </c>
      <c r="AD84" s="64"/>
      <c r="AE84" s="65">
        <f t="shared" si="0"/>
        <v>220</v>
      </c>
      <c r="AF84" s="66"/>
      <c r="AG84" s="66">
        <f>30+1155</f>
        <v>1185</v>
      </c>
      <c r="AH84" s="66"/>
      <c r="AI84" s="66"/>
      <c r="AJ84" s="66"/>
      <c r="AK84" s="66"/>
      <c r="AL84" s="66"/>
      <c r="AM84" s="66"/>
      <c r="AN84" s="67">
        <f t="shared" si="1"/>
        <v>1185</v>
      </c>
      <c r="AO84" s="66"/>
      <c r="AP84" s="68">
        <f t="shared" si="2"/>
        <v>1902.4586624303233</v>
      </c>
      <c r="AQ84" s="69" t="s">
        <v>94</v>
      </c>
      <c r="AR84" s="22"/>
      <c r="AS84" s="70">
        <f>'Daily Halba'!$U84-'Daily Halba'!$AP84</f>
        <v>685.10911727982148</v>
      </c>
      <c r="AT84" s="5"/>
      <c r="AU84" s="5"/>
      <c r="AV84" s="5"/>
    </row>
    <row r="85" spans="1:48" ht="12.75" customHeight="1" x14ac:dyDescent="0.3">
      <c r="A85" s="49">
        <v>46026</v>
      </c>
      <c r="B85" s="77"/>
      <c r="C85" s="51">
        <f>'ODOMETERS Halba'!J81</f>
        <v>2367</v>
      </c>
      <c r="D85" s="52">
        <v>0.73580000000000001</v>
      </c>
      <c r="E85" s="53">
        <f>'Daily Halba'!$C85*'Daily Halba'!$D85</f>
        <v>1741.6386</v>
      </c>
      <c r="F85" s="54">
        <f>'ODOMETERS Halba'!K81</f>
        <v>1166</v>
      </c>
      <c r="G85" s="52">
        <v>0.73580000000000001</v>
      </c>
      <c r="H85" s="53">
        <f>'Daily Halba'!$F85*'Daily Halba'!$G85</f>
        <v>857.94280000000003</v>
      </c>
      <c r="I85" s="54">
        <f>'Daily Halba'!$C85+'Daily Halba'!$F85</f>
        <v>3533</v>
      </c>
      <c r="J85" s="55">
        <f>'Daily Halba'!$I85*'Daily Halba'!$G85</f>
        <v>2599.5814</v>
      </c>
      <c r="K85" s="56">
        <f>'ODOMETERS Halba'!L81</f>
        <v>551</v>
      </c>
      <c r="L85" s="57">
        <v>0.6895</v>
      </c>
      <c r="M85" s="58">
        <f>'Daily Halba'!$K85*'Daily Halba'!$L85</f>
        <v>379.91449999999998</v>
      </c>
      <c r="N85" s="71">
        <v>8.34</v>
      </c>
      <c r="O85" s="71">
        <v>28.98</v>
      </c>
      <c r="P85" s="71">
        <v>120</v>
      </c>
      <c r="Q85" s="71"/>
      <c r="R85" s="71"/>
      <c r="S85" s="71">
        <f>27.87+150</f>
        <v>177.87</v>
      </c>
      <c r="T85" s="71">
        <v>7.52</v>
      </c>
      <c r="U85" s="61">
        <f>SUM('Daily Halba'!$E85,'Daily Halba'!$H85,$M85:$T85)</f>
        <v>3322.2058999999999</v>
      </c>
      <c r="V85" s="22"/>
      <c r="W85" s="62">
        <v>44.57</v>
      </c>
      <c r="X85" s="62"/>
      <c r="Y85" s="62">
        <v>127.87</v>
      </c>
      <c r="Z85" s="62">
        <v>5</v>
      </c>
      <c r="AA85" s="63"/>
      <c r="AB85" s="64"/>
      <c r="AC85" s="64"/>
      <c r="AD85" s="64"/>
      <c r="AE85" s="65">
        <f t="shared" si="0"/>
        <v>0</v>
      </c>
      <c r="AF85" s="66"/>
      <c r="AG85" s="66"/>
      <c r="AH85" s="66"/>
      <c r="AI85" s="66"/>
      <c r="AJ85" s="66"/>
      <c r="AK85" s="66"/>
      <c r="AL85" s="66"/>
      <c r="AM85" s="66"/>
      <c r="AN85" s="67">
        <f t="shared" si="1"/>
        <v>0</v>
      </c>
      <c r="AO85" s="66"/>
      <c r="AP85" s="68">
        <f t="shared" si="2"/>
        <v>177.44</v>
      </c>
      <c r="AQ85" s="69"/>
      <c r="AR85" s="22"/>
      <c r="AS85" s="70">
        <f>'Daily Halba'!$U85-'Daily Halba'!$AP85</f>
        <v>3144.7658999999999</v>
      </c>
      <c r="AT85" s="5"/>
      <c r="AU85" s="5"/>
      <c r="AV85" s="5"/>
    </row>
    <row r="86" spans="1:48" ht="12.75" customHeight="1" x14ac:dyDescent="0.3">
      <c r="A86" s="49">
        <v>46027</v>
      </c>
      <c r="B86" s="77"/>
      <c r="C86" s="51">
        <f>'ODOMETERS Halba'!J82</f>
        <v>1044</v>
      </c>
      <c r="D86" s="52">
        <v>0.73580000000000001</v>
      </c>
      <c r="E86" s="53">
        <f>'Daily Halba'!$C86*'Daily Halba'!$D86</f>
        <v>768.17520000000002</v>
      </c>
      <c r="F86" s="54">
        <f>'ODOMETERS Halba'!K82</f>
        <v>2068</v>
      </c>
      <c r="G86" s="52">
        <v>0.73580000000000001</v>
      </c>
      <c r="H86" s="53">
        <f>'Daily Halba'!$F86*'Daily Halba'!$G86</f>
        <v>1521.6343999999999</v>
      </c>
      <c r="I86" s="54">
        <f>'Daily Halba'!$C86+'Daily Halba'!$F86</f>
        <v>3112</v>
      </c>
      <c r="J86" s="55">
        <f>'Daily Halba'!$I86*'Daily Halba'!$G86</f>
        <v>2289.8096</v>
      </c>
      <c r="K86" s="56">
        <f>'ODOMETERS Halba'!L82</f>
        <v>1676</v>
      </c>
      <c r="L86" s="57">
        <v>0.6895</v>
      </c>
      <c r="M86" s="58">
        <f>'Daily Halba'!$K86*'Daily Halba'!$L86</f>
        <v>1155.6020000000001</v>
      </c>
      <c r="N86" s="71">
        <f>22.78-10</f>
        <v>12.780000000000001</v>
      </c>
      <c r="O86" s="71">
        <v>18.95</v>
      </c>
      <c r="P86" s="71">
        <f>80.26</f>
        <v>80.260000000000005</v>
      </c>
      <c r="Q86" s="71">
        <v>10</v>
      </c>
      <c r="R86" s="71"/>
      <c r="S86" s="71">
        <v>1800</v>
      </c>
      <c r="T86" s="71">
        <v>6.68</v>
      </c>
      <c r="U86" s="61">
        <f>SUM('Daily Halba'!$E86,'Daily Halba'!$H86,$M86:$T86)</f>
        <v>5374.0816000000013</v>
      </c>
      <c r="V86" s="22"/>
      <c r="W86" s="62">
        <f>87+662</f>
        <v>749</v>
      </c>
      <c r="X86" s="62"/>
      <c r="Y86" s="62">
        <v>22.07</v>
      </c>
      <c r="Z86" s="62">
        <v>10</v>
      </c>
      <c r="AA86" s="63"/>
      <c r="AB86" s="64"/>
      <c r="AC86" s="64">
        <v>557</v>
      </c>
      <c r="AD86" s="64"/>
      <c r="AE86" s="65">
        <f t="shared" si="0"/>
        <v>557</v>
      </c>
      <c r="AF86" s="66"/>
      <c r="AG86" s="66"/>
      <c r="AH86" s="66"/>
      <c r="AI86" s="66"/>
      <c r="AJ86" s="66"/>
      <c r="AK86" s="66"/>
      <c r="AL86" s="66"/>
      <c r="AM86" s="66"/>
      <c r="AN86" s="67">
        <f t="shared" si="1"/>
        <v>0</v>
      </c>
      <c r="AO86" s="66"/>
      <c r="AP86" s="68">
        <f t="shared" si="2"/>
        <v>1338.0700000000002</v>
      </c>
      <c r="AQ86" s="69"/>
      <c r="AR86" s="22"/>
      <c r="AS86" s="70">
        <f>'Daily Halba'!$U86-'Daily Halba'!$AP86</f>
        <v>4036.0116000000012</v>
      </c>
      <c r="AT86" s="5"/>
      <c r="AU86" s="5"/>
      <c r="AV86" s="5"/>
    </row>
    <row r="87" spans="1:48" ht="12.75" customHeight="1" x14ac:dyDescent="0.3">
      <c r="A87" s="49">
        <v>46028</v>
      </c>
      <c r="B87" s="77"/>
      <c r="C87" s="51">
        <f>'ODOMETERS Halba'!J83</f>
        <v>1693</v>
      </c>
      <c r="D87" s="52">
        <v>0.73580000000000001</v>
      </c>
      <c r="E87" s="53">
        <f>'Daily Halba'!$C87*'Daily Halba'!$D87</f>
        <v>1245.7094</v>
      </c>
      <c r="F87" s="54">
        <f>'ODOMETERS Halba'!K83</f>
        <v>931</v>
      </c>
      <c r="G87" s="52">
        <v>0.73580000000000001</v>
      </c>
      <c r="H87" s="53">
        <f>'Daily Halba'!$F87*'Daily Halba'!$G87</f>
        <v>685.02980000000002</v>
      </c>
      <c r="I87" s="54">
        <f>'Daily Halba'!$C87+'Daily Halba'!$F87</f>
        <v>2624</v>
      </c>
      <c r="J87" s="55">
        <f>'Daily Halba'!$I87*'Daily Halba'!$G87</f>
        <v>1930.7392</v>
      </c>
      <c r="K87" s="56">
        <f>'ODOMETERS Halba'!L83</f>
        <v>1627</v>
      </c>
      <c r="L87" s="57">
        <v>0.6895</v>
      </c>
      <c r="M87" s="58">
        <f>'Daily Halba'!$K87*'Daily Halba'!$L87</f>
        <v>1121.8164999999999</v>
      </c>
      <c r="N87" s="71">
        <f>250/89.7+6.5+24</f>
        <v>33.287068004459307</v>
      </c>
      <c r="O87" s="71">
        <f>11</f>
        <v>11</v>
      </c>
      <c r="P87" s="71">
        <f>8*13</f>
        <v>104</v>
      </c>
      <c r="Q87" s="71"/>
      <c r="R87" s="71"/>
      <c r="S87" s="71"/>
      <c r="T87" s="71">
        <f>(75+150+225+450+450)/89.7</f>
        <v>15.050167224080267</v>
      </c>
      <c r="U87" s="61">
        <f>SUM('Daily Halba'!$E87,'Daily Halba'!$H87,$M87:$T87)</f>
        <v>3215.8929352285395</v>
      </c>
      <c r="V87" s="22"/>
      <c r="W87" s="62">
        <f>1000*0.6895</f>
        <v>689.5</v>
      </c>
      <c r="X87" s="62"/>
      <c r="Y87" s="62">
        <f>(27+54+10+20+30+40+20+18)*0.7358+64*0.6895</f>
        <v>205.26819999999998</v>
      </c>
      <c r="Z87" s="62">
        <v>2</v>
      </c>
      <c r="AA87" s="63">
        <v>102</v>
      </c>
      <c r="AB87" s="64"/>
      <c r="AC87" s="64">
        <v>78</v>
      </c>
      <c r="AD87" s="64"/>
      <c r="AE87" s="65">
        <f t="shared" si="0"/>
        <v>180</v>
      </c>
      <c r="AF87" s="66"/>
      <c r="AG87" s="66"/>
      <c r="AH87" s="66"/>
      <c r="AI87" s="66">
        <f>5+20+10</f>
        <v>35</v>
      </c>
      <c r="AJ87" s="66"/>
      <c r="AK87" s="66"/>
      <c r="AL87" s="66"/>
      <c r="AM87" s="66"/>
      <c r="AN87" s="67">
        <f t="shared" si="1"/>
        <v>35</v>
      </c>
      <c r="AO87" s="66">
        <v>1500</v>
      </c>
      <c r="AP87" s="68">
        <f t="shared" si="2"/>
        <v>2611.7682</v>
      </c>
      <c r="AQ87" s="69" t="s">
        <v>95</v>
      </c>
      <c r="AR87" s="22"/>
      <c r="AS87" s="70">
        <f>'Daily Halba'!$U87-'Daily Halba'!$AP87</f>
        <v>604.12473522853952</v>
      </c>
      <c r="AT87" s="5"/>
      <c r="AU87" s="5"/>
      <c r="AV87" s="5"/>
    </row>
    <row r="88" spans="1:48" ht="12.75" customHeight="1" x14ac:dyDescent="0.3">
      <c r="A88" s="49">
        <v>46029</v>
      </c>
      <c r="B88" s="77" t="s">
        <v>24</v>
      </c>
      <c r="C88" s="51">
        <f>'ODOMETERS Halba'!J84</f>
        <v>1029</v>
      </c>
      <c r="D88" s="52">
        <v>0.73580000000000001</v>
      </c>
      <c r="E88" s="53">
        <f>'Daily Halba'!$C88*'Daily Halba'!$D88</f>
        <v>757.13819999999998</v>
      </c>
      <c r="F88" s="54">
        <f>'ODOMETERS Halba'!K84</f>
        <v>770</v>
      </c>
      <c r="G88" s="52">
        <v>0.73580000000000001</v>
      </c>
      <c r="H88" s="53">
        <f>'Daily Halba'!$F88*'Daily Halba'!$G88</f>
        <v>566.56600000000003</v>
      </c>
      <c r="I88" s="54">
        <f>'Daily Halba'!$C88+'Daily Halba'!$F88</f>
        <v>1799</v>
      </c>
      <c r="J88" s="55">
        <f>'Daily Halba'!$I88*'Daily Halba'!$G88</f>
        <v>1323.7042000000001</v>
      </c>
      <c r="K88" s="56">
        <f>'ODOMETERS Halba'!L84</f>
        <v>2013</v>
      </c>
      <c r="L88" s="57">
        <v>0.6895</v>
      </c>
      <c r="M88" s="58">
        <f>'Daily Halba'!$K88*'Daily Halba'!$L88</f>
        <v>1387.9635000000001</v>
      </c>
      <c r="N88" s="71">
        <f>750/89.47</f>
        <v>8.3826981110986925</v>
      </c>
      <c r="O88" s="71">
        <f>800/89.7</f>
        <v>8.9186176142697882</v>
      </c>
      <c r="P88" s="71">
        <f>3*13</f>
        <v>39</v>
      </c>
      <c r="Q88" s="71"/>
      <c r="R88" s="71"/>
      <c r="S88" s="71"/>
      <c r="T88" s="71">
        <f>150/89.7</f>
        <v>1.6722408026755853</v>
      </c>
      <c r="U88" s="61">
        <f>SUM('Daily Halba'!$E88,'Daily Halba'!$H88,$M88:$T88)</f>
        <v>2769.6412565280443</v>
      </c>
      <c r="V88" s="22"/>
      <c r="W88" s="62">
        <f>20+1500*0.6895</f>
        <v>1054.25</v>
      </c>
      <c r="X88" s="62"/>
      <c r="Y88" s="62">
        <f>20*0.7358</f>
        <v>14.716000000000001</v>
      </c>
      <c r="Z88" s="62">
        <v>6</v>
      </c>
      <c r="AA88" s="63"/>
      <c r="AB88" s="64"/>
      <c r="AC88" s="64"/>
      <c r="AD88" s="64"/>
      <c r="AE88" s="65">
        <f t="shared" si="0"/>
        <v>0</v>
      </c>
      <c r="AF88" s="66"/>
      <c r="AG88" s="66"/>
      <c r="AH88" s="66"/>
      <c r="AI88" s="66"/>
      <c r="AJ88" s="66"/>
      <c r="AK88" s="66">
        <f>600/89.7</f>
        <v>6.6889632107023411</v>
      </c>
      <c r="AL88" s="66"/>
      <c r="AM88" s="66"/>
      <c r="AN88" s="67">
        <f t="shared" si="1"/>
        <v>6.6889632107023411</v>
      </c>
      <c r="AO88" s="66">
        <v>1000</v>
      </c>
      <c r="AP88" s="68">
        <f t="shared" si="2"/>
        <v>2081.6549632107021</v>
      </c>
      <c r="AQ88" s="69"/>
      <c r="AR88" s="22"/>
      <c r="AS88" s="70">
        <f>'Daily Halba'!$U88-'Daily Halba'!$AP88</f>
        <v>687.98629331734219</v>
      </c>
      <c r="AT88" s="5"/>
      <c r="AU88" s="5"/>
      <c r="AV88" s="5"/>
    </row>
    <row r="89" spans="1:48" ht="12.75" customHeight="1" x14ac:dyDescent="0.3">
      <c r="A89" s="49">
        <v>46029</v>
      </c>
      <c r="B89" s="77" t="s">
        <v>25</v>
      </c>
      <c r="C89" s="51">
        <f>'ODOMETERS Halba'!J85</f>
        <v>626</v>
      </c>
      <c r="D89" s="52">
        <v>0.72909999999999997</v>
      </c>
      <c r="E89" s="53">
        <f>'Daily Halba'!$C89*'Daily Halba'!$D89</f>
        <v>456.41659999999996</v>
      </c>
      <c r="F89" s="54">
        <f>'ODOMETERS Halba'!K85</f>
        <v>348</v>
      </c>
      <c r="G89" s="52">
        <v>0.72909999999999997</v>
      </c>
      <c r="H89" s="53">
        <f>'Daily Halba'!$F89*'Daily Halba'!$G89</f>
        <v>253.7268</v>
      </c>
      <c r="I89" s="54">
        <f>'Daily Halba'!$C89+'Daily Halba'!$F89</f>
        <v>974</v>
      </c>
      <c r="J89" s="55">
        <f>'Daily Halba'!$I89*'Daily Halba'!$G89</f>
        <v>710.14339999999993</v>
      </c>
      <c r="K89" s="56">
        <f>'ODOMETERS Halba'!L85</f>
        <v>155</v>
      </c>
      <c r="L89" s="57">
        <v>0.68669999999999998</v>
      </c>
      <c r="M89" s="58">
        <f>'Daily Halba'!$K89*'Daily Halba'!$L89</f>
        <v>106.43849999999999</v>
      </c>
      <c r="N89" s="71"/>
      <c r="O89" s="71">
        <f>1000/89.7</f>
        <v>11.148272017837234</v>
      </c>
      <c r="P89" s="71">
        <v>13</v>
      </c>
      <c r="Q89" s="71"/>
      <c r="R89" s="71"/>
      <c r="S89" s="71">
        <f>686+20+1100+70</f>
        <v>1876</v>
      </c>
      <c r="T89" s="71"/>
      <c r="U89" s="61">
        <f>SUM('Daily Halba'!$E89,'Daily Halba'!$H89,$M89:$T89)</f>
        <v>2716.730172017837</v>
      </c>
      <c r="V89" s="22"/>
      <c r="W89" s="62">
        <f>180</f>
        <v>180</v>
      </c>
      <c r="X89" s="62"/>
      <c r="Y89" s="62">
        <f>9*0.7291</f>
        <v>6.5618999999999996</v>
      </c>
      <c r="Z89" s="62">
        <v>-2</v>
      </c>
      <c r="AA89" s="63"/>
      <c r="AB89" s="64"/>
      <c r="AC89" s="64"/>
      <c r="AD89" s="64"/>
      <c r="AE89" s="65">
        <f t="shared" si="0"/>
        <v>0</v>
      </c>
      <c r="AF89" s="66"/>
      <c r="AG89" s="66">
        <v>30</v>
      </c>
      <c r="AH89" s="66"/>
      <c r="AI89" s="66">
        <v>16</v>
      </c>
      <c r="AJ89" s="66"/>
      <c r="AK89" s="66">
        <f>300/89.7</f>
        <v>3.3444816053511706</v>
      </c>
      <c r="AL89" s="66"/>
      <c r="AM89" s="66"/>
      <c r="AN89" s="67">
        <f t="shared" si="1"/>
        <v>49.34448160535117</v>
      </c>
      <c r="AO89" s="66">
        <v>500</v>
      </c>
      <c r="AP89" s="68">
        <f t="shared" si="2"/>
        <v>733.90638160535116</v>
      </c>
      <c r="AQ89" s="69"/>
      <c r="AR89" s="22"/>
      <c r="AS89" s="70">
        <f>'Daily Halba'!$U89-'Daily Halba'!$AP89</f>
        <v>1982.8237904124858</v>
      </c>
      <c r="AT89" s="5"/>
      <c r="AU89" s="5"/>
      <c r="AV89" s="5"/>
    </row>
    <row r="90" spans="1:48" ht="12.75" customHeight="1" x14ac:dyDescent="0.3">
      <c r="A90" s="49">
        <v>46030</v>
      </c>
      <c r="B90" s="77"/>
      <c r="C90" s="51">
        <f>'ODOMETERS Halba'!J86</f>
        <v>1642</v>
      </c>
      <c r="D90" s="52">
        <v>0.72909999999999997</v>
      </c>
      <c r="E90" s="53">
        <f>'Daily Halba'!$C90*'Daily Halba'!$D90</f>
        <v>1197.1822</v>
      </c>
      <c r="F90" s="54">
        <f>'ODOMETERS Halba'!K86</f>
        <v>1095</v>
      </c>
      <c r="G90" s="52">
        <v>0.72909999999999997</v>
      </c>
      <c r="H90" s="53">
        <f>'Daily Halba'!$F90*'Daily Halba'!$G90</f>
        <v>798.36450000000002</v>
      </c>
      <c r="I90" s="54">
        <f>'Daily Halba'!$C90+'Daily Halba'!$F90</f>
        <v>2737</v>
      </c>
      <c r="J90" s="55">
        <f>'Daily Halba'!$I90*'Daily Halba'!$G90</f>
        <v>1995.5466999999999</v>
      </c>
      <c r="K90" s="56">
        <f>'ODOMETERS Halba'!L86</f>
        <v>2760</v>
      </c>
      <c r="L90" s="57">
        <v>0.68669999999999998</v>
      </c>
      <c r="M90" s="58">
        <f>'Daily Halba'!$K90*'Daily Halba'!$L90</f>
        <v>1895.2919999999999</v>
      </c>
      <c r="N90" s="71">
        <f>250/89.7+8+500/89.7</f>
        <v>16.361204013377925</v>
      </c>
      <c r="O90" s="71">
        <f>(300+300+800+300)/89.7</f>
        <v>18.952062430323299</v>
      </c>
      <c r="P90" s="71">
        <f>13*5</f>
        <v>65</v>
      </c>
      <c r="Q90" s="71">
        <v>5</v>
      </c>
      <c r="R90" s="71"/>
      <c r="S90" s="71">
        <f>580+10</f>
        <v>590</v>
      </c>
      <c r="T90" s="71">
        <f>(150+75+150+150+150)/89.7</f>
        <v>7.5250836120401337</v>
      </c>
      <c r="U90" s="61">
        <f>SUM('Daily Halba'!$E90,'Daily Halba'!$H90,$M90:$T90)</f>
        <v>4593.6770500557413</v>
      </c>
      <c r="V90" s="22"/>
      <c r="W90" s="62">
        <f>202*0.6867+700/89.7+16+20+30+260*0.6867+10+10+1500*0.6867</f>
        <v>1441.109190412486</v>
      </c>
      <c r="X90" s="62"/>
      <c r="Y90" s="62">
        <f>(9+20+10+20+20+18+20+9)*0.7291+0.6867*350</f>
        <v>332.21159999999998</v>
      </c>
      <c r="Z90" s="62">
        <v>24</v>
      </c>
      <c r="AA90" s="63"/>
      <c r="AB90" s="64"/>
      <c r="AC90" s="64">
        <v>91</v>
      </c>
      <c r="AD90" s="64"/>
      <c r="AE90" s="65">
        <f t="shared" si="0"/>
        <v>91</v>
      </c>
      <c r="AF90" s="66"/>
      <c r="AG90" s="66"/>
      <c r="AH90" s="66"/>
      <c r="AI90" s="66">
        <f>1200/89.7</f>
        <v>13.377926421404682</v>
      </c>
      <c r="AJ90" s="66"/>
      <c r="AK90" s="66"/>
      <c r="AL90" s="66"/>
      <c r="AM90" s="66"/>
      <c r="AN90" s="67">
        <f t="shared" si="1"/>
        <v>13.377926421404682</v>
      </c>
      <c r="AO90" s="66"/>
      <c r="AP90" s="68">
        <f t="shared" si="2"/>
        <v>1901.6987168338908</v>
      </c>
      <c r="AQ90" s="69"/>
      <c r="AR90" s="22"/>
      <c r="AS90" s="70">
        <f>'Daily Halba'!$U90-'Daily Halba'!$AP90</f>
        <v>2691.9783332218503</v>
      </c>
      <c r="AT90" s="5"/>
      <c r="AU90" s="5"/>
      <c r="AV90" s="19"/>
    </row>
    <row r="91" spans="1:48" ht="12.75" customHeight="1" x14ac:dyDescent="0.3">
      <c r="A91" s="49">
        <v>46031</v>
      </c>
      <c r="B91" s="77" t="s">
        <v>24</v>
      </c>
      <c r="C91" s="51">
        <f>'ODOMETERS Halba'!J87</f>
        <v>1008</v>
      </c>
      <c r="D91" s="52">
        <v>0.72909999999999997</v>
      </c>
      <c r="E91" s="53">
        <f>'Daily Halba'!$C91*'Daily Halba'!$D91</f>
        <v>734.93279999999993</v>
      </c>
      <c r="F91" s="54">
        <f>'ODOMETERS Halba'!K87</f>
        <v>706</v>
      </c>
      <c r="G91" s="52">
        <v>0.72909999999999997</v>
      </c>
      <c r="H91" s="53">
        <f>'Daily Halba'!$F91*'Daily Halba'!$G91</f>
        <v>514.74459999999999</v>
      </c>
      <c r="I91" s="54">
        <f>'Daily Halba'!$C91+'Daily Halba'!$F91</f>
        <v>1714</v>
      </c>
      <c r="J91" s="55">
        <f>'Daily Halba'!$I91*'Daily Halba'!$G91</f>
        <v>1249.6774</v>
      </c>
      <c r="K91" s="56">
        <f>'ODOMETERS Halba'!L87</f>
        <v>370</v>
      </c>
      <c r="L91" s="57">
        <v>0.68669999999999998</v>
      </c>
      <c r="M91" s="58">
        <f>'Daily Halba'!$K91*'Daily Halba'!$L91</f>
        <v>254.07899999999998</v>
      </c>
      <c r="N91" s="71">
        <v>2.78</v>
      </c>
      <c r="O91" s="71"/>
      <c r="P91" s="71">
        <v>26.75</v>
      </c>
      <c r="Q91" s="71"/>
      <c r="R91" s="71"/>
      <c r="S91" s="71">
        <f>150+173+1442</f>
        <v>1765</v>
      </c>
      <c r="T91" s="71"/>
      <c r="U91" s="61">
        <f>SUM('Daily Halba'!$E91,'Daily Halba'!$H91,$M91:$T91)</f>
        <v>3298.2864</v>
      </c>
      <c r="V91" s="22"/>
      <c r="W91" s="62">
        <f>120*0.6867+20</f>
        <v>102.404</v>
      </c>
      <c r="X91" s="62"/>
      <c r="Y91" s="62"/>
      <c r="Z91" s="62">
        <v>-5</v>
      </c>
      <c r="AA91" s="63"/>
      <c r="AB91" s="64"/>
      <c r="AC91" s="64"/>
      <c r="AD91" s="64"/>
      <c r="AE91" s="65">
        <f t="shared" si="0"/>
        <v>0</v>
      </c>
      <c r="AF91" s="66"/>
      <c r="AG91" s="66"/>
      <c r="AH91" s="66"/>
      <c r="AI91" s="66">
        <v>5</v>
      </c>
      <c r="AJ91" s="66"/>
      <c r="AK91" s="66"/>
      <c r="AL91" s="66"/>
      <c r="AM91" s="66"/>
      <c r="AN91" s="67">
        <f t="shared" si="1"/>
        <v>5</v>
      </c>
      <c r="AO91" s="66"/>
      <c r="AP91" s="68">
        <f t="shared" si="2"/>
        <v>102.404</v>
      </c>
      <c r="AQ91" s="69"/>
      <c r="AR91" s="22"/>
      <c r="AS91" s="70">
        <f>'Daily Halba'!$U91-'Daily Halba'!$AP91</f>
        <v>3195.8824</v>
      </c>
      <c r="AT91" s="5"/>
      <c r="AU91" s="5"/>
      <c r="AV91" s="5"/>
    </row>
    <row r="92" spans="1:48" ht="12.75" customHeight="1" x14ac:dyDescent="0.3">
      <c r="A92" s="49">
        <v>46031</v>
      </c>
      <c r="B92" s="77" t="s">
        <v>25</v>
      </c>
      <c r="C92" s="51">
        <f>'ODOMETERS Halba'!J88</f>
        <v>721</v>
      </c>
      <c r="D92" s="52">
        <v>0.72799999999999998</v>
      </c>
      <c r="E92" s="53">
        <f>'Daily Halba'!$C92*'Daily Halba'!$D92</f>
        <v>524.88800000000003</v>
      </c>
      <c r="F92" s="54">
        <f>'ODOMETERS Halba'!K88</f>
        <v>462</v>
      </c>
      <c r="G92" s="52">
        <v>0.72799999999999998</v>
      </c>
      <c r="H92" s="53">
        <f>'Daily Halba'!$F92*'Daily Halba'!$G92</f>
        <v>336.33600000000001</v>
      </c>
      <c r="I92" s="54">
        <f>'Daily Halba'!$C92+'Daily Halba'!$F92</f>
        <v>1183</v>
      </c>
      <c r="J92" s="55">
        <f>'Daily Halba'!$I92*'Daily Halba'!$G92</f>
        <v>861.22399999999993</v>
      </c>
      <c r="K92" s="56">
        <f>'ODOMETERS Halba'!L88</f>
        <v>455</v>
      </c>
      <c r="L92" s="57">
        <v>0.68510000000000004</v>
      </c>
      <c r="M92" s="58">
        <f>'Daily Halba'!$K92*'Daily Halba'!$L92</f>
        <v>311.72050000000002</v>
      </c>
      <c r="N92" s="71"/>
      <c r="O92" s="71"/>
      <c r="P92" s="71">
        <v>26.75</v>
      </c>
      <c r="Q92" s="71"/>
      <c r="R92" s="71"/>
      <c r="S92" s="71">
        <v>10</v>
      </c>
      <c r="T92" s="71"/>
      <c r="U92" s="61">
        <f>SUM('Daily Halba'!$E92,'Daily Halba'!$H92,$M92:$T92)</f>
        <v>1209.6945000000001</v>
      </c>
      <c r="V92" s="22"/>
      <c r="W92" s="62">
        <v>115.5</v>
      </c>
      <c r="X92" s="62"/>
      <c r="Y92" s="62">
        <v>150.72</v>
      </c>
      <c r="Z92" s="62"/>
      <c r="AA92" s="63"/>
      <c r="AB92" s="64"/>
      <c r="AC92" s="64"/>
      <c r="AD92" s="64"/>
      <c r="AE92" s="65">
        <f t="shared" si="0"/>
        <v>0</v>
      </c>
      <c r="AF92" s="66"/>
      <c r="AG92" s="66"/>
      <c r="AH92" s="66"/>
      <c r="AI92" s="66"/>
      <c r="AJ92" s="66"/>
      <c r="AK92" s="66"/>
      <c r="AL92" s="66"/>
      <c r="AM92" s="66"/>
      <c r="AN92" s="67">
        <f t="shared" si="1"/>
        <v>0</v>
      </c>
      <c r="AO92" s="66"/>
      <c r="AP92" s="68">
        <f t="shared" si="2"/>
        <v>266.22000000000003</v>
      </c>
      <c r="AQ92" s="69"/>
      <c r="AR92" s="22"/>
      <c r="AS92" s="70">
        <f>'Daily Halba'!$U92-'Daily Halba'!$AP92</f>
        <v>943.47450000000003</v>
      </c>
      <c r="AT92" s="5"/>
      <c r="AU92" s="5"/>
      <c r="AV92" s="5"/>
    </row>
    <row r="93" spans="1:48" ht="12.75" customHeight="1" x14ac:dyDescent="0.3">
      <c r="A93" s="49">
        <v>46032</v>
      </c>
      <c r="B93" s="77"/>
      <c r="C93" s="51">
        <f>'ODOMETERS Halba'!J89</f>
        <v>2677</v>
      </c>
      <c r="D93" s="52">
        <v>0.72799999999999998</v>
      </c>
      <c r="E93" s="53">
        <f>'Daily Halba'!$C93*'Daily Halba'!$D93</f>
        <v>1948.856</v>
      </c>
      <c r="F93" s="54">
        <f>'ODOMETERS Halba'!K89</f>
        <v>524</v>
      </c>
      <c r="G93" s="52">
        <v>0.72799999999999998</v>
      </c>
      <c r="H93" s="53">
        <f>'Daily Halba'!$F93*'Daily Halba'!$G93</f>
        <v>381.47199999999998</v>
      </c>
      <c r="I93" s="54">
        <f>'Daily Halba'!$C93+'Daily Halba'!$F93</f>
        <v>3201</v>
      </c>
      <c r="J93" s="55">
        <f>'Daily Halba'!$I93*'Daily Halba'!$G93</f>
        <v>2330.328</v>
      </c>
      <c r="K93" s="56">
        <f>'ODOMETERS Halba'!L89</f>
        <v>1458</v>
      </c>
      <c r="L93" s="57">
        <v>0.68510000000000004</v>
      </c>
      <c r="M93" s="58">
        <f>'Daily Halba'!$K93*'Daily Halba'!$L93</f>
        <v>998.87580000000003</v>
      </c>
      <c r="N93" s="71">
        <v>17.36</v>
      </c>
      <c r="O93" s="71">
        <v>31.68</v>
      </c>
      <c r="P93" s="71">
        <v>132</v>
      </c>
      <c r="Q93" s="71"/>
      <c r="R93" s="71"/>
      <c r="S93" s="71">
        <f>480*0.6851+1712</f>
        <v>2040.848</v>
      </c>
      <c r="T93" s="71">
        <v>9.19</v>
      </c>
      <c r="U93" s="61">
        <f>SUM('Daily Halba'!$E93,'Daily Halba'!$H93,$M93:$T93)</f>
        <v>5560.2817999999997</v>
      </c>
      <c r="V93" s="22"/>
      <c r="W93" s="62">
        <f>89.15+685</f>
        <v>774.15</v>
      </c>
      <c r="X93" s="62">
        <f>480*0.6851</f>
        <v>328.84800000000001</v>
      </c>
      <c r="Y93" s="62">
        <v>93.18</v>
      </c>
      <c r="Z93" s="62"/>
      <c r="AA93" s="63">
        <v>19</v>
      </c>
      <c r="AB93" s="64"/>
      <c r="AC93" s="64">
        <v>91</v>
      </c>
      <c r="AD93" s="64"/>
      <c r="AE93" s="65">
        <f t="shared" si="0"/>
        <v>110</v>
      </c>
      <c r="AF93" s="66"/>
      <c r="AG93" s="66"/>
      <c r="AH93" s="66"/>
      <c r="AI93" s="66"/>
      <c r="AJ93" s="66"/>
      <c r="AK93" s="66"/>
      <c r="AL93" s="66"/>
      <c r="AM93" s="66"/>
      <c r="AN93" s="67">
        <f t="shared" si="1"/>
        <v>0</v>
      </c>
      <c r="AO93" s="66"/>
      <c r="AP93" s="68">
        <f t="shared" si="2"/>
        <v>1306.1780000000001</v>
      </c>
      <c r="AQ93" s="69"/>
      <c r="AR93" s="22"/>
      <c r="AS93" s="70">
        <f>'Daily Halba'!$U93-'Daily Halba'!$AP93</f>
        <v>4254.1037999999999</v>
      </c>
      <c r="AT93" s="5"/>
      <c r="AU93" s="5"/>
      <c r="AV93" s="5"/>
    </row>
    <row r="94" spans="1:48" ht="12.75" customHeight="1" x14ac:dyDescent="0.3">
      <c r="A94" s="49">
        <v>46033</v>
      </c>
      <c r="B94" s="77"/>
      <c r="C94" s="51">
        <f>'ODOMETERS Halba'!J90</f>
        <v>1960</v>
      </c>
      <c r="D94" s="52">
        <v>0.72799999999999998</v>
      </c>
      <c r="E94" s="53">
        <f>'Daily Halba'!$C94*'Daily Halba'!$D94</f>
        <v>1426.8799999999999</v>
      </c>
      <c r="F94" s="54">
        <f>'ODOMETERS Halba'!K90</f>
        <v>925</v>
      </c>
      <c r="G94" s="52">
        <v>0.72799999999999998</v>
      </c>
      <c r="H94" s="53">
        <f>'Daily Halba'!$F94*'Daily Halba'!$G94</f>
        <v>673.4</v>
      </c>
      <c r="I94" s="54">
        <f>'Daily Halba'!$C94+'Daily Halba'!$F94</f>
        <v>2885</v>
      </c>
      <c r="J94" s="55">
        <f>'Daily Halba'!$I94*'Daily Halba'!$G94</f>
        <v>2100.2799999999997</v>
      </c>
      <c r="K94" s="56">
        <f>'ODOMETERS Halba'!L90</f>
        <v>2140</v>
      </c>
      <c r="L94" s="57">
        <v>0.68510000000000004</v>
      </c>
      <c r="M94" s="58">
        <f>'Daily Halba'!$K94*'Daily Halba'!$L94</f>
        <v>1466.114</v>
      </c>
      <c r="N94" s="71">
        <f>250/89.7+15+6</f>
        <v>23.787068004459307</v>
      </c>
      <c r="O94" s="71">
        <v>10</v>
      </c>
      <c r="P94" s="71">
        <f>13*2</f>
        <v>26</v>
      </c>
      <c r="Q94" s="71"/>
      <c r="R94" s="71"/>
      <c r="S94" s="71">
        <f>220+496</f>
        <v>716</v>
      </c>
      <c r="T94" s="71">
        <f>300/89.7</f>
        <v>3.3444816053511706</v>
      </c>
      <c r="U94" s="61">
        <f>SUM('Daily Halba'!$E94,'Daily Halba'!$H94,$M94:$T94)</f>
        <v>4345.5255496098107</v>
      </c>
      <c r="V94" s="22"/>
      <c r="W94" s="62">
        <f>1500*0.6851+35+100</f>
        <v>1162.6500000000001</v>
      </c>
      <c r="X94" s="62"/>
      <c r="Y94" s="62">
        <f>40*0.728+50*0.6851</f>
        <v>63.375</v>
      </c>
      <c r="Z94" s="62">
        <v>-1</v>
      </c>
      <c r="AA94" s="63"/>
      <c r="AB94" s="64"/>
      <c r="AC94" s="64"/>
      <c r="AD94" s="64"/>
      <c r="AE94" s="65">
        <f t="shared" si="0"/>
        <v>0</v>
      </c>
      <c r="AF94" s="66"/>
      <c r="AG94" s="66"/>
      <c r="AH94" s="66"/>
      <c r="AI94" s="66"/>
      <c r="AJ94" s="66"/>
      <c r="AK94" s="66"/>
      <c r="AL94" s="66"/>
      <c r="AM94" s="66"/>
      <c r="AN94" s="67">
        <f t="shared" si="1"/>
        <v>0</v>
      </c>
      <c r="AO94" s="66"/>
      <c r="AP94" s="68">
        <f t="shared" si="2"/>
        <v>1225.0250000000001</v>
      </c>
      <c r="AQ94" s="69"/>
      <c r="AR94" s="22"/>
      <c r="AS94" s="70">
        <f>'Daily Halba'!$U94-'Daily Halba'!$AP94</f>
        <v>3120.5005496098106</v>
      </c>
      <c r="AT94" s="5"/>
      <c r="AU94" s="5"/>
      <c r="AV94" s="5"/>
    </row>
    <row r="95" spans="1:48" ht="12.75" customHeight="1" x14ac:dyDescent="0.3">
      <c r="A95" s="49">
        <v>46034</v>
      </c>
      <c r="B95" s="77"/>
      <c r="C95" s="51">
        <f>'ODOMETERS Halba'!J91</f>
        <v>1247</v>
      </c>
      <c r="D95" s="52">
        <v>0.72799999999999998</v>
      </c>
      <c r="E95" s="53">
        <f>'Daily Halba'!$C95*'Daily Halba'!$D95</f>
        <v>907.81600000000003</v>
      </c>
      <c r="F95" s="54">
        <f>'ODOMETERS Halba'!K91</f>
        <v>1792</v>
      </c>
      <c r="G95" s="52">
        <v>0.72799999999999998</v>
      </c>
      <c r="H95" s="53">
        <f>'Daily Halba'!$F95*'Daily Halba'!$G95</f>
        <v>1304.576</v>
      </c>
      <c r="I95" s="54">
        <f>'Daily Halba'!$C95+'Daily Halba'!$F95</f>
        <v>3039</v>
      </c>
      <c r="J95" s="55">
        <f>'Daily Halba'!$I95*'Daily Halba'!$G95</f>
        <v>2212.3919999999998</v>
      </c>
      <c r="K95" s="56">
        <f>'ODOMETERS Halba'!L91</f>
        <v>696</v>
      </c>
      <c r="L95" s="57">
        <v>0.68510000000000004</v>
      </c>
      <c r="M95" s="58">
        <f>'Daily Halba'!$K95*'Daily Halba'!$L95</f>
        <v>476.82960000000003</v>
      </c>
      <c r="N95" s="71">
        <f>250/89.7+250/89.7+5</f>
        <v>10.574136008918618</v>
      </c>
      <c r="O95" s="71">
        <f>600/89.7+5+400/89.7</f>
        <v>16.148272017837236</v>
      </c>
      <c r="P95" s="71">
        <f>6*1200/89.7</f>
        <v>80.267558528428097</v>
      </c>
      <c r="Q95" s="71">
        <v>5</v>
      </c>
      <c r="R95" s="71">
        <v>1800</v>
      </c>
      <c r="S95" s="71"/>
      <c r="T95" s="71">
        <f>300/89.7</f>
        <v>3.3444816053511706</v>
      </c>
      <c r="U95" s="61">
        <f>SUM('Daily Halba'!$E95,'Daily Halba'!$H95,$M95:$T95)</f>
        <v>4604.5560481605362</v>
      </c>
      <c r="V95" s="22"/>
      <c r="W95" s="62">
        <f>5+26+3000/89.7+115*0.6851+3900000/89700+10+500/89.7</f>
        <v>202.28371293199555</v>
      </c>
      <c r="X95" s="62"/>
      <c r="Y95" s="62">
        <f>(27+40)*0.728+96</f>
        <v>144.77600000000001</v>
      </c>
      <c r="Z95" s="62"/>
      <c r="AA95" s="63"/>
      <c r="AB95" s="64"/>
      <c r="AC95" s="64">
        <v>195</v>
      </c>
      <c r="AD95" s="64"/>
      <c r="AE95" s="65">
        <f t="shared" si="0"/>
        <v>195</v>
      </c>
      <c r="AF95" s="66"/>
      <c r="AG95" s="66"/>
      <c r="AH95" s="66"/>
      <c r="AI95" s="66">
        <f>1000/89.7</f>
        <v>11.148272017837234</v>
      </c>
      <c r="AJ95" s="66">
        <v>182</v>
      </c>
      <c r="AK95" s="66"/>
      <c r="AL95" s="66"/>
      <c r="AM95" s="66"/>
      <c r="AN95" s="67">
        <f t="shared" si="1"/>
        <v>193.14827201783723</v>
      </c>
      <c r="AO95" s="66"/>
      <c r="AP95" s="68">
        <f t="shared" si="2"/>
        <v>735.20798494983285</v>
      </c>
      <c r="AQ95" s="69"/>
      <c r="AR95" s="22"/>
      <c r="AS95" s="70">
        <f>'Daily Halba'!$U95-'Daily Halba'!$AP95</f>
        <v>3869.3480632107035</v>
      </c>
      <c r="AT95" s="5"/>
      <c r="AU95" s="5"/>
      <c r="AV95" s="5"/>
    </row>
    <row r="96" spans="1:48" ht="12.75" customHeight="1" x14ac:dyDescent="0.3">
      <c r="A96" s="49">
        <v>46035</v>
      </c>
      <c r="B96" s="77" t="s">
        <v>24</v>
      </c>
      <c r="C96" s="51">
        <f>'ODOMETERS Halba'!J92</f>
        <v>761</v>
      </c>
      <c r="D96" s="52">
        <v>0.72799999999999998</v>
      </c>
      <c r="E96" s="53">
        <f>'Daily Halba'!$C96*'Daily Halba'!$D96</f>
        <v>554.00800000000004</v>
      </c>
      <c r="F96" s="54">
        <f>'ODOMETERS Halba'!K92</f>
        <v>450</v>
      </c>
      <c r="G96" s="52">
        <v>0.72799999999999998</v>
      </c>
      <c r="H96" s="53">
        <f>'Daily Halba'!$F96*'Daily Halba'!$G96</f>
        <v>327.59999999999997</v>
      </c>
      <c r="I96" s="54">
        <f>'Daily Halba'!$C96+'Daily Halba'!$F96</f>
        <v>1211</v>
      </c>
      <c r="J96" s="55">
        <f>'Daily Halba'!$I96*'Daily Halba'!$G96</f>
        <v>881.60799999999995</v>
      </c>
      <c r="K96" s="56">
        <f>'ODOMETERS Halba'!L92</f>
        <v>1924</v>
      </c>
      <c r="L96" s="57">
        <v>0.68510000000000004</v>
      </c>
      <c r="M96" s="58">
        <f>'Daily Halba'!$K96*'Daily Halba'!$L96</f>
        <v>1318.1324000000002</v>
      </c>
      <c r="N96" s="71">
        <v>5</v>
      </c>
      <c r="O96" s="71"/>
      <c r="P96" s="71">
        <v>13.37</v>
      </c>
      <c r="Q96" s="71"/>
      <c r="R96" s="71"/>
      <c r="S96" s="71">
        <v>725</v>
      </c>
      <c r="T96" s="71"/>
      <c r="U96" s="61">
        <f>SUM('Daily Halba'!$E96,'Daily Halba'!$H96,$M96:$T96)</f>
        <v>2943.1104</v>
      </c>
      <c r="V96" s="22"/>
      <c r="W96" s="62">
        <f>60+1165</f>
        <v>1225</v>
      </c>
      <c r="X96" s="62"/>
      <c r="Y96" s="62"/>
      <c r="Z96" s="62">
        <v>8</v>
      </c>
      <c r="AA96" s="63"/>
      <c r="AB96" s="64"/>
      <c r="AC96" s="64">
        <v>78</v>
      </c>
      <c r="AD96" s="64"/>
      <c r="AE96" s="65">
        <f t="shared" si="0"/>
        <v>78</v>
      </c>
      <c r="AF96" s="66"/>
      <c r="AG96" s="66"/>
      <c r="AH96" s="66">
        <v>70</v>
      </c>
      <c r="AI96" s="66"/>
      <c r="AJ96" s="66"/>
      <c r="AK96" s="66"/>
      <c r="AL96" s="66">
        <v>81</v>
      </c>
      <c r="AM96" s="66"/>
      <c r="AN96" s="67">
        <f t="shared" si="1"/>
        <v>151</v>
      </c>
      <c r="AO96" s="66"/>
      <c r="AP96" s="68">
        <f t="shared" si="2"/>
        <v>1462</v>
      </c>
      <c r="AQ96" s="69" t="s">
        <v>96</v>
      </c>
      <c r="AR96" s="22"/>
      <c r="AS96" s="70">
        <f>'Daily Halba'!$U96-'Daily Halba'!$AP96</f>
        <v>1481.1104</v>
      </c>
      <c r="AT96" s="5"/>
      <c r="AU96" s="5"/>
      <c r="AV96" s="5"/>
    </row>
    <row r="97" spans="1:48" ht="12.75" customHeight="1" x14ac:dyDescent="0.3">
      <c r="A97" s="49">
        <v>46035</v>
      </c>
      <c r="B97" s="77" t="s">
        <v>25</v>
      </c>
      <c r="C97" s="51">
        <f>'ODOMETERS Halba'!J93</f>
        <v>499</v>
      </c>
      <c r="D97" s="52">
        <v>0.73129999999999995</v>
      </c>
      <c r="E97" s="53">
        <f>'Daily Halba'!$C97*'Daily Halba'!$D97</f>
        <v>364.9187</v>
      </c>
      <c r="F97" s="54">
        <f>'ODOMETERS Halba'!K93</f>
        <v>614</v>
      </c>
      <c r="G97" s="52">
        <v>0.73129999999999995</v>
      </c>
      <c r="H97" s="53">
        <f>'Daily Halba'!$F97*'Daily Halba'!$G97</f>
        <v>449.01819999999998</v>
      </c>
      <c r="I97" s="54">
        <f>'Daily Halba'!$C97+'Daily Halba'!$F97</f>
        <v>1113</v>
      </c>
      <c r="J97" s="55">
        <f>'Daily Halba'!$I97*'Daily Halba'!$G97</f>
        <v>813.93689999999992</v>
      </c>
      <c r="K97" s="56">
        <f>'ODOMETERS Halba'!L93</f>
        <v>508</v>
      </c>
      <c r="L97" s="57">
        <v>0.68669999999999998</v>
      </c>
      <c r="M97" s="58">
        <f>'Daily Halba'!$K97*'Daily Halba'!$L97</f>
        <v>348.84359999999998</v>
      </c>
      <c r="N97" s="71">
        <v>5</v>
      </c>
      <c r="O97" s="71"/>
      <c r="P97" s="71">
        <v>68.930000000000007</v>
      </c>
      <c r="Q97" s="71"/>
      <c r="R97" s="71"/>
      <c r="S97" s="71">
        <v>49</v>
      </c>
      <c r="T97" s="71"/>
      <c r="U97" s="81">
        <f>SUM('Daily Halba'!$E97,'Daily Halba'!$H97,$M97:$T97)</f>
        <v>1285.7104999999999</v>
      </c>
      <c r="V97" s="22"/>
      <c r="W97" s="62">
        <f>12+32+156</f>
        <v>200</v>
      </c>
      <c r="X97" s="62"/>
      <c r="Y97" s="62"/>
      <c r="Z97" s="62"/>
      <c r="AA97" s="63"/>
      <c r="AB97" s="64"/>
      <c r="AC97" s="64"/>
      <c r="AD97" s="64"/>
      <c r="AE97" s="65">
        <f t="shared" si="0"/>
        <v>0</v>
      </c>
      <c r="AF97" s="66"/>
      <c r="AG97" s="66"/>
      <c r="AH97" s="66"/>
      <c r="AI97" s="66"/>
      <c r="AJ97" s="66"/>
      <c r="AK97" s="66"/>
      <c r="AL97" s="66"/>
      <c r="AM97" s="66"/>
      <c r="AN97" s="67">
        <f t="shared" si="1"/>
        <v>0</v>
      </c>
      <c r="AO97" s="66"/>
      <c r="AP97" s="68">
        <f t="shared" si="2"/>
        <v>200</v>
      </c>
      <c r="AQ97" s="69"/>
      <c r="AR97" s="22"/>
      <c r="AS97" s="70">
        <f>'Daily Halba'!$U97-'Daily Halba'!$AP97</f>
        <v>1085.7104999999999</v>
      </c>
      <c r="AT97" s="5"/>
      <c r="AU97" s="5"/>
      <c r="AV97" s="5"/>
    </row>
    <row r="98" spans="1:48" ht="12.75" customHeight="1" x14ac:dyDescent="0.3">
      <c r="A98" s="49">
        <v>46036</v>
      </c>
      <c r="B98" s="77"/>
      <c r="C98" s="51">
        <f>'ODOMETERS Halba'!J94</f>
        <v>1707</v>
      </c>
      <c r="D98" s="52">
        <v>0.73129999999999995</v>
      </c>
      <c r="E98" s="53">
        <f>'Daily Halba'!$C98*'Daily Halba'!$D98</f>
        <v>1248.3290999999999</v>
      </c>
      <c r="F98" s="54">
        <f>'ODOMETERS Halba'!K94</f>
        <v>776</v>
      </c>
      <c r="G98" s="52">
        <v>0.73129999999999995</v>
      </c>
      <c r="H98" s="53">
        <f>'Daily Halba'!$F98*'Daily Halba'!$G98</f>
        <v>567.48879999999997</v>
      </c>
      <c r="I98" s="54">
        <f>'Daily Halba'!$C98+'Daily Halba'!$F98</f>
        <v>2483</v>
      </c>
      <c r="J98" s="55">
        <f>'Daily Halba'!$I98*'Daily Halba'!$G98</f>
        <v>1815.8178999999998</v>
      </c>
      <c r="K98" s="56">
        <f>'ODOMETERS Halba'!L94</f>
        <v>4591</v>
      </c>
      <c r="L98" s="57">
        <v>0.68669999999999998</v>
      </c>
      <c r="M98" s="58">
        <f>'Daily Halba'!$K98*'Daily Halba'!$L98</f>
        <v>3152.6396999999997</v>
      </c>
      <c r="N98" s="71">
        <v>2.78</v>
      </c>
      <c r="O98" s="71"/>
      <c r="P98" s="71">
        <v>111.48</v>
      </c>
      <c r="Q98" s="71"/>
      <c r="R98" s="71"/>
      <c r="S98" s="71">
        <f>1141+400</f>
        <v>1541</v>
      </c>
      <c r="T98" s="71">
        <v>27.52</v>
      </c>
      <c r="U98" s="61">
        <f>SUM('Daily Halba'!$E98,'Daily Halba'!$H98,$M98:$T98)</f>
        <v>6651.2375999999995</v>
      </c>
      <c r="V98" s="22"/>
      <c r="W98" s="62">
        <f>124+2826</f>
        <v>2950</v>
      </c>
      <c r="X98" s="62"/>
      <c r="Y98" s="62">
        <v>66</v>
      </c>
      <c r="Z98" s="62">
        <v>-23</v>
      </c>
      <c r="AA98" s="63"/>
      <c r="AB98" s="64"/>
      <c r="AC98" s="64">
        <v>105</v>
      </c>
      <c r="AD98" s="64"/>
      <c r="AE98" s="65">
        <f t="shared" si="0"/>
        <v>105</v>
      </c>
      <c r="AF98" s="66"/>
      <c r="AG98" s="66"/>
      <c r="AH98" s="66"/>
      <c r="AI98" s="66"/>
      <c r="AJ98" s="66"/>
      <c r="AK98" s="66"/>
      <c r="AL98" s="66"/>
      <c r="AM98" s="66"/>
      <c r="AN98" s="67">
        <f t="shared" si="1"/>
        <v>0</v>
      </c>
      <c r="AO98" s="66"/>
      <c r="AP98" s="68">
        <f t="shared" si="2"/>
        <v>3098</v>
      </c>
      <c r="AQ98" s="69"/>
      <c r="AR98" s="22"/>
      <c r="AS98" s="70">
        <f>'Daily Halba'!$U98-'Daily Halba'!$AP98</f>
        <v>3553.2375999999995</v>
      </c>
      <c r="AT98" s="5"/>
      <c r="AU98" s="5"/>
      <c r="AV98" s="5"/>
    </row>
    <row r="99" spans="1:48" ht="12.75" customHeight="1" x14ac:dyDescent="0.3">
      <c r="A99" s="49">
        <v>46037</v>
      </c>
      <c r="B99" s="77"/>
      <c r="C99" s="51">
        <f>'ODOMETERS Halba'!J95</f>
        <v>1689</v>
      </c>
      <c r="D99" s="52">
        <v>0.73129999999999995</v>
      </c>
      <c r="E99" s="53">
        <f>'Daily Halba'!$C99*'Daily Halba'!$D99</f>
        <v>1235.1657</v>
      </c>
      <c r="F99" s="54">
        <f>'ODOMETERS Halba'!K95</f>
        <v>1153</v>
      </c>
      <c r="G99" s="52">
        <v>0.73129999999999995</v>
      </c>
      <c r="H99" s="53">
        <f>'Daily Halba'!$F99*'Daily Halba'!$G99</f>
        <v>843.18889999999999</v>
      </c>
      <c r="I99" s="54">
        <f>'Daily Halba'!$C99+'Daily Halba'!$F99</f>
        <v>2842</v>
      </c>
      <c r="J99" s="55">
        <f>'Daily Halba'!$I99*'Daily Halba'!$G99</f>
        <v>2078.3545999999997</v>
      </c>
      <c r="K99" s="56">
        <f>'ODOMETERS Halba'!L95</f>
        <v>2032</v>
      </c>
      <c r="L99" s="57">
        <v>0.68669999999999998</v>
      </c>
      <c r="M99" s="58">
        <f>'Daily Halba'!$K99*'Daily Halba'!$L99</f>
        <v>1395.3743999999999</v>
      </c>
      <c r="N99" s="71">
        <v>3</v>
      </c>
      <c r="O99" s="71">
        <v>3</v>
      </c>
      <c r="P99" s="71">
        <v>55.8</v>
      </c>
      <c r="Q99" s="71">
        <v>5</v>
      </c>
      <c r="R99" s="71"/>
      <c r="S99" s="71">
        <v>1074</v>
      </c>
      <c r="T99" s="71">
        <v>4.18</v>
      </c>
      <c r="U99" s="61">
        <f>SUM('Daily Halba'!$E99,'Daily Halba'!$H99,$M99:$T99)</f>
        <v>4618.7090000000007</v>
      </c>
      <c r="V99" s="22"/>
      <c r="W99" s="62">
        <f>454.52+958</f>
        <v>1412.52</v>
      </c>
      <c r="X99" s="62"/>
      <c r="Y99" s="62">
        <f>50*0.7313</f>
        <v>36.564999999999998</v>
      </c>
      <c r="Z99" s="62"/>
      <c r="AA99" s="63"/>
      <c r="AB99" s="64"/>
      <c r="AC99" s="64">
        <v>117.63</v>
      </c>
      <c r="AD99" s="64"/>
      <c r="AE99" s="65">
        <f t="shared" si="0"/>
        <v>117.63</v>
      </c>
      <c r="AF99" s="66"/>
      <c r="AG99" s="66"/>
      <c r="AH99" s="66"/>
      <c r="AI99" s="66">
        <v>10</v>
      </c>
      <c r="AJ99" s="66"/>
      <c r="AK99" s="66"/>
      <c r="AL99" s="66"/>
      <c r="AM99" s="66"/>
      <c r="AN99" s="67">
        <f t="shared" si="1"/>
        <v>10</v>
      </c>
      <c r="AO99" s="66"/>
      <c r="AP99" s="68">
        <f t="shared" si="2"/>
        <v>1576.7150000000001</v>
      </c>
      <c r="AQ99" s="69"/>
      <c r="AR99" s="22"/>
      <c r="AS99" s="70">
        <f>'Daily Halba'!$U99-'Daily Halba'!$AP99</f>
        <v>3041.9940000000006</v>
      </c>
      <c r="AT99" s="5"/>
      <c r="AU99" s="5"/>
      <c r="AV99" s="5"/>
    </row>
    <row r="100" spans="1:48" ht="12.75" customHeight="1" x14ac:dyDescent="0.3">
      <c r="A100" s="49">
        <v>46038</v>
      </c>
      <c r="B100" s="77" t="s">
        <v>24</v>
      </c>
      <c r="C100" s="51">
        <f>'ODOMETERS Halba'!J96</f>
        <v>901</v>
      </c>
      <c r="D100" s="52">
        <v>0.73129999999999995</v>
      </c>
      <c r="E100" s="53">
        <f>'Daily Halba'!$C100*'Daily Halba'!$D100</f>
        <v>658.90129999999999</v>
      </c>
      <c r="F100" s="54">
        <f>'ODOMETERS Halba'!K96</f>
        <v>520</v>
      </c>
      <c r="G100" s="52">
        <v>0.73129999999999995</v>
      </c>
      <c r="H100" s="53">
        <f>'Daily Halba'!$F100*'Daily Halba'!$G100</f>
        <v>380.27599999999995</v>
      </c>
      <c r="I100" s="54">
        <f>'Daily Halba'!$C100+'Daily Halba'!$F100</f>
        <v>1421</v>
      </c>
      <c r="J100" s="55">
        <f>'Daily Halba'!$I100*'Daily Halba'!$G100</f>
        <v>1039.1772999999998</v>
      </c>
      <c r="K100" s="56">
        <f>'ODOMETERS Halba'!L96</f>
        <v>418</v>
      </c>
      <c r="L100" s="57">
        <v>0.68669999999999998</v>
      </c>
      <c r="M100" s="58">
        <f>'Daily Halba'!$K100*'Daily Halba'!$L100</f>
        <v>287.04059999999998</v>
      </c>
      <c r="N100" s="71">
        <v>11.7</v>
      </c>
      <c r="O100" s="71">
        <v>3</v>
      </c>
      <c r="P100" s="71">
        <v>27.87</v>
      </c>
      <c r="Q100" s="71"/>
      <c r="R100" s="71"/>
      <c r="S100" s="71"/>
      <c r="T100" s="71">
        <v>1.67</v>
      </c>
      <c r="U100" s="61">
        <f>SUM('Daily Halba'!$E100,'Daily Halba'!$H100,$M100:$T100)</f>
        <v>1370.4578999999999</v>
      </c>
      <c r="V100" s="22"/>
      <c r="W100" s="62">
        <v>210.57</v>
      </c>
      <c r="X100" s="62"/>
      <c r="Y100" s="62">
        <v>14.62</v>
      </c>
      <c r="Z100" s="62"/>
      <c r="AA100" s="63"/>
      <c r="AB100" s="64"/>
      <c r="AC100" s="64"/>
      <c r="AD100" s="64"/>
      <c r="AE100" s="65">
        <f t="shared" si="0"/>
        <v>0</v>
      </c>
      <c r="AF100" s="66"/>
      <c r="AG100" s="66"/>
      <c r="AH100" s="66"/>
      <c r="AI100" s="66"/>
      <c r="AJ100" s="66"/>
      <c r="AK100" s="66"/>
      <c r="AL100" s="66"/>
      <c r="AM100" s="66"/>
      <c r="AN100" s="67">
        <f t="shared" si="1"/>
        <v>0</v>
      </c>
      <c r="AO100" s="66"/>
      <c r="AP100" s="68">
        <f t="shared" si="2"/>
        <v>225.19</v>
      </c>
      <c r="AQ100" s="69"/>
      <c r="AR100" s="22"/>
      <c r="AS100" s="70">
        <f>'Daily Halba'!$U100-'Daily Halba'!$AP100</f>
        <v>1145.2678999999998</v>
      </c>
      <c r="AT100" s="5"/>
      <c r="AU100" s="5"/>
      <c r="AV100" s="5"/>
    </row>
    <row r="101" spans="1:48" ht="12.75" customHeight="1" x14ac:dyDescent="0.3">
      <c r="A101" s="49">
        <v>46038</v>
      </c>
      <c r="B101" s="77" t="s">
        <v>25</v>
      </c>
      <c r="C101" s="51">
        <f>'ODOMETERS Halba'!J97</f>
        <v>739</v>
      </c>
      <c r="D101" s="52">
        <v>0.73799999999999999</v>
      </c>
      <c r="E101" s="53">
        <f>'Daily Halba'!$C101*'Daily Halba'!$D101</f>
        <v>545.38199999999995</v>
      </c>
      <c r="F101" s="54">
        <f>'ODOMETERS Halba'!K97</f>
        <v>682</v>
      </c>
      <c r="G101" s="52">
        <v>0.73799999999999999</v>
      </c>
      <c r="H101" s="53">
        <f>'Daily Halba'!$F101*'Daily Halba'!$G101</f>
        <v>503.31599999999997</v>
      </c>
      <c r="I101" s="54">
        <f>'Daily Halba'!$C101+'Daily Halba'!$F101</f>
        <v>1421</v>
      </c>
      <c r="J101" s="55">
        <f>'Daily Halba'!$I101*'Daily Halba'!$G101</f>
        <v>1048.6980000000001</v>
      </c>
      <c r="K101" s="56">
        <f>'ODOMETERS Halba'!L97</f>
        <v>541</v>
      </c>
      <c r="L101" s="57">
        <v>0.69230000000000003</v>
      </c>
      <c r="M101" s="58">
        <f>'Daily Halba'!$K101*'Daily Halba'!$L101</f>
        <v>374.53430000000003</v>
      </c>
      <c r="N101" s="71">
        <f>8+6.5</f>
        <v>14.5</v>
      </c>
      <c r="O101" s="71">
        <v>3</v>
      </c>
      <c r="P101" s="71">
        <f>1250/89.7</f>
        <v>13.935340022296543</v>
      </c>
      <c r="Q101" s="71"/>
      <c r="R101" s="71"/>
      <c r="S101" s="71">
        <f>10+850+2000/89.7</f>
        <v>882.29654403567451</v>
      </c>
      <c r="T101" s="71">
        <f>375/89.7</f>
        <v>4.1806020066889626</v>
      </c>
      <c r="U101" s="61">
        <f>SUM('Daily Halba'!$E101,'Daily Halba'!$H101,$M101:$T101)</f>
        <v>2341.1447860646595</v>
      </c>
      <c r="V101" s="22"/>
      <c r="W101" s="62">
        <f>20+23+29</f>
        <v>72</v>
      </c>
      <c r="X101" s="62"/>
      <c r="Y101" s="62">
        <f>(20+18+10+9+20)*0.738</f>
        <v>56.826000000000001</v>
      </c>
      <c r="Z101" s="62"/>
      <c r="AA101" s="63"/>
      <c r="AB101" s="64"/>
      <c r="AC101" s="64"/>
      <c r="AD101" s="64"/>
      <c r="AE101" s="65">
        <f t="shared" si="0"/>
        <v>0</v>
      </c>
      <c r="AF101" s="66"/>
      <c r="AG101" s="66"/>
      <c r="AH101" s="66"/>
      <c r="AI101" s="66"/>
      <c r="AJ101" s="66"/>
      <c r="AK101" s="66"/>
      <c r="AL101" s="66"/>
      <c r="AM101" s="66"/>
      <c r="AN101" s="67">
        <f t="shared" si="1"/>
        <v>0</v>
      </c>
      <c r="AO101" s="66"/>
      <c r="AP101" s="68">
        <f t="shared" si="2"/>
        <v>128.82599999999999</v>
      </c>
      <c r="AQ101" s="69"/>
      <c r="AR101" s="22"/>
      <c r="AS101" s="70">
        <f>'Daily Halba'!$U101-'Daily Halba'!$AP101</f>
        <v>2212.3187860646594</v>
      </c>
      <c r="AT101" s="5"/>
      <c r="AU101" s="5"/>
      <c r="AV101" s="19"/>
    </row>
    <row r="102" spans="1:48" ht="12.75" customHeight="1" x14ac:dyDescent="0.3">
      <c r="A102" s="49">
        <v>46039</v>
      </c>
      <c r="B102" s="77"/>
      <c r="C102" s="51">
        <f>'ODOMETERS Halba'!J98</f>
        <v>516</v>
      </c>
      <c r="D102" s="52">
        <v>0.73799999999999999</v>
      </c>
      <c r="E102" s="53">
        <f>'Daily Halba'!$C102*'Daily Halba'!$D102</f>
        <v>380.80799999999999</v>
      </c>
      <c r="F102" s="54">
        <f>'ODOMETERS Halba'!K98</f>
        <v>3010</v>
      </c>
      <c r="G102" s="52">
        <v>0.73799999999999999</v>
      </c>
      <c r="H102" s="53">
        <f>'Daily Halba'!$F102*'Daily Halba'!$G102</f>
        <v>2221.38</v>
      </c>
      <c r="I102" s="54">
        <f>'Daily Halba'!$C102+'Daily Halba'!$F102</f>
        <v>3526</v>
      </c>
      <c r="J102" s="55">
        <f>'Daily Halba'!$I102*'Daily Halba'!$G102</f>
        <v>2602.1880000000001</v>
      </c>
      <c r="K102" s="56">
        <f>'ODOMETERS Halba'!L98</f>
        <v>711</v>
      </c>
      <c r="L102" s="57">
        <v>0.69230000000000003</v>
      </c>
      <c r="M102" s="58">
        <f>'Daily Halba'!$K102*'Daily Halba'!$L102</f>
        <v>492.2253</v>
      </c>
      <c r="N102" s="71">
        <v>38.200000000000003</v>
      </c>
      <c r="O102" s="71">
        <v>3</v>
      </c>
      <c r="P102" s="71">
        <v>111.8</v>
      </c>
      <c r="Q102" s="71"/>
      <c r="R102" s="71"/>
      <c r="S102" s="71">
        <v>260</v>
      </c>
      <c r="T102" s="71">
        <v>5</v>
      </c>
      <c r="U102" s="61">
        <f>SUM('Daily Halba'!$E102,'Daily Halba'!$H102,$M102:$T102)</f>
        <v>3512.4133000000002</v>
      </c>
      <c r="V102" s="22"/>
      <c r="W102" s="62">
        <f>91.7</f>
        <v>91.7</v>
      </c>
      <c r="X102" s="62"/>
      <c r="Y102" s="62">
        <v>73.8</v>
      </c>
      <c r="Z102" s="62"/>
      <c r="AA102" s="63"/>
      <c r="AB102" s="64"/>
      <c r="AC102" s="64">
        <v>131</v>
      </c>
      <c r="AD102" s="64"/>
      <c r="AE102" s="65">
        <f t="shared" si="0"/>
        <v>131</v>
      </c>
      <c r="AF102" s="66"/>
      <c r="AG102" s="66"/>
      <c r="AH102" s="66"/>
      <c r="AI102" s="66"/>
      <c r="AJ102" s="66"/>
      <c r="AK102" s="66"/>
      <c r="AL102" s="66"/>
      <c r="AM102" s="66"/>
      <c r="AN102" s="67">
        <f t="shared" si="1"/>
        <v>0</v>
      </c>
      <c r="AO102" s="66"/>
      <c r="AP102" s="68">
        <f t="shared" si="2"/>
        <v>296.5</v>
      </c>
      <c r="AQ102" s="69"/>
      <c r="AR102" s="22"/>
      <c r="AS102" s="70">
        <f>'Daily Halba'!$U102-'Daily Halba'!$AP102</f>
        <v>3215.9133000000002</v>
      </c>
      <c r="AT102" s="5"/>
      <c r="AU102" s="5"/>
      <c r="AV102" s="5"/>
    </row>
    <row r="103" spans="1:48" ht="12.75" customHeight="1" x14ac:dyDescent="0.3">
      <c r="A103" s="49">
        <v>46040</v>
      </c>
      <c r="B103" s="77"/>
      <c r="C103" s="51">
        <f>'ODOMETERS Halba'!J99</f>
        <v>1965</v>
      </c>
      <c r="D103" s="52">
        <v>0.73799999999999999</v>
      </c>
      <c r="E103" s="53">
        <f>'Daily Halba'!$C103*'Daily Halba'!$D103</f>
        <v>1450.17</v>
      </c>
      <c r="F103" s="54">
        <f>'ODOMETERS Halba'!K99</f>
        <v>1371</v>
      </c>
      <c r="G103" s="52">
        <v>0.73799999999999999</v>
      </c>
      <c r="H103" s="53">
        <f>'Daily Halba'!$F103*'Daily Halba'!$G103</f>
        <v>1011.798</v>
      </c>
      <c r="I103" s="54">
        <f>'Daily Halba'!$C103+'Daily Halba'!$F103</f>
        <v>3336</v>
      </c>
      <c r="J103" s="55">
        <f>'Daily Halba'!$I103*'Daily Halba'!$G103</f>
        <v>2461.9679999999998</v>
      </c>
      <c r="K103" s="56">
        <f>'ODOMETERS Halba'!L99</f>
        <v>1454</v>
      </c>
      <c r="L103" s="57">
        <v>0.69230000000000003</v>
      </c>
      <c r="M103" s="58">
        <f>'Daily Halba'!$K103*'Daily Halba'!$L103</f>
        <v>1006.6042</v>
      </c>
      <c r="N103" s="71">
        <f>6.5+300/89.7+250/89.7+6+5</f>
        <v>23.631549609810477</v>
      </c>
      <c r="O103" s="71">
        <f>600/89.7</f>
        <v>6.6889632107023411</v>
      </c>
      <c r="P103" s="71">
        <f>6*1250/89.7</f>
        <v>83.61204013377926</v>
      </c>
      <c r="Q103" s="71"/>
      <c r="R103" s="71"/>
      <c r="S103" s="71"/>
      <c r="T103" s="71">
        <f>(75+75+150)/89.7</f>
        <v>3.3444816053511706</v>
      </c>
      <c r="U103" s="61">
        <f>SUM('Daily Halba'!$E103,'Daily Halba'!$H103,$M103:$T103)</f>
        <v>3585.8492345596428</v>
      </c>
      <c r="V103" s="22"/>
      <c r="W103" s="62">
        <f>25+10+12+20+20+20+34+20+40+5</f>
        <v>206</v>
      </c>
      <c r="X103" s="62"/>
      <c r="Y103" s="62">
        <f>(10+10+27+20+9)*0.738+175*0.6923</f>
        <v>177.2405</v>
      </c>
      <c r="Z103" s="62">
        <v>-4</v>
      </c>
      <c r="AA103" s="63"/>
      <c r="AB103" s="64"/>
      <c r="AC103" s="64"/>
      <c r="AD103" s="64"/>
      <c r="AE103" s="65">
        <f t="shared" si="0"/>
        <v>0</v>
      </c>
      <c r="AF103" s="66"/>
      <c r="AG103" s="66"/>
      <c r="AH103" s="66"/>
      <c r="AI103" s="66">
        <v>10</v>
      </c>
      <c r="AJ103" s="66"/>
      <c r="AK103" s="66"/>
      <c r="AL103" s="66"/>
      <c r="AM103" s="66"/>
      <c r="AN103" s="67">
        <f t="shared" si="1"/>
        <v>10</v>
      </c>
      <c r="AO103" s="66"/>
      <c r="AP103" s="68">
        <f t="shared" si="2"/>
        <v>389.2405</v>
      </c>
      <c r="AQ103" s="69"/>
      <c r="AR103" s="22"/>
      <c r="AS103" s="70">
        <f>'Daily Halba'!$U103-'Daily Halba'!$AP103</f>
        <v>3196.6087345596429</v>
      </c>
      <c r="AT103" s="5"/>
      <c r="AU103" s="5"/>
      <c r="AV103" s="5"/>
    </row>
    <row r="104" spans="1:48" ht="12.75" customHeight="1" x14ac:dyDescent="0.3">
      <c r="A104" s="49">
        <v>46041</v>
      </c>
      <c r="B104" s="77"/>
      <c r="C104" s="51">
        <f>'ODOMETERS Halba'!J100</f>
        <v>1948</v>
      </c>
      <c r="D104" s="52">
        <v>0.73799999999999999</v>
      </c>
      <c r="E104" s="53">
        <f>'Daily Halba'!$C104*'Daily Halba'!$D104</f>
        <v>1437.624</v>
      </c>
      <c r="F104" s="54">
        <f>'ODOMETERS Halba'!K100</f>
        <v>1131</v>
      </c>
      <c r="G104" s="52">
        <v>0.73799999999999999</v>
      </c>
      <c r="H104" s="53">
        <f>'Daily Halba'!$F104*'Daily Halba'!$G104</f>
        <v>834.678</v>
      </c>
      <c r="I104" s="54">
        <f>'Daily Halba'!$C104+'Daily Halba'!$F104</f>
        <v>3079</v>
      </c>
      <c r="J104" s="55">
        <f>'Daily Halba'!$I104*'Daily Halba'!$G104</f>
        <v>2272.3020000000001</v>
      </c>
      <c r="K104" s="56">
        <f>'ODOMETERS Halba'!L100</f>
        <v>2985</v>
      </c>
      <c r="L104" s="57">
        <v>0.69230000000000003</v>
      </c>
      <c r="M104" s="58">
        <f>'Daily Halba'!$K104*'Daily Halba'!$L104</f>
        <v>2066.5155</v>
      </c>
      <c r="N104" s="71">
        <f>250/89.7+5+250/89.7+250/89.7+300/89.7+4</f>
        <v>20.705685618729099</v>
      </c>
      <c r="O104" s="71">
        <f>1200/89.7</f>
        <v>13.377926421404682</v>
      </c>
      <c r="P104" s="71">
        <f>6250/89.7</f>
        <v>69.676700111482717</v>
      </c>
      <c r="Q104" s="71"/>
      <c r="R104" s="71"/>
      <c r="S104" s="71">
        <f>50+21+6000</f>
        <v>6071</v>
      </c>
      <c r="T104" s="71">
        <f>300/89.7</f>
        <v>3.3444816053511706</v>
      </c>
      <c r="U104" s="61">
        <f>SUM('Daily Halba'!$E104,'Daily Halba'!$H104,$M104:$T104)</f>
        <v>10516.922293756967</v>
      </c>
      <c r="V104" s="22"/>
      <c r="W104" s="62">
        <f>2000*0.6923+40+20*0.738+203*0.6923+9</f>
        <v>1588.8969000000002</v>
      </c>
      <c r="X104" s="62"/>
      <c r="Y104" s="62">
        <f>(27+27+18+20+20+18)*0.738</f>
        <v>95.94</v>
      </c>
      <c r="Z104" s="62">
        <v>38</v>
      </c>
      <c r="AA104" s="63"/>
      <c r="AB104" s="64"/>
      <c r="AC104" s="64"/>
      <c r="AD104" s="64"/>
      <c r="AE104" s="65">
        <f t="shared" si="0"/>
        <v>0</v>
      </c>
      <c r="AF104" s="66"/>
      <c r="AG104" s="66"/>
      <c r="AH104" s="66"/>
      <c r="AI104" s="66">
        <f>400/89.7+5</f>
        <v>9.4593088071348941</v>
      </c>
      <c r="AJ104" s="66"/>
      <c r="AK104" s="66">
        <f>600/89.7</f>
        <v>6.6889632107023411</v>
      </c>
      <c r="AL104" s="66"/>
      <c r="AM104" s="66"/>
      <c r="AN104" s="67">
        <f t="shared" si="1"/>
        <v>16.148272017837236</v>
      </c>
      <c r="AO104" s="66"/>
      <c r="AP104" s="68">
        <f t="shared" si="2"/>
        <v>1738.9851720178374</v>
      </c>
      <c r="AQ104" s="232" t="s">
        <v>97</v>
      </c>
      <c r="AR104" s="22"/>
      <c r="AS104" s="70">
        <f>'Daily Halba'!$U104-'Daily Halba'!$AP104</f>
        <v>8777.937121739129</v>
      </c>
      <c r="AT104" s="5"/>
      <c r="AU104" s="5"/>
      <c r="AV104" s="19"/>
    </row>
    <row r="105" spans="1:48" ht="12.75" customHeight="1" x14ac:dyDescent="0.3">
      <c r="A105" s="49">
        <v>46042</v>
      </c>
      <c r="B105" s="77" t="s">
        <v>24</v>
      </c>
      <c r="C105" s="51">
        <f>'ODOMETERS Halba'!J101</f>
        <v>999</v>
      </c>
      <c r="D105" s="52">
        <v>0.73799999999999999</v>
      </c>
      <c r="E105" s="53">
        <f>'Daily Halba'!$C105*'Daily Halba'!$D105</f>
        <v>737.26199999999994</v>
      </c>
      <c r="F105" s="54">
        <f>'ODOMETERS Halba'!K101</f>
        <v>642</v>
      </c>
      <c r="G105" s="52">
        <v>0.73799999999999999</v>
      </c>
      <c r="H105" s="53">
        <f>'Daily Halba'!$F105*'Daily Halba'!$G105</f>
        <v>473.79599999999999</v>
      </c>
      <c r="I105" s="54">
        <f>'Daily Halba'!$C105+'Daily Halba'!$F105</f>
        <v>1641</v>
      </c>
      <c r="J105" s="55">
        <f>'Daily Halba'!$I105*'Daily Halba'!$G105</f>
        <v>1211.058</v>
      </c>
      <c r="K105" s="56">
        <f>'ODOMETERS Halba'!L101</f>
        <v>514</v>
      </c>
      <c r="L105" s="57">
        <v>0.69230000000000003</v>
      </c>
      <c r="M105" s="58">
        <f>'Daily Halba'!$K105*'Daily Halba'!$L105</f>
        <v>355.84219999999999</v>
      </c>
      <c r="N105" s="71">
        <f>600/89.7+10+250/89.7+150/89.7+5</f>
        <v>26.148272017837233</v>
      </c>
      <c r="O105" s="71"/>
      <c r="P105" s="71">
        <f>1250/89.7</f>
        <v>13.935340022296543</v>
      </c>
      <c r="Q105" s="71"/>
      <c r="R105" s="71"/>
      <c r="S105" s="71"/>
      <c r="T105" s="71"/>
      <c r="U105" s="61">
        <f>SUM('Daily Halba'!$E105,'Daily Halba'!$H105,$M105:$T105)</f>
        <v>1606.9838120401337</v>
      </c>
      <c r="V105" s="22"/>
      <c r="W105" s="62">
        <f>5+69+5</f>
        <v>79</v>
      </c>
      <c r="X105" s="62"/>
      <c r="Y105" s="62">
        <f>27*0.738</f>
        <v>19.925999999999998</v>
      </c>
      <c r="Z105" s="62"/>
      <c r="AA105" s="63"/>
      <c r="AB105" s="64"/>
      <c r="AC105" s="64">
        <v>196.5</v>
      </c>
      <c r="AD105" s="64"/>
      <c r="AE105" s="65">
        <f t="shared" si="0"/>
        <v>196.5</v>
      </c>
      <c r="AF105" s="66"/>
      <c r="AG105" s="66"/>
      <c r="AH105" s="66"/>
      <c r="AI105" s="66">
        <v>5</v>
      </c>
      <c r="AJ105" s="66"/>
      <c r="AK105" s="66"/>
      <c r="AL105" s="66"/>
      <c r="AM105" s="66"/>
      <c r="AN105" s="67">
        <f t="shared" si="1"/>
        <v>5</v>
      </c>
      <c r="AO105" s="66"/>
      <c r="AP105" s="68">
        <f t="shared" si="2"/>
        <v>300.42599999999999</v>
      </c>
      <c r="AQ105" s="69"/>
      <c r="AR105" s="22"/>
      <c r="AS105" s="70">
        <f>'Daily Halba'!$U105-'Daily Halba'!$AP105</f>
        <v>1306.5578120401337</v>
      </c>
      <c r="AT105" s="5"/>
      <c r="AU105" s="5"/>
      <c r="AV105" s="5"/>
    </row>
    <row r="106" spans="1:48" ht="12.75" customHeight="1" x14ac:dyDescent="0.3">
      <c r="A106" s="49">
        <v>46042</v>
      </c>
      <c r="B106" s="77" t="s">
        <v>25</v>
      </c>
      <c r="C106" s="51">
        <f>'ODOMETERS Halba'!J102</f>
        <v>818</v>
      </c>
      <c r="D106" s="52">
        <v>0.73909999999999998</v>
      </c>
      <c r="E106" s="53">
        <f>'Daily Halba'!$C106*'Daily Halba'!$D106</f>
        <v>604.5838</v>
      </c>
      <c r="F106" s="54">
        <f>'ODOMETERS Halba'!K102</f>
        <v>722</v>
      </c>
      <c r="G106" s="52">
        <v>0.73909999999999998</v>
      </c>
      <c r="H106" s="53">
        <f>'Daily Halba'!$F106*'Daily Halba'!$G106</f>
        <v>533.63019999999995</v>
      </c>
      <c r="I106" s="54">
        <f>'Daily Halba'!$C106+'Daily Halba'!$F106</f>
        <v>1540</v>
      </c>
      <c r="J106" s="55">
        <f>'Daily Halba'!$I106*'Daily Halba'!$G106</f>
        <v>1138.2139999999999</v>
      </c>
      <c r="K106" s="56">
        <f>'ODOMETERS Halba'!L102</f>
        <v>1073</v>
      </c>
      <c r="L106" s="57">
        <v>0.69569999999999999</v>
      </c>
      <c r="M106" s="58">
        <f>'Daily Halba'!$K106*'Daily Halba'!$L106</f>
        <v>746.48609999999996</v>
      </c>
      <c r="N106" s="71">
        <v>11</v>
      </c>
      <c r="O106" s="71">
        <v>15.6</v>
      </c>
      <c r="P106" s="71">
        <v>83.61</v>
      </c>
      <c r="Q106" s="71"/>
      <c r="R106" s="71"/>
      <c r="S106" s="71"/>
      <c r="T106" s="71"/>
      <c r="U106" s="61">
        <f>SUM('Daily Halba'!$E106,'Daily Halba'!$H106,$M106:$T106)</f>
        <v>1994.9100999999998</v>
      </c>
      <c r="V106" s="22"/>
      <c r="W106" s="62">
        <f>152.14+397.94</f>
        <v>550.07999999999993</v>
      </c>
      <c r="X106" s="79"/>
      <c r="Y106" s="62">
        <f>47*0.7391</f>
        <v>34.737699999999997</v>
      </c>
      <c r="Z106" s="62">
        <v>-11</v>
      </c>
      <c r="AA106" s="63">
        <v>79</v>
      </c>
      <c r="AB106" s="64"/>
      <c r="AC106" s="64"/>
      <c r="AD106" s="64"/>
      <c r="AE106" s="65">
        <f t="shared" si="0"/>
        <v>79</v>
      </c>
      <c r="AF106" s="66"/>
      <c r="AG106" s="66"/>
      <c r="AH106" s="66"/>
      <c r="AI106" s="66">
        <v>35</v>
      </c>
      <c r="AJ106" s="66"/>
      <c r="AK106" s="66"/>
      <c r="AL106" s="66"/>
      <c r="AM106" s="66"/>
      <c r="AN106" s="67">
        <f t="shared" si="1"/>
        <v>35</v>
      </c>
      <c r="AO106" s="66"/>
      <c r="AP106" s="68">
        <f t="shared" si="2"/>
        <v>687.81769999999995</v>
      </c>
      <c r="AQ106" s="69"/>
      <c r="AR106" s="22"/>
      <c r="AS106" s="70">
        <f>'Daily Halba'!$U106-'Daily Halba'!$AP106</f>
        <v>1307.0924</v>
      </c>
      <c r="AT106" s="5"/>
      <c r="AU106" s="5"/>
      <c r="AV106" s="5"/>
    </row>
    <row r="107" spans="1:48" ht="12.75" customHeight="1" x14ac:dyDescent="0.3">
      <c r="A107" s="49">
        <v>46043</v>
      </c>
      <c r="B107" s="77"/>
      <c r="C107" s="51">
        <f>'ODOMETERS Halba'!J103</f>
        <v>2007</v>
      </c>
      <c r="D107" s="52">
        <v>0.73909999999999998</v>
      </c>
      <c r="E107" s="53">
        <f>'Daily Halba'!$C107*'Daily Halba'!$D107</f>
        <v>1483.3736999999999</v>
      </c>
      <c r="F107" s="54">
        <f>'ODOMETERS Halba'!K103</f>
        <v>1329</v>
      </c>
      <c r="G107" s="52">
        <v>0.73909999999999998</v>
      </c>
      <c r="H107" s="53">
        <f>'Daily Halba'!$F107*'Daily Halba'!$G107</f>
        <v>982.26389999999992</v>
      </c>
      <c r="I107" s="54">
        <f>'Daily Halba'!$C107+'Daily Halba'!$F107</f>
        <v>3336</v>
      </c>
      <c r="J107" s="55">
        <f>'Daily Halba'!$I107*'Daily Halba'!$G107</f>
        <v>2465.6376</v>
      </c>
      <c r="K107" s="56">
        <f>'ODOMETERS Halba'!L103</f>
        <v>686</v>
      </c>
      <c r="L107" s="57">
        <v>0.69569999999999999</v>
      </c>
      <c r="M107" s="58">
        <f>'Daily Halba'!$K107*'Daily Halba'!$L107</f>
        <v>477.25020000000001</v>
      </c>
      <c r="N107" s="71">
        <f>300/89.7+25+20+5+300/89.7+5</f>
        <v>61.68896321070234</v>
      </c>
      <c r="O107" s="71">
        <f>300/89.7</f>
        <v>3.3444816053511706</v>
      </c>
      <c r="P107" s="71">
        <f>12*1250/89.7</f>
        <v>167.22408026755852</v>
      </c>
      <c r="Q107" s="71">
        <v>5</v>
      </c>
      <c r="R107" s="71"/>
      <c r="S107" s="71">
        <f>1050*0.6921+500+1600+140+35</f>
        <v>3001.7049999999999</v>
      </c>
      <c r="T107" s="71">
        <f>(150+150+150+150)/89.7</f>
        <v>6.6889632107023411</v>
      </c>
      <c r="U107" s="61">
        <f>SUM('Daily Halba'!$E107,'Daily Halba'!$H107,$M107:$T107)</f>
        <v>6188.5392882943142</v>
      </c>
      <c r="V107" s="22"/>
      <c r="W107" s="62">
        <f>10+32+22+30+10+90*0.6957+30</f>
        <v>196.613</v>
      </c>
      <c r="X107" s="62">
        <v>726.70500000000004</v>
      </c>
      <c r="Y107" s="62">
        <f>(18+20+20+18+17+20+27+20+20+27)*0.7391</f>
        <v>152.99369999999999</v>
      </c>
      <c r="Z107" s="62"/>
      <c r="AA107" s="63"/>
      <c r="AB107" s="64"/>
      <c r="AC107" s="64">
        <v>262.5</v>
      </c>
      <c r="AD107" s="64"/>
      <c r="AE107" s="65">
        <f t="shared" si="0"/>
        <v>262.5</v>
      </c>
      <c r="AF107" s="66"/>
      <c r="AG107" s="66">
        <v>130</v>
      </c>
      <c r="AH107" s="66"/>
      <c r="AI107" s="66">
        <v>5</v>
      </c>
      <c r="AJ107" s="66"/>
      <c r="AK107" s="66"/>
      <c r="AL107" s="66"/>
      <c r="AM107" s="66"/>
      <c r="AN107" s="67">
        <f t="shared" si="1"/>
        <v>135</v>
      </c>
      <c r="AO107" s="66"/>
      <c r="AP107" s="68">
        <f t="shared" si="2"/>
        <v>1473.8117</v>
      </c>
      <c r="AQ107" s="69"/>
      <c r="AR107" s="22"/>
      <c r="AS107" s="70">
        <f>'Daily Halba'!$U107-'Daily Halba'!$AP107</f>
        <v>4714.727588294314</v>
      </c>
      <c r="AT107" s="5"/>
      <c r="AU107" s="5"/>
      <c r="AV107" s="5"/>
    </row>
    <row r="108" spans="1:48" ht="12.75" customHeight="1" x14ac:dyDescent="0.3">
      <c r="A108" s="49">
        <v>46044</v>
      </c>
      <c r="B108" s="77"/>
      <c r="C108" s="51">
        <f>'ODOMETERS Halba'!J104</f>
        <v>1874</v>
      </c>
      <c r="D108" s="52">
        <v>0.73909999999999998</v>
      </c>
      <c r="E108" s="53">
        <f>'Daily Halba'!$C108*'Daily Halba'!$D108</f>
        <v>1385.0734</v>
      </c>
      <c r="F108" s="54">
        <f>'ODOMETERS Halba'!K104</f>
        <v>842</v>
      </c>
      <c r="G108" s="52">
        <v>0.73909999999999998</v>
      </c>
      <c r="H108" s="53">
        <f>'Daily Halba'!$F108*'Daily Halba'!$G108</f>
        <v>622.32219999999995</v>
      </c>
      <c r="I108" s="54">
        <f>'Daily Halba'!$C108+'Daily Halba'!$F108</f>
        <v>2716</v>
      </c>
      <c r="J108" s="55">
        <f>'Daily Halba'!$I108*'Daily Halba'!$G108</f>
        <v>2007.3955999999998</v>
      </c>
      <c r="K108" s="56">
        <f>'ODOMETERS Halba'!L104</f>
        <v>3190</v>
      </c>
      <c r="L108" s="57">
        <v>0.69569999999999999</v>
      </c>
      <c r="M108" s="58">
        <f>'Daily Halba'!$K108*'Daily Halba'!$L108</f>
        <v>2219.2829999999999</v>
      </c>
      <c r="N108" s="71">
        <v>6.78</v>
      </c>
      <c r="O108" s="71">
        <v>10</v>
      </c>
      <c r="P108" s="71">
        <v>111.48</v>
      </c>
      <c r="Q108" s="71">
        <v>5</v>
      </c>
      <c r="R108" s="71"/>
      <c r="S108" s="71">
        <v>265</v>
      </c>
      <c r="T108" s="71">
        <v>8.36</v>
      </c>
      <c r="U108" s="61">
        <f>SUM('Daily Halba'!$E108,'Daily Halba'!$H108,$M108:$T108)</f>
        <v>4633.2985999999983</v>
      </c>
      <c r="V108" s="22"/>
      <c r="W108" s="62">
        <f>90.6+1739</f>
        <v>1829.6</v>
      </c>
      <c r="X108" s="62"/>
      <c r="Y108" s="62">
        <v>140.41999999999999</v>
      </c>
      <c r="Z108" s="62"/>
      <c r="AA108" s="63"/>
      <c r="AB108" s="64"/>
      <c r="AC108" s="64">
        <v>92</v>
      </c>
      <c r="AD108" s="64"/>
      <c r="AE108" s="65">
        <f t="shared" si="0"/>
        <v>92</v>
      </c>
      <c r="AF108" s="66"/>
      <c r="AG108" s="66"/>
      <c r="AH108" s="66"/>
      <c r="AI108" s="66"/>
      <c r="AJ108" s="66"/>
      <c r="AK108" s="66"/>
      <c r="AL108" s="66"/>
      <c r="AM108" s="66"/>
      <c r="AN108" s="67">
        <f t="shared" si="1"/>
        <v>0</v>
      </c>
      <c r="AO108" s="66"/>
      <c r="AP108" s="68">
        <f t="shared" si="2"/>
        <v>2062.02</v>
      </c>
      <c r="AQ108" s="69"/>
      <c r="AR108" s="22"/>
      <c r="AS108" s="70">
        <f>'Daily Halba'!$U108-'Daily Halba'!$AP108</f>
        <v>2571.2785999999983</v>
      </c>
      <c r="AT108" s="5"/>
      <c r="AU108" s="5"/>
      <c r="AV108" s="5"/>
    </row>
    <row r="109" spans="1:48" ht="12.75" customHeight="1" x14ac:dyDescent="0.3">
      <c r="A109" s="49">
        <v>46045</v>
      </c>
      <c r="B109" s="77" t="s">
        <v>24</v>
      </c>
      <c r="C109" s="51">
        <f>'ODOMETERS Halba'!J105</f>
        <v>801</v>
      </c>
      <c r="D109" s="52">
        <v>0.73909999999999998</v>
      </c>
      <c r="E109" s="53">
        <f>'Daily Halba'!$C109*'Daily Halba'!$D109</f>
        <v>592.01909999999998</v>
      </c>
      <c r="F109" s="54">
        <f>'ODOMETERS Halba'!K105</f>
        <v>527</v>
      </c>
      <c r="G109" s="52">
        <v>0.73909999999999998</v>
      </c>
      <c r="H109" s="53">
        <f>'Daily Halba'!$F109*'Daily Halba'!$G109</f>
        <v>389.50569999999999</v>
      </c>
      <c r="I109" s="54">
        <f>'Daily Halba'!$C109+'Daily Halba'!$F109</f>
        <v>1328</v>
      </c>
      <c r="J109" s="55">
        <f>'Daily Halba'!$I109*'Daily Halba'!$G109</f>
        <v>981.52480000000003</v>
      </c>
      <c r="K109" s="56">
        <f>'ODOMETERS Halba'!L105</f>
        <v>666</v>
      </c>
      <c r="L109" s="57">
        <v>0.69569999999999999</v>
      </c>
      <c r="M109" s="58">
        <f>'Daily Halba'!$K109*'Daily Halba'!$L109</f>
        <v>463.33619999999996</v>
      </c>
      <c r="N109" s="71">
        <v>9</v>
      </c>
      <c r="O109" s="71"/>
      <c r="P109" s="71">
        <f>3*1250/89.7</f>
        <v>41.80602006688963</v>
      </c>
      <c r="Q109" s="71"/>
      <c r="R109" s="71"/>
      <c r="S109" s="71">
        <v>20</v>
      </c>
      <c r="T109" s="71">
        <f>(150+75)/89.5</f>
        <v>2.5139664804469275</v>
      </c>
      <c r="U109" s="61">
        <f>SUM('Daily Halba'!$E109,'Daily Halba'!$H109,$M109:$T109)</f>
        <v>1518.1809865473365</v>
      </c>
      <c r="V109" s="22"/>
      <c r="W109" s="62">
        <v>20</v>
      </c>
      <c r="X109" s="62">
        <f>500*0.6957</f>
        <v>347.84999999999997</v>
      </c>
      <c r="Y109" s="62">
        <f>(20+18+10)*0.7391</f>
        <v>35.476799999999997</v>
      </c>
      <c r="Z109" s="62">
        <v>5</v>
      </c>
      <c r="AA109" s="63"/>
      <c r="AB109" s="64"/>
      <c r="AC109" s="64"/>
      <c r="AD109" s="64"/>
      <c r="AE109" s="65">
        <f t="shared" si="0"/>
        <v>0</v>
      </c>
      <c r="AF109" s="66"/>
      <c r="AG109" s="66"/>
      <c r="AH109" s="66"/>
      <c r="AI109" s="66">
        <v>5</v>
      </c>
      <c r="AJ109" s="66"/>
      <c r="AK109" s="66">
        <f>300/89.7</f>
        <v>3.3444816053511706</v>
      </c>
      <c r="AL109" s="66"/>
      <c r="AM109" s="66"/>
      <c r="AN109" s="67">
        <f t="shared" si="1"/>
        <v>8.3444816053511701</v>
      </c>
      <c r="AO109" s="66"/>
      <c r="AP109" s="68">
        <f t="shared" si="2"/>
        <v>416.67128160535111</v>
      </c>
      <c r="AQ109" s="69"/>
      <c r="AR109" s="22"/>
      <c r="AS109" s="70">
        <f>'Daily Halba'!$U109-'Daily Halba'!$AP109</f>
        <v>1101.5097049419853</v>
      </c>
      <c r="AT109" s="5"/>
      <c r="AU109" s="5"/>
      <c r="AV109" s="5"/>
    </row>
    <row r="110" spans="1:48" ht="12.75" customHeight="1" x14ac:dyDescent="0.3">
      <c r="A110" s="49">
        <v>46045</v>
      </c>
      <c r="B110" s="77" t="s">
        <v>25</v>
      </c>
      <c r="C110" s="51">
        <f>'ODOMETERS Halba'!J106</f>
        <v>1065</v>
      </c>
      <c r="D110" s="52">
        <v>0.74409999999999998</v>
      </c>
      <c r="E110" s="53">
        <f>'Daily Halba'!$C110*'Daily Halba'!$D110</f>
        <v>792.4665</v>
      </c>
      <c r="F110" s="54">
        <f>'ODOMETERS Halba'!K106</f>
        <v>650</v>
      </c>
      <c r="G110" s="52">
        <v>0.74409999999999998</v>
      </c>
      <c r="H110" s="53">
        <f>'Daily Halba'!$F110*'Daily Halba'!$G110</f>
        <v>483.66499999999996</v>
      </c>
      <c r="I110" s="54">
        <f>'Daily Halba'!$C110+'Daily Halba'!$F110</f>
        <v>1715</v>
      </c>
      <c r="J110" s="55">
        <f>'Daily Halba'!$I110*'Daily Halba'!$G110</f>
        <v>1276.1315</v>
      </c>
      <c r="K110" s="56">
        <f>'ODOMETERS Halba'!L106</f>
        <v>769</v>
      </c>
      <c r="L110" s="57">
        <v>0.70350000000000001</v>
      </c>
      <c r="M110" s="58">
        <f>'Daily Halba'!$K110*'Daily Halba'!$L110</f>
        <v>540.99149999999997</v>
      </c>
      <c r="N110" s="71">
        <f>550/89.7+7</f>
        <v>13.131549609810479</v>
      </c>
      <c r="O110" s="71">
        <v>20</v>
      </c>
      <c r="P110" s="71">
        <f>3*1250/89.7</f>
        <v>41.80602006688963</v>
      </c>
      <c r="Q110" s="71"/>
      <c r="R110" s="71"/>
      <c r="S110" s="71"/>
      <c r="T110" s="71">
        <f>(1100+750)/89.7</f>
        <v>20.624303232998884</v>
      </c>
      <c r="U110" s="61">
        <f>SUM('Daily Halba'!$E110,'Daily Halba'!$H110,$M110:$T110)</f>
        <v>1912.6848729096992</v>
      </c>
      <c r="V110" s="22"/>
      <c r="W110" s="62">
        <f>700/89.7+20+141*0.7035</f>
        <v>126.99729041248607</v>
      </c>
      <c r="X110" s="62"/>
      <c r="Y110" s="62">
        <f>(27+36+100)*0.7441+(150+130)*0.7035</f>
        <v>318.26830000000001</v>
      </c>
      <c r="Z110" s="62"/>
      <c r="AA110" s="63"/>
      <c r="AB110" s="64"/>
      <c r="AC110" s="64">
        <v>131</v>
      </c>
      <c r="AD110" s="64"/>
      <c r="AE110" s="65">
        <f t="shared" si="0"/>
        <v>131</v>
      </c>
      <c r="AF110" s="66"/>
      <c r="AG110" s="66"/>
      <c r="AH110" s="66"/>
      <c r="AI110" s="66"/>
      <c r="AJ110" s="66"/>
      <c r="AK110" s="66">
        <v>3</v>
      </c>
      <c r="AL110" s="66"/>
      <c r="AM110" s="66"/>
      <c r="AN110" s="67">
        <f t="shared" si="1"/>
        <v>3</v>
      </c>
      <c r="AO110" s="66"/>
      <c r="AP110" s="68">
        <f t="shared" si="2"/>
        <v>579.26559041248606</v>
      </c>
      <c r="AQ110" s="69"/>
      <c r="AR110" s="22"/>
      <c r="AS110" s="70">
        <f>'Daily Halba'!$U110-'Daily Halba'!$AP110</f>
        <v>1333.4192824972131</v>
      </c>
      <c r="AT110" s="5"/>
      <c r="AU110" s="5"/>
      <c r="AV110" s="5"/>
    </row>
    <row r="111" spans="1:48" ht="12.75" customHeight="1" x14ac:dyDescent="0.3">
      <c r="A111" s="49">
        <v>46046</v>
      </c>
      <c r="B111" s="77"/>
      <c r="C111" s="51">
        <f>'ODOMETERS Halba'!J107</f>
        <v>1700</v>
      </c>
      <c r="D111" s="52">
        <v>0.74409999999999998</v>
      </c>
      <c r="E111" s="53">
        <f>'Daily Halba'!$C111*'Daily Halba'!$D111</f>
        <v>1264.97</v>
      </c>
      <c r="F111" s="54">
        <f>'ODOMETERS Halba'!K107</f>
        <v>1228</v>
      </c>
      <c r="G111" s="52">
        <v>0.74409999999999998</v>
      </c>
      <c r="H111" s="53">
        <f>'Daily Halba'!$F111*'Daily Halba'!$G111</f>
        <v>913.75479999999993</v>
      </c>
      <c r="I111" s="54">
        <f>'Daily Halba'!$C111+'Daily Halba'!$F111</f>
        <v>2928</v>
      </c>
      <c r="J111" s="55">
        <f>'Daily Halba'!$I111*'Daily Halba'!$G111</f>
        <v>2178.7248</v>
      </c>
      <c r="K111" s="56">
        <f>'ODOMETERS Halba'!L107</f>
        <v>2601</v>
      </c>
      <c r="L111" s="57">
        <v>0.70350000000000001</v>
      </c>
      <c r="M111" s="58">
        <f>'Daily Halba'!$K111*'Daily Halba'!$L111</f>
        <v>1829.8035</v>
      </c>
      <c r="N111" s="71">
        <v>61.75</v>
      </c>
      <c r="O111" s="71">
        <v>11</v>
      </c>
      <c r="P111" s="71">
        <v>55.74</v>
      </c>
      <c r="Q111" s="71"/>
      <c r="R111" s="71"/>
      <c r="S111" s="71">
        <v>800</v>
      </c>
      <c r="T111" s="71">
        <v>8.36</v>
      </c>
      <c r="U111" s="61">
        <f>SUM('Daily Halba'!$E111,'Daily Halba'!$H111,$M111:$T111)</f>
        <v>4945.3782999999994</v>
      </c>
      <c r="V111" s="22"/>
      <c r="W111" s="62">
        <f>177.57+1407+20</f>
        <v>1604.57</v>
      </c>
      <c r="X111" s="62"/>
      <c r="Y111" s="62">
        <v>87.8</v>
      </c>
      <c r="Z111" s="62">
        <v>3</v>
      </c>
      <c r="AA111" s="63">
        <v>12</v>
      </c>
      <c r="AB111" s="64"/>
      <c r="AC111" s="64">
        <v>79</v>
      </c>
      <c r="AD111" s="64"/>
      <c r="AE111" s="65">
        <f t="shared" si="0"/>
        <v>91</v>
      </c>
      <c r="AF111" s="66"/>
      <c r="AG111" s="66"/>
      <c r="AH111" s="66"/>
      <c r="AI111" s="66"/>
      <c r="AJ111" s="66"/>
      <c r="AK111" s="66"/>
      <c r="AL111" s="66"/>
      <c r="AM111" s="66"/>
      <c r="AN111" s="67">
        <f t="shared" si="1"/>
        <v>0</v>
      </c>
      <c r="AO111" s="66"/>
      <c r="AP111" s="68">
        <f t="shared" si="2"/>
        <v>1786.37</v>
      </c>
      <c r="AQ111" s="69"/>
      <c r="AR111" s="22"/>
      <c r="AS111" s="70">
        <f>'Daily Halba'!$U111-'Daily Halba'!$AP111</f>
        <v>3159.0082999999995</v>
      </c>
      <c r="AT111" s="5"/>
      <c r="AU111" s="5"/>
      <c r="AV111" s="5"/>
    </row>
    <row r="112" spans="1:48" ht="12.75" customHeight="1" x14ac:dyDescent="0.3">
      <c r="A112" s="49">
        <v>46047</v>
      </c>
      <c r="B112" s="77"/>
      <c r="C112" s="51">
        <f>'ODOMETERS Halba'!J108</f>
        <v>1776</v>
      </c>
      <c r="D112" s="52">
        <v>0.74409999999999998</v>
      </c>
      <c r="E112" s="53">
        <f>'Daily Halba'!$C112*'Daily Halba'!$D112</f>
        <v>1321.5216</v>
      </c>
      <c r="F112" s="54">
        <f>'ODOMETERS Halba'!K108</f>
        <v>1100</v>
      </c>
      <c r="G112" s="52">
        <v>0.74409999999999998</v>
      </c>
      <c r="H112" s="53">
        <f>'Daily Halba'!$F112*'Daily Halba'!$G112</f>
        <v>818.51</v>
      </c>
      <c r="I112" s="54">
        <f>'Daily Halba'!$C112+'Daily Halba'!$F112</f>
        <v>2876</v>
      </c>
      <c r="J112" s="55">
        <f>'Daily Halba'!$I112*'Daily Halba'!$G112</f>
        <v>2140.0315999999998</v>
      </c>
      <c r="K112" s="56">
        <f>'ODOMETERS Halba'!L108</f>
        <v>1366</v>
      </c>
      <c r="L112" s="57">
        <v>0.70350000000000001</v>
      </c>
      <c r="M112" s="58">
        <f>'Daily Halba'!$K112*'Daily Halba'!$L112</f>
        <v>960.98099999999999</v>
      </c>
      <c r="N112" s="71">
        <f>10+250/89.7</f>
        <v>12.787068004459309</v>
      </c>
      <c r="O112" s="71">
        <f>5+(400+300+300+300+400+400+400+400)/89.7</f>
        <v>37.329988851727983</v>
      </c>
      <c r="P112" s="71">
        <f>3*1250/89.7</f>
        <v>41.80602006688963</v>
      </c>
      <c r="Q112" s="71"/>
      <c r="R112" s="71"/>
      <c r="S112" s="71"/>
      <c r="T112" s="71">
        <f>600/89.7</f>
        <v>6.6889632107023411</v>
      </c>
      <c r="U112" s="61">
        <f>SUM('Daily Halba'!$E112,'Daily Halba'!$H112,$M112:$T112)</f>
        <v>3199.6246401337794</v>
      </c>
      <c r="V112" s="22"/>
      <c r="W112" s="62">
        <f>20+20+700/89.7+850*0.7035</f>
        <v>645.77879041248605</v>
      </c>
      <c r="X112" s="62"/>
      <c r="Y112" s="62">
        <f>(20+20+20+20)*0.7441</f>
        <v>59.527999999999999</v>
      </c>
      <c r="Z112" s="62">
        <v>6</v>
      </c>
      <c r="AA112" s="63"/>
      <c r="AB112" s="64"/>
      <c r="AC112" s="64"/>
      <c r="AD112" s="64"/>
      <c r="AE112" s="65">
        <f t="shared" si="0"/>
        <v>0</v>
      </c>
      <c r="AF112" s="66"/>
      <c r="AG112" s="66"/>
      <c r="AH112" s="66"/>
      <c r="AI112" s="66">
        <f>100/89.7</f>
        <v>1.1148272017837235</v>
      </c>
      <c r="AJ112" s="66"/>
      <c r="AK112" s="66"/>
      <c r="AL112" s="66"/>
      <c r="AM112" s="66"/>
      <c r="AN112" s="67">
        <f t="shared" si="1"/>
        <v>1.1148272017837235</v>
      </c>
      <c r="AO112" s="66"/>
      <c r="AP112" s="68">
        <f t="shared" si="2"/>
        <v>712.42161761426973</v>
      </c>
      <c r="AQ112" s="69"/>
      <c r="AR112" s="22"/>
      <c r="AS112" s="70">
        <f>'Daily Halba'!$U112-'Daily Halba'!$AP112</f>
        <v>2487.2030225195094</v>
      </c>
      <c r="AT112" s="5"/>
      <c r="AU112" s="5"/>
      <c r="AV112" s="5"/>
    </row>
    <row r="113" spans="1:48" ht="12.75" customHeight="1" x14ac:dyDescent="0.3">
      <c r="A113" s="49">
        <v>46048</v>
      </c>
      <c r="B113" s="77"/>
      <c r="C113" s="51">
        <f>'ODOMETERS Halba'!J109</f>
        <v>1981</v>
      </c>
      <c r="D113" s="52">
        <v>0.74409999999999998</v>
      </c>
      <c r="E113" s="53">
        <f>'Daily Halba'!$C113*'Daily Halba'!$D113</f>
        <v>1474.0620999999999</v>
      </c>
      <c r="F113" s="54">
        <f>'ODOMETERS Halba'!K109</f>
        <v>1267</v>
      </c>
      <c r="G113" s="52">
        <v>0.74409999999999998</v>
      </c>
      <c r="H113" s="53">
        <f>'Daily Halba'!$F113*'Daily Halba'!$G113</f>
        <v>942.77469999999994</v>
      </c>
      <c r="I113" s="54">
        <f>'Daily Halba'!$C113+'Daily Halba'!$F113</f>
        <v>3248</v>
      </c>
      <c r="J113" s="55">
        <f>'Daily Halba'!$I113*'Daily Halba'!$G113</f>
        <v>2416.8368</v>
      </c>
      <c r="K113" s="56">
        <f>'ODOMETERS Halba'!L109</f>
        <v>719</v>
      </c>
      <c r="L113" s="57">
        <v>0.70350000000000001</v>
      </c>
      <c r="M113" s="58">
        <f>'Daily Halba'!$K113*'Daily Halba'!$L113</f>
        <v>505.81650000000002</v>
      </c>
      <c r="N113" s="71">
        <v>15.6</v>
      </c>
      <c r="O113" s="71">
        <v>13.37</v>
      </c>
      <c r="P113" s="71">
        <v>125.41</v>
      </c>
      <c r="Q113" s="71"/>
      <c r="R113" s="71"/>
      <c r="S113" s="71"/>
      <c r="T113" s="71"/>
      <c r="U113" s="61">
        <f>SUM('Daily Halba'!$E113,'Daily Halba'!$H113,$M113:$T113)</f>
        <v>3077.0332999999996</v>
      </c>
      <c r="V113" s="22"/>
      <c r="W113" s="62">
        <f>105.26+110*0.7035</f>
        <v>182.64500000000001</v>
      </c>
      <c r="X113" s="62"/>
      <c r="Y113" s="62">
        <f>36*0.7441+25*0.7035</f>
        <v>44.375099999999996</v>
      </c>
      <c r="Z113" s="62">
        <v>9</v>
      </c>
      <c r="AA113" s="63">
        <f>273.4+226.92+134.4</f>
        <v>634.71999999999991</v>
      </c>
      <c r="AB113" s="64"/>
      <c r="AC113" s="64">
        <v>118</v>
      </c>
      <c r="AD113" s="64"/>
      <c r="AE113" s="65">
        <f t="shared" si="0"/>
        <v>752.71999999999991</v>
      </c>
      <c r="AF113" s="66"/>
      <c r="AG113" s="66"/>
      <c r="AH113" s="66"/>
      <c r="AI113" s="66"/>
      <c r="AJ113" s="66"/>
      <c r="AK113" s="66">
        <v>10</v>
      </c>
      <c r="AL113" s="66"/>
      <c r="AM113" s="66"/>
      <c r="AN113" s="67">
        <f t="shared" si="1"/>
        <v>10</v>
      </c>
      <c r="AO113" s="66"/>
      <c r="AP113" s="68">
        <f t="shared" si="2"/>
        <v>998.74009999999998</v>
      </c>
      <c r="AQ113" s="69"/>
      <c r="AR113" s="22"/>
      <c r="AS113" s="70">
        <f>'Daily Halba'!$U113-'Daily Halba'!$AP113</f>
        <v>2078.2931999999996</v>
      </c>
      <c r="AT113" s="5"/>
      <c r="AU113" s="5"/>
      <c r="AV113" s="5"/>
    </row>
    <row r="114" spans="1:48" ht="12.75" customHeight="1" x14ac:dyDescent="0.3">
      <c r="A114" s="49">
        <v>46049</v>
      </c>
      <c r="B114" s="77" t="s">
        <v>24</v>
      </c>
      <c r="C114" s="51">
        <f>'ODOMETERS Halba'!J110</f>
        <v>646</v>
      </c>
      <c r="D114" s="52">
        <v>0.74409999999999998</v>
      </c>
      <c r="E114" s="53">
        <f>'Daily Halba'!$C114*'Daily Halba'!$D114</f>
        <v>480.68860000000001</v>
      </c>
      <c r="F114" s="54">
        <f>'ODOMETERS Halba'!K110</f>
        <v>510</v>
      </c>
      <c r="G114" s="52">
        <v>0.74409999999999998</v>
      </c>
      <c r="H114" s="53">
        <f>'Daily Halba'!$F114*'Daily Halba'!$G114</f>
        <v>379.49099999999999</v>
      </c>
      <c r="I114" s="54">
        <f>'Daily Halba'!$C114+'Daily Halba'!$F114</f>
        <v>1156</v>
      </c>
      <c r="J114" s="55">
        <f>'Daily Halba'!$I114*'Daily Halba'!$G114</f>
        <v>860.17959999999994</v>
      </c>
      <c r="K114" s="56">
        <f>'ODOMETERS Halba'!L110</f>
        <v>247</v>
      </c>
      <c r="L114" s="57">
        <v>0.70350000000000001</v>
      </c>
      <c r="M114" s="58">
        <f>'Daily Halba'!$K114*'Daily Halba'!$L114</f>
        <v>173.7645</v>
      </c>
      <c r="N114" s="71">
        <f>850/89.7</f>
        <v>9.4760312151616493</v>
      </c>
      <c r="O114" s="71"/>
      <c r="P114" s="71">
        <v>14</v>
      </c>
      <c r="Q114" s="71"/>
      <c r="R114" s="71"/>
      <c r="S114" s="71"/>
      <c r="T114" s="71"/>
      <c r="U114" s="61">
        <f>SUM('Daily Halba'!$E114,'Daily Halba'!$H114,$M114:$T114)</f>
        <v>1057.4201312151615</v>
      </c>
      <c r="V114" s="22"/>
      <c r="W114" s="62">
        <f>147*0.7035+5+20+1000/89.7</f>
        <v>139.56277201783723</v>
      </c>
      <c r="X114" s="62"/>
      <c r="Y114" s="62"/>
      <c r="Z114" s="62">
        <v>4</v>
      </c>
      <c r="AA114" s="63"/>
      <c r="AB114" s="64"/>
      <c r="AC114" s="64"/>
      <c r="AD114" s="64"/>
      <c r="AE114" s="65">
        <f t="shared" si="0"/>
        <v>0</v>
      </c>
      <c r="AF114" s="66"/>
      <c r="AG114" s="66"/>
      <c r="AH114" s="66"/>
      <c r="AI114" s="66"/>
      <c r="AJ114" s="66"/>
      <c r="AK114" s="66"/>
      <c r="AL114" s="66"/>
      <c r="AM114" s="66"/>
      <c r="AN114" s="67">
        <f t="shared" si="1"/>
        <v>0</v>
      </c>
      <c r="AO114" s="66"/>
      <c r="AP114" s="68">
        <f t="shared" si="2"/>
        <v>143.56277201783723</v>
      </c>
      <c r="AQ114" s="69"/>
      <c r="AR114" s="22"/>
      <c r="AS114" s="70">
        <f>'Daily Halba'!$U114-'Daily Halba'!$AP114</f>
        <v>913.85735919732429</v>
      </c>
      <c r="AT114" s="5"/>
      <c r="AU114" s="5"/>
      <c r="AV114" s="5"/>
    </row>
    <row r="115" spans="1:48" ht="12.75" customHeight="1" x14ac:dyDescent="0.3">
      <c r="A115" s="49">
        <v>46049</v>
      </c>
      <c r="B115" s="77" t="s">
        <v>25</v>
      </c>
      <c r="C115" s="51">
        <f>'ODOMETERS Halba'!J111</f>
        <v>704</v>
      </c>
      <c r="D115" s="52">
        <v>0.748</v>
      </c>
      <c r="E115" s="53">
        <f>'Daily Halba'!$C115*'Daily Halba'!$D115</f>
        <v>526.59199999999998</v>
      </c>
      <c r="F115" s="54">
        <f>'ODOMETERS Halba'!K111</f>
        <v>686</v>
      </c>
      <c r="G115" s="52">
        <v>0.748</v>
      </c>
      <c r="H115" s="53">
        <f>'Daily Halba'!$F115*'Daily Halba'!$G115</f>
        <v>513.12800000000004</v>
      </c>
      <c r="I115" s="54">
        <f>'Daily Halba'!$C115+'Daily Halba'!$F115</f>
        <v>1390</v>
      </c>
      <c r="J115" s="55">
        <f>'Daily Halba'!$I115*'Daily Halba'!$G115</f>
        <v>1039.72</v>
      </c>
      <c r="K115" s="56">
        <f>'ODOMETERS Halba'!L111</f>
        <v>292</v>
      </c>
      <c r="L115" s="57">
        <v>0.70850000000000002</v>
      </c>
      <c r="M115" s="58">
        <f>'Daily Halba'!$K115*'Daily Halba'!$L115</f>
        <v>206.88200000000001</v>
      </c>
      <c r="N115" s="71">
        <f>2.78+5</f>
        <v>7.7799999999999994</v>
      </c>
      <c r="O115" s="71">
        <v>8.91</v>
      </c>
      <c r="P115" s="71">
        <v>28</v>
      </c>
      <c r="Q115" s="71"/>
      <c r="R115" s="71"/>
      <c r="S115" s="71"/>
      <c r="T115" s="71"/>
      <c r="U115" s="61">
        <f>SUM('Daily Halba'!$E115,'Daily Halba'!$H115,$M115:$T115)</f>
        <v>1291.2920000000001</v>
      </c>
      <c r="V115" s="22"/>
      <c r="W115" s="62">
        <v>256.68</v>
      </c>
      <c r="X115" s="62"/>
      <c r="Y115" s="62"/>
      <c r="Z115" s="62">
        <v>-1</v>
      </c>
      <c r="AA115" s="63"/>
      <c r="AB115" s="64"/>
      <c r="AC115" s="64">
        <v>65.599999999999994</v>
      </c>
      <c r="AD115" s="64"/>
      <c r="AE115" s="65">
        <f t="shared" si="0"/>
        <v>65.599999999999994</v>
      </c>
      <c r="AF115" s="66"/>
      <c r="AG115" s="66"/>
      <c r="AH115" s="66"/>
      <c r="AI115" s="66"/>
      <c r="AJ115" s="66"/>
      <c r="AK115" s="66"/>
      <c r="AL115" s="66"/>
      <c r="AM115" s="66"/>
      <c r="AN115" s="67">
        <f t="shared" si="1"/>
        <v>0</v>
      </c>
      <c r="AO115" s="66"/>
      <c r="AP115" s="68">
        <f t="shared" si="2"/>
        <v>321.27999999999997</v>
      </c>
      <c r="AQ115" s="69"/>
      <c r="AR115" s="22"/>
      <c r="AS115" s="70">
        <f>'Daily Halba'!$U115-'Daily Halba'!$AP115</f>
        <v>970.01200000000017</v>
      </c>
      <c r="AT115" s="5"/>
      <c r="AU115" s="5"/>
      <c r="AV115" s="5"/>
    </row>
    <row r="116" spans="1:48" ht="12.75" customHeight="1" x14ac:dyDescent="0.3">
      <c r="A116" s="49">
        <v>46050</v>
      </c>
      <c r="B116" s="77"/>
      <c r="C116" s="51">
        <f>'ODOMETERS Halba'!J112</f>
        <v>1608</v>
      </c>
      <c r="D116" s="52">
        <v>0.748</v>
      </c>
      <c r="E116" s="53">
        <f>'Daily Halba'!$C116*'Daily Halba'!$D116</f>
        <v>1202.7840000000001</v>
      </c>
      <c r="F116" s="54">
        <f>'ODOMETERS Halba'!K112</f>
        <v>1622</v>
      </c>
      <c r="G116" s="52">
        <v>0.748</v>
      </c>
      <c r="H116" s="53">
        <f>'Daily Halba'!$F116*'Daily Halba'!$G116</f>
        <v>1213.2560000000001</v>
      </c>
      <c r="I116" s="54">
        <f>'Daily Halba'!$C116+'Daily Halba'!$F116</f>
        <v>3230</v>
      </c>
      <c r="J116" s="55">
        <f>'Daily Halba'!$I116*'Daily Halba'!$G116</f>
        <v>2416.04</v>
      </c>
      <c r="K116" s="56">
        <f>'ODOMETERS Halba'!L112</f>
        <v>752</v>
      </c>
      <c r="L116" s="57">
        <v>0.70850000000000002</v>
      </c>
      <c r="M116" s="58">
        <f>'Daily Halba'!$K116*'Daily Halba'!$L116</f>
        <v>532.79200000000003</v>
      </c>
      <c r="N116" s="71">
        <v>8</v>
      </c>
      <c r="O116" s="71">
        <v>4</v>
      </c>
      <c r="P116" s="71">
        <f>28+14</f>
        <v>42</v>
      </c>
      <c r="Q116" s="71"/>
      <c r="R116" s="71"/>
      <c r="S116" s="71"/>
      <c r="T116" s="71">
        <v>5.85</v>
      </c>
      <c r="U116" s="61">
        <f>SUM('Daily Halba'!$E116,'Daily Halba'!$H116,$M116:$T116)</f>
        <v>3008.6819999999998</v>
      </c>
      <c r="V116" s="22"/>
      <c r="W116" s="62">
        <f>498+169.33+700/89.7</f>
        <v>675.13379041248606</v>
      </c>
      <c r="X116" s="62"/>
      <c r="Y116" s="62">
        <f>70*0.748+100*0.7085</f>
        <v>123.21000000000001</v>
      </c>
      <c r="Z116" s="62"/>
      <c r="AA116" s="63">
        <v>80</v>
      </c>
      <c r="AB116" s="64"/>
      <c r="AC116" s="64"/>
      <c r="AD116" s="64"/>
      <c r="AE116" s="65">
        <f t="shared" si="0"/>
        <v>80</v>
      </c>
      <c r="AF116" s="66"/>
      <c r="AG116" s="66"/>
      <c r="AH116" s="66"/>
      <c r="AI116" s="66">
        <f>400/89.7</f>
        <v>4.4593088071348941</v>
      </c>
      <c r="AJ116" s="66"/>
      <c r="AK116" s="66"/>
      <c r="AL116" s="66"/>
      <c r="AM116" s="66"/>
      <c r="AN116" s="67">
        <f t="shared" si="1"/>
        <v>4.4593088071348941</v>
      </c>
      <c r="AO116" s="66"/>
      <c r="AP116" s="68">
        <f t="shared" si="2"/>
        <v>882.803099219621</v>
      </c>
      <c r="AQ116" s="69"/>
      <c r="AR116" s="22"/>
      <c r="AS116" s="70">
        <f>'Daily Halba'!$U116-'Daily Halba'!$AP116</f>
        <v>2125.8789007803789</v>
      </c>
      <c r="AT116" s="5"/>
      <c r="AU116" s="5"/>
      <c r="AV116" s="5"/>
    </row>
    <row r="117" spans="1:48" ht="12.75" customHeight="1" x14ac:dyDescent="0.3">
      <c r="A117" s="49">
        <v>46051</v>
      </c>
      <c r="B117" s="77"/>
      <c r="C117" s="51">
        <f>'ODOMETERS Halba'!J113</f>
        <v>1382</v>
      </c>
      <c r="D117" s="52">
        <v>0.748</v>
      </c>
      <c r="E117" s="53">
        <f>'Daily Halba'!$C117*'Daily Halba'!$D117</f>
        <v>1033.7360000000001</v>
      </c>
      <c r="F117" s="54">
        <f>'ODOMETERS Halba'!K113</f>
        <v>1723</v>
      </c>
      <c r="G117" s="52">
        <v>0.748</v>
      </c>
      <c r="H117" s="53">
        <f>'Daily Halba'!$F117*'Daily Halba'!$G117</f>
        <v>1288.8040000000001</v>
      </c>
      <c r="I117" s="54">
        <f>'Daily Halba'!$C117+'Daily Halba'!$F117</f>
        <v>3105</v>
      </c>
      <c r="J117" s="55">
        <f>'Daily Halba'!$I117*'Daily Halba'!$G117</f>
        <v>2322.54</v>
      </c>
      <c r="K117" s="56">
        <f>'ODOMETERS Halba'!L113</f>
        <v>1257</v>
      </c>
      <c r="L117" s="57">
        <v>0.70850000000000002</v>
      </c>
      <c r="M117" s="58">
        <f>'Daily Halba'!$K117*'Daily Halba'!$L117</f>
        <v>890.58450000000005</v>
      </c>
      <c r="N117" s="71">
        <f>300/89.7</f>
        <v>3.3444816053511706</v>
      </c>
      <c r="O117" s="71">
        <f>10+600/89.7</f>
        <v>16.68896321070234</v>
      </c>
      <c r="P117" s="71">
        <f>6*14</f>
        <v>84</v>
      </c>
      <c r="Q117" s="71"/>
      <c r="R117" s="71"/>
      <c r="S117" s="71">
        <f>14+595+262.5+212+500</f>
        <v>1583.5</v>
      </c>
      <c r="T117" s="71">
        <f>(150+150+150)/89.7</f>
        <v>5.0167224080267561</v>
      </c>
      <c r="U117" s="61">
        <f>SUM('Daily Halba'!$E117,'Daily Halba'!$H117,$M117:$T117)</f>
        <v>4905.6746672240806</v>
      </c>
      <c r="V117" s="22"/>
      <c r="W117" s="62">
        <f>5+30+700/89.7+100+14+30+400*0.7085+30</f>
        <v>500.20379041248611</v>
      </c>
      <c r="X117" s="62"/>
      <c r="Y117" s="62">
        <f>(20+20+20+18+18)*0.748+175*0.7085+122+153+61</f>
        <v>531.79549999999995</v>
      </c>
      <c r="Z117" s="62">
        <v>5</v>
      </c>
      <c r="AA117" s="63">
        <v>57</v>
      </c>
      <c r="AB117" s="64"/>
      <c r="AC117" s="64">
        <v>119</v>
      </c>
      <c r="AD117" s="64"/>
      <c r="AE117" s="65">
        <f t="shared" si="0"/>
        <v>176</v>
      </c>
      <c r="AF117" s="66"/>
      <c r="AG117" s="66">
        <v>500</v>
      </c>
      <c r="AH117" s="66"/>
      <c r="AI117" s="66">
        <v>5</v>
      </c>
      <c r="AJ117" s="66"/>
      <c r="AK117" s="66"/>
      <c r="AL117" s="66"/>
      <c r="AM117" s="66"/>
      <c r="AN117" s="67">
        <f t="shared" si="1"/>
        <v>505</v>
      </c>
      <c r="AO117" s="66"/>
      <c r="AP117" s="68">
        <f t="shared" si="2"/>
        <v>1717.9992904124861</v>
      </c>
      <c r="AQ117" s="69"/>
      <c r="AR117" s="22"/>
      <c r="AS117" s="70">
        <f>'Daily Halba'!$U117-'Daily Halba'!$AP117</f>
        <v>3187.6753768115946</v>
      </c>
      <c r="AT117" s="5"/>
      <c r="AU117" s="5"/>
      <c r="AV117" s="19"/>
    </row>
    <row r="118" spans="1:48" ht="12.75" customHeight="1" x14ac:dyDescent="0.3">
      <c r="A118" s="176">
        <v>46052</v>
      </c>
      <c r="B118" s="177" t="s">
        <v>24</v>
      </c>
      <c r="C118" s="51">
        <f>'ODOMETERS Halba'!J114</f>
        <v>901</v>
      </c>
      <c r="D118" s="178">
        <v>0.748</v>
      </c>
      <c r="E118" s="53">
        <f>'Daily Halba'!$C118*'Daily Halba'!$D118</f>
        <v>673.94799999999998</v>
      </c>
      <c r="F118" s="54">
        <f>'ODOMETERS Halba'!K114</f>
        <v>607</v>
      </c>
      <c r="G118" s="178">
        <v>0.748</v>
      </c>
      <c r="H118" s="53">
        <f>'Daily Halba'!$F118*'Daily Halba'!$G118</f>
        <v>454.036</v>
      </c>
      <c r="I118" s="54">
        <f>'Daily Halba'!$C118+'Daily Halba'!$F118</f>
        <v>1508</v>
      </c>
      <c r="J118" s="55">
        <f>'Daily Halba'!$I118*'Daily Halba'!$G118</f>
        <v>1127.9839999999999</v>
      </c>
      <c r="K118" s="56">
        <f>'ODOMETERS Halba'!L114</f>
        <v>426</v>
      </c>
      <c r="L118" s="57">
        <v>0.70850000000000002</v>
      </c>
      <c r="M118" s="58">
        <f>'Daily Halba'!$K118*'Daily Halba'!$L118</f>
        <v>301.82100000000003</v>
      </c>
      <c r="N118" s="71">
        <v>14</v>
      </c>
      <c r="O118" s="71"/>
      <c r="P118" s="71">
        <v>42</v>
      </c>
      <c r="Q118" s="71">
        <v>4</v>
      </c>
      <c r="R118" s="71"/>
      <c r="S118" s="71"/>
      <c r="T118" s="71">
        <v>8</v>
      </c>
      <c r="U118" s="61">
        <f>SUM('Daily Halba'!$E118,'Daily Halba'!$H118,$M118:$T118)</f>
        <v>1497.8049999999998</v>
      </c>
      <c r="V118" s="22"/>
      <c r="W118" s="179">
        <f>94*0.7085</f>
        <v>66.599000000000004</v>
      </c>
      <c r="X118" s="179"/>
      <c r="Y118" s="179">
        <f>100*0.7085+122</f>
        <v>192.85000000000002</v>
      </c>
      <c r="Z118" s="180">
        <v>-1</v>
      </c>
      <c r="AA118" s="181"/>
      <c r="AB118" s="182"/>
      <c r="AC118" s="182"/>
      <c r="AD118" s="182"/>
      <c r="AE118" s="183">
        <f>SUM(AA118:AD118)</f>
        <v>0</v>
      </c>
      <c r="AF118" s="184"/>
      <c r="AG118" s="184"/>
      <c r="AH118" s="184"/>
      <c r="AI118" s="184">
        <v>5</v>
      </c>
      <c r="AJ118" s="184"/>
      <c r="AK118" s="184"/>
      <c r="AL118" s="184"/>
      <c r="AM118" s="184"/>
      <c r="AN118" s="185">
        <f>SUM(AF118:AM118)</f>
        <v>5</v>
      </c>
      <c r="AO118" s="184"/>
      <c r="AP118" s="186">
        <f>SUM(W118:Z118,AE118,AN118,AO118)</f>
        <v>263.44900000000001</v>
      </c>
      <c r="AQ118" s="187"/>
      <c r="AR118" s="22"/>
      <c r="AS118" s="70">
        <f>'Daily Halba'!$U118-'Daily Halba'!$AP118</f>
        <v>1234.3559999999998</v>
      </c>
      <c r="AT118" s="5"/>
      <c r="AU118" s="5"/>
      <c r="AV118" s="5"/>
    </row>
    <row r="119" spans="1:48" ht="12.75" customHeight="1" x14ac:dyDescent="0.3">
      <c r="A119" s="49">
        <v>46052</v>
      </c>
      <c r="B119" s="77" t="s">
        <v>25</v>
      </c>
      <c r="C119" s="51">
        <f>'ODOMETERS Halba'!J115</f>
        <v>832</v>
      </c>
      <c r="D119" s="178">
        <v>0.76980000000000004</v>
      </c>
      <c r="E119" s="53">
        <f>'Daily Halba'!$C119*'Daily Halba'!$D119</f>
        <v>640.47360000000003</v>
      </c>
      <c r="F119" s="54">
        <f>'ODOMETERS Halba'!K115</f>
        <v>1293</v>
      </c>
      <c r="G119" s="178">
        <v>0.76980000000000004</v>
      </c>
      <c r="H119" s="53">
        <f>'Daily Halba'!$F119*'Daily Halba'!$G119</f>
        <v>995.35140000000001</v>
      </c>
      <c r="I119" s="54">
        <f>'Daily Halba'!$C119+'Daily Halba'!$F119</f>
        <v>2125</v>
      </c>
      <c r="J119" s="55">
        <f>'Daily Halba'!$I119*'Daily Halba'!$G119</f>
        <v>1635.825</v>
      </c>
      <c r="K119" s="56">
        <f>'ODOMETERS Halba'!L115</f>
        <v>516</v>
      </c>
      <c r="L119" s="57">
        <v>0.72019999999999995</v>
      </c>
      <c r="M119" s="58">
        <f>'Daily Halba'!$K119*'Daily Halba'!$L119</f>
        <v>371.6232</v>
      </c>
      <c r="N119" s="71">
        <f>1200/89.7+25+5+250/89.7</f>
        <v>46.164994425863988</v>
      </c>
      <c r="O119" s="71">
        <f>1200/89.7+5</f>
        <v>18.37792642140468</v>
      </c>
      <c r="P119" s="71">
        <f>5*14</f>
        <v>70</v>
      </c>
      <c r="Q119" s="71"/>
      <c r="R119" s="71"/>
      <c r="S119" s="71">
        <f>10+150</f>
        <v>160</v>
      </c>
      <c r="T119" s="71">
        <f>250/89.7</f>
        <v>2.7870680044593086</v>
      </c>
      <c r="U119" s="61">
        <f>SUM('Daily Halba'!$E119,'Daily Halba'!$H119,$M119:$T119)</f>
        <v>2304.7781888517279</v>
      </c>
      <c r="V119" s="22"/>
      <c r="W119" s="62">
        <f>10+21+1000/89.7+10+20+120*0.7202</f>
        <v>158.57227201783724</v>
      </c>
      <c r="X119" s="62"/>
      <c r="Y119" s="62">
        <f>30*0.7698+134*0.7202+37*0.77698</f>
        <v>148.34906000000001</v>
      </c>
      <c r="Z119" s="62"/>
      <c r="AA119" s="63"/>
      <c r="AB119" s="64"/>
      <c r="AC119" s="64"/>
      <c r="AD119" s="64"/>
      <c r="AE119" s="65">
        <f t="shared" si="0"/>
        <v>0</v>
      </c>
      <c r="AF119" s="66"/>
      <c r="AG119" s="66"/>
      <c r="AH119" s="66"/>
      <c r="AI119" s="66"/>
      <c r="AJ119" s="66"/>
      <c r="AK119" s="66"/>
      <c r="AL119" s="66"/>
      <c r="AM119" s="66"/>
      <c r="AN119" s="67">
        <f t="shared" si="1"/>
        <v>0</v>
      </c>
      <c r="AO119" s="66"/>
      <c r="AP119" s="68">
        <f t="shared" si="2"/>
        <v>306.92133201783724</v>
      </c>
      <c r="AQ119" s="69"/>
      <c r="AR119" s="22"/>
      <c r="AS119" s="70">
        <f>'Daily Halba'!$U119-'Daily Halba'!$AP119</f>
        <v>1997.8568568338906</v>
      </c>
      <c r="AT119" s="5"/>
      <c r="AU119" s="5"/>
      <c r="AV119" s="5"/>
    </row>
    <row r="120" spans="1:48" ht="12.75" customHeight="1" x14ac:dyDescent="0.3">
      <c r="A120" s="49">
        <v>46053</v>
      </c>
      <c r="B120" s="77"/>
      <c r="C120" s="51">
        <f>'ODOMETERS Halba'!J116</f>
        <v>2088</v>
      </c>
      <c r="D120" s="178">
        <v>0.76980000000000004</v>
      </c>
      <c r="E120" s="53">
        <f>'Daily Halba'!$C120*'Daily Halba'!$D120</f>
        <v>1607.3424</v>
      </c>
      <c r="F120" s="54">
        <f>'ODOMETERS Halba'!K116</f>
        <v>1608</v>
      </c>
      <c r="G120" s="178">
        <v>0.76980000000000004</v>
      </c>
      <c r="H120" s="53">
        <f>'Daily Halba'!$F120*'Daily Halba'!$G120</f>
        <v>1237.8384000000001</v>
      </c>
      <c r="I120" s="54">
        <f>'Daily Halba'!$C120+'Daily Halba'!$F120</f>
        <v>3696</v>
      </c>
      <c r="J120" s="55">
        <f>'Daily Halba'!$I120*'Daily Halba'!$G120</f>
        <v>2845.1808000000001</v>
      </c>
      <c r="K120" s="56">
        <f>'ODOMETERS Halba'!L116</f>
        <v>5060</v>
      </c>
      <c r="L120" s="57">
        <v>0.72019999999999995</v>
      </c>
      <c r="M120" s="58">
        <f>'Daily Halba'!$K120*'Daily Halba'!$L120</f>
        <v>3644.2119999999995</v>
      </c>
      <c r="N120" s="71">
        <v>11.7</v>
      </c>
      <c r="O120" s="71">
        <v>35.4</v>
      </c>
      <c r="P120" s="71">
        <v>55.74</v>
      </c>
      <c r="Q120" s="71"/>
      <c r="R120" s="71"/>
      <c r="S120" s="71">
        <v>1875</v>
      </c>
      <c r="T120" s="71">
        <v>40.409999999999997</v>
      </c>
      <c r="U120" s="61">
        <f>SUM('Daily Halba'!$E120,'Daily Halba'!$H120,$M120:$T120)</f>
        <v>8507.6427999999978</v>
      </c>
      <c r="V120" s="22"/>
      <c r="W120" s="62">
        <f>573+3248</f>
        <v>3821</v>
      </c>
      <c r="X120" s="62"/>
      <c r="Y120" s="62">
        <f>160.88</f>
        <v>160.88</v>
      </c>
      <c r="Z120" s="62">
        <v>30</v>
      </c>
      <c r="AA120" s="63"/>
      <c r="AB120" s="64"/>
      <c r="AC120" s="64">
        <v>185</v>
      </c>
      <c r="AD120" s="64"/>
      <c r="AE120" s="65">
        <f t="shared" si="0"/>
        <v>185</v>
      </c>
      <c r="AF120" s="66"/>
      <c r="AG120" s="66"/>
      <c r="AH120" s="66"/>
      <c r="AI120" s="66"/>
      <c r="AJ120" s="66"/>
      <c r="AK120" s="66"/>
      <c r="AL120" s="66"/>
      <c r="AM120" s="66"/>
      <c r="AN120" s="67">
        <f t="shared" si="1"/>
        <v>0</v>
      </c>
      <c r="AO120" s="66"/>
      <c r="AP120" s="68">
        <f t="shared" si="2"/>
        <v>4196.88</v>
      </c>
      <c r="AQ120" s="69"/>
      <c r="AR120" s="22"/>
      <c r="AS120" s="70">
        <f>'Daily Halba'!$U120-'Daily Halba'!$AP120</f>
        <v>4310.7627999999977</v>
      </c>
      <c r="AT120" s="5"/>
      <c r="AU120" s="5"/>
      <c r="AV120" s="5"/>
    </row>
    <row r="121" spans="1:48" ht="12.75" customHeight="1" x14ac:dyDescent="0.3">
      <c r="A121" s="49">
        <v>46054</v>
      </c>
      <c r="B121" s="77"/>
      <c r="C121" s="51">
        <f>'ODOMETERS Halba'!J117</f>
        <v>1972</v>
      </c>
      <c r="D121" s="178">
        <v>0.76980000000000004</v>
      </c>
      <c r="E121" s="53">
        <f>'Daily Halba'!$C121*'Daily Halba'!$D121</f>
        <v>1518.0456000000001</v>
      </c>
      <c r="F121" s="54">
        <f>'ODOMETERS Halba'!K117</f>
        <v>2206</v>
      </c>
      <c r="G121" s="178">
        <v>0.76980000000000004</v>
      </c>
      <c r="H121" s="53">
        <f>'Daily Halba'!$F121*'Daily Halba'!$G121</f>
        <v>1698.1788000000001</v>
      </c>
      <c r="I121" s="54">
        <f>'Daily Halba'!$C121+'Daily Halba'!$F121</f>
        <v>4178</v>
      </c>
      <c r="J121" s="55">
        <f>'Daily Halba'!$I121*'Daily Halba'!$G121</f>
        <v>3216.2244000000001</v>
      </c>
      <c r="K121" s="56">
        <f>'ODOMETERS Halba'!L117</f>
        <v>983</v>
      </c>
      <c r="L121" s="57">
        <v>0.72019999999999995</v>
      </c>
      <c r="M121" s="58">
        <f>'Daily Halba'!$K121*'Daily Halba'!$L121</f>
        <v>707.95659999999998</v>
      </c>
      <c r="N121" s="71">
        <f>(250+500+900+250+250+250+250+300+300+250)/89.7</f>
        <v>39.018952062430323</v>
      </c>
      <c r="O121" s="71">
        <f>10+300/89.7+10+400/89.7+300/89.7</f>
        <v>31.148272017837236</v>
      </c>
      <c r="P121" s="71">
        <f>11*14</f>
        <v>154</v>
      </c>
      <c r="Q121" s="71"/>
      <c r="R121" s="71"/>
      <c r="S121" s="71">
        <f>30</f>
        <v>30</v>
      </c>
      <c r="T121" s="71">
        <f>(170+250+170+3375+1100)/89.7</f>
        <v>56.465997770345595</v>
      </c>
      <c r="U121" s="61">
        <f>SUM('Daily Halba'!$E121,'Daily Halba'!$H121,$M121:$T121)</f>
        <v>4234.8142218506136</v>
      </c>
      <c r="V121" s="22"/>
      <c r="W121" s="62">
        <f>24</f>
        <v>24</v>
      </c>
      <c r="X121" s="62"/>
      <c r="Y121" s="62">
        <f>(17.5+20+30+35+20)*0.7698+(19+200+450)*0.7202+61+122</f>
        <v>759.11429999999996</v>
      </c>
      <c r="Z121" s="62"/>
      <c r="AA121" s="63"/>
      <c r="AB121" s="64"/>
      <c r="AC121" s="64"/>
      <c r="AD121" s="64"/>
      <c r="AE121" s="65">
        <f t="shared" si="0"/>
        <v>0</v>
      </c>
      <c r="AF121" s="66"/>
      <c r="AG121" s="66"/>
      <c r="AH121" s="66"/>
      <c r="AI121" s="66"/>
      <c r="AJ121" s="66"/>
      <c r="AK121" s="66"/>
      <c r="AL121" s="66"/>
      <c r="AM121" s="66"/>
      <c r="AN121" s="67">
        <f t="shared" si="1"/>
        <v>0</v>
      </c>
      <c r="AO121" s="66"/>
      <c r="AP121" s="68">
        <f t="shared" si="2"/>
        <v>783.11429999999996</v>
      </c>
      <c r="AQ121" s="69"/>
      <c r="AR121" s="22"/>
      <c r="AS121" s="70">
        <f>'Daily Halba'!$U121-'Daily Halba'!$AP121</f>
        <v>3451.6999218506135</v>
      </c>
      <c r="AT121" s="5"/>
      <c r="AU121" s="5"/>
      <c r="AV121" s="5"/>
    </row>
    <row r="122" spans="1:48" ht="12.75" customHeight="1" x14ac:dyDescent="0.3">
      <c r="A122" s="49">
        <v>46055</v>
      </c>
      <c r="B122" s="77"/>
      <c r="C122" s="51">
        <f>'ODOMETERS Halba'!J118</f>
        <v>1742</v>
      </c>
      <c r="D122" s="178">
        <v>0.76980000000000004</v>
      </c>
      <c r="E122" s="53">
        <f>'Daily Halba'!$C122*'Daily Halba'!$D122</f>
        <v>1340.9916000000001</v>
      </c>
      <c r="F122" s="54">
        <f>'ODOMETERS Halba'!K118</f>
        <v>1330</v>
      </c>
      <c r="G122" s="178">
        <v>0.76980000000000004</v>
      </c>
      <c r="H122" s="53">
        <f>'Daily Halba'!$F122*'Daily Halba'!$G122</f>
        <v>1023.8340000000001</v>
      </c>
      <c r="I122" s="54">
        <f>'Daily Halba'!$C122+'Daily Halba'!$F122</f>
        <v>3072</v>
      </c>
      <c r="J122" s="55">
        <f>'Daily Halba'!$I122*'Daily Halba'!$G122</f>
        <v>2364.8256000000001</v>
      </c>
      <c r="K122" s="56">
        <f>'ODOMETERS Halba'!L118</f>
        <v>534</v>
      </c>
      <c r="L122" s="57">
        <v>0.72019999999999995</v>
      </c>
      <c r="M122" s="58">
        <f>'Daily Halba'!$K122*'Daily Halba'!$L122</f>
        <v>384.58679999999998</v>
      </c>
      <c r="N122" s="71">
        <f>6</f>
        <v>6</v>
      </c>
      <c r="O122" s="71">
        <f>10+1200/89.7</f>
        <v>23.37792642140468</v>
      </c>
      <c r="P122" s="71">
        <f>3*14</f>
        <v>42</v>
      </c>
      <c r="Q122" s="71"/>
      <c r="R122" s="71"/>
      <c r="S122" s="71">
        <f>3000+24+2000+60</f>
        <v>5084</v>
      </c>
      <c r="T122" s="71">
        <f>2</f>
        <v>2</v>
      </c>
      <c r="U122" s="61">
        <f>SUM('Daily Halba'!$E122,'Daily Halba'!$H122,$M122:$T122)</f>
        <v>7906.7903264214046</v>
      </c>
      <c r="V122" s="22"/>
      <c r="W122" s="62">
        <f>20+20+20+25+20+41+380+1000/89.7+850/89.7+45*0.7202+123*0.7202</f>
        <v>667.61790323299897</v>
      </c>
      <c r="X122" s="62"/>
      <c r="Y122" s="62">
        <f>122+61+122+122+20*0.7698+30.5+61+17.5*0.7698+122</f>
        <v>669.36749999999995</v>
      </c>
      <c r="Z122" s="62"/>
      <c r="AA122" s="63"/>
      <c r="AB122" s="64"/>
      <c r="AC122" s="64">
        <v>198</v>
      </c>
      <c r="AD122" s="64"/>
      <c r="AE122" s="65">
        <f t="shared" si="0"/>
        <v>198</v>
      </c>
      <c r="AF122" s="66"/>
      <c r="AG122" s="66"/>
      <c r="AH122" s="66"/>
      <c r="AI122" s="66"/>
      <c r="AJ122" s="66"/>
      <c r="AK122" s="66">
        <f>600/89.7+1500/89.7</f>
        <v>23.411371237458191</v>
      </c>
      <c r="AL122" s="66"/>
      <c r="AM122" s="66"/>
      <c r="AN122" s="67">
        <f t="shared" si="1"/>
        <v>23.411371237458191</v>
      </c>
      <c r="AO122" s="66"/>
      <c r="AP122" s="68">
        <f t="shared" si="2"/>
        <v>1558.3967744704573</v>
      </c>
      <c r="AQ122" s="69"/>
      <c r="AR122" s="22"/>
      <c r="AS122" s="70">
        <f>'Daily Halba'!$U122-'Daily Halba'!$AP122</f>
        <v>6348.3935519509469</v>
      </c>
      <c r="AT122" s="5"/>
      <c r="AU122" s="5"/>
      <c r="AV122" s="5"/>
    </row>
    <row r="123" spans="1:48" ht="12.75" customHeight="1" x14ac:dyDescent="0.3">
      <c r="A123" s="49">
        <v>46056</v>
      </c>
      <c r="B123" s="77" t="s">
        <v>24</v>
      </c>
      <c r="C123" s="51">
        <f>'ODOMETERS Halba'!J119</f>
        <v>618</v>
      </c>
      <c r="D123" s="178">
        <v>0.76980000000000004</v>
      </c>
      <c r="E123" s="53">
        <f>'Daily Halba'!$C123*'Daily Halba'!$D123</f>
        <v>475.7364</v>
      </c>
      <c r="F123" s="54">
        <f>'ODOMETERS Halba'!K119</f>
        <v>694</v>
      </c>
      <c r="G123" s="178">
        <v>0.76980000000000004</v>
      </c>
      <c r="H123" s="53">
        <f>'Daily Halba'!$F123*'Daily Halba'!$G123</f>
        <v>534.24120000000005</v>
      </c>
      <c r="I123" s="54">
        <f>'Daily Halba'!$C123+'Daily Halba'!$F123</f>
        <v>1312</v>
      </c>
      <c r="J123" s="55">
        <f>'Daily Halba'!$I123*'Daily Halba'!$G123</f>
        <v>1009.9776000000001</v>
      </c>
      <c r="K123" s="56">
        <f>'ODOMETERS Halba'!L119</f>
        <v>2408</v>
      </c>
      <c r="L123" s="57">
        <v>0.72019999999999995</v>
      </c>
      <c r="M123" s="58">
        <f>'Daily Halba'!$K123*'Daily Halba'!$L123</f>
        <v>1734.2415999999998</v>
      </c>
      <c r="N123" s="71"/>
      <c r="O123" s="71"/>
      <c r="P123" s="71">
        <v>28</v>
      </c>
      <c r="Q123" s="71"/>
      <c r="R123" s="71"/>
      <c r="S123" s="71">
        <f>1516+1398</f>
        <v>2914</v>
      </c>
      <c r="T123" s="71"/>
      <c r="U123" s="61">
        <f>SUM('Daily Halba'!$E123,'Daily Halba'!$H123,$M123:$T123)</f>
        <v>5686.2191999999995</v>
      </c>
      <c r="V123" s="22"/>
      <c r="W123" s="62">
        <f>13.35+1584</f>
        <v>1597.35</v>
      </c>
      <c r="X123" s="62"/>
      <c r="Y123" s="62">
        <f>27</f>
        <v>27</v>
      </c>
      <c r="Z123" s="62">
        <v>-1</v>
      </c>
      <c r="AA123" s="63"/>
      <c r="AB123" s="64"/>
      <c r="AC123" s="64"/>
      <c r="AD123" s="64"/>
      <c r="AE123" s="65">
        <f t="shared" si="0"/>
        <v>0</v>
      </c>
      <c r="AF123" s="66"/>
      <c r="AG123" s="66"/>
      <c r="AH123" s="66"/>
      <c r="AI123" s="66">
        <v>5</v>
      </c>
      <c r="AJ123" s="66"/>
      <c r="AK123" s="66"/>
      <c r="AL123" s="66">
        <v>300</v>
      </c>
      <c r="AM123" s="66"/>
      <c r="AN123" s="67">
        <f t="shared" si="1"/>
        <v>305</v>
      </c>
      <c r="AO123" s="66"/>
      <c r="AP123" s="68">
        <f t="shared" si="2"/>
        <v>1928.35</v>
      </c>
      <c r="AQ123" s="69" t="s">
        <v>195</v>
      </c>
      <c r="AR123" s="22"/>
      <c r="AS123" s="70">
        <f>'Daily Halba'!$U123-'Daily Halba'!$AP123</f>
        <v>3757.8691999999996</v>
      </c>
      <c r="AT123" s="5"/>
      <c r="AU123" s="19"/>
      <c r="AV123" s="5"/>
    </row>
    <row r="124" spans="1:48" ht="12.75" customHeight="1" x14ac:dyDescent="0.3">
      <c r="A124" s="49">
        <v>46056</v>
      </c>
      <c r="B124" s="77" t="s">
        <v>25</v>
      </c>
      <c r="C124" s="51">
        <f>'ODOMETERS Halba'!J120</f>
        <v>753</v>
      </c>
      <c r="D124" s="178">
        <v>0.77539999999999998</v>
      </c>
      <c r="E124" s="53">
        <f>'Daily Halba'!$C124*'Daily Halba'!$D124</f>
        <v>583.87620000000004</v>
      </c>
      <c r="F124" s="54">
        <f>'ODOMETERS Halba'!K120</f>
        <v>848</v>
      </c>
      <c r="G124" s="178">
        <v>0.77539999999999998</v>
      </c>
      <c r="H124" s="53">
        <f>'Daily Halba'!$F124*'Daily Halba'!$G124</f>
        <v>657.53919999999994</v>
      </c>
      <c r="I124" s="54">
        <f>'Daily Halba'!$C124+'Daily Halba'!$F124</f>
        <v>1601</v>
      </c>
      <c r="J124" s="55">
        <f>'Daily Halba'!$I124*'Daily Halba'!$G124</f>
        <v>1241.4153999999999</v>
      </c>
      <c r="K124" s="56">
        <f>'ODOMETERS Halba'!L120</f>
        <v>1875</v>
      </c>
      <c r="L124" s="57">
        <v>0.73240000000000005</v>
      </c>
      <c r="M124" s="58">
        <f>'Daily Halba'!$K124*'Daily Halba'!$L124</f>
        <v>1373.25</v>
      </c>
      <c r="N124" s="71">
        <v>78</v>
      </c>
      <c r="O124" s="71">
        <v>4</v>
      </c>
      <c r="P124" s="71">
        <v>56</v>
      </c>
      <c r="Q124" s="71"/>
      <c r="R124" s="71"/>
      <c r="S124" s="71">
        <v>1709</v>
      </c>
      <c r="T124" s="71">
        <v>1</v>
      </c>
      <c r="U124" s="61">
        <f>SUM('Daily Halba'!$E124,'Daily Halba'!$H124,$M124:$T124)</f>
        <v>4462.6653999999999</v>
      </c>
      <c r="V124" s="22"/>
      <c r="W124" s="62">
        <v>1165</v>
      </c>
      <c r="X124" s="62"/>
      <c r="Y124" s="62">
        <f>15.5+610</f>
        <v>625.5</v>
      </c>
      <c r="Z124" s="62">
        <v>-1</v>
      </c>
      <c r="AA124" s="63"/>
      <c r="AB124" s="64"/>
      <c r="AC124" s="64"/>
      <c r="AD124" s="64"/>
      <c r="AE124" s="65">
        <f t="shared" si="0"/>
        <v>0</v>
      </c>
      <c r="AF124" s="66"/>
      <c r="AG124" s="66"/>
      <c r="AH124" s="66"/>
      <c r="AI124" s="66">
        <v>7.8</v>
      </c>
      <c r="AJ124" s="66"/>
      <c r="AK124" s="66"/>
      <c r="AL124" s="66"/>
      <c r="AM124" s="66"/>
      <c r="AN124" s="67">
        <f t="shared" si="1"/>
        <v>7.8</v>
      </c>
      <c r="AO124" s="66"/>
      <c r="AP124" s="68">
        <f t="shared" si="2"/>
        <v>1797.3</v>
      </c>
      <c r="AQ124" s="69"/>
      <c r="AR124" s="22"/>
      <c r="AS124" s="70">
        <f>'Daily Halba'!$U124-'Daily Halba'!$AP124</f>
        <v>2665.3653999999997</v>
      </c>
      <c r="AT124" s="5"/>
      <c r="AU124" s="5"/>
      <c r="AV124" s="5"/>
    </row>
    <row r="125" spans="1:48" ht="12.75" customHeight="1" x14ac:dyDescent="0.3">
      <c r="A125" s="49">
        <v>46057</v>
      </c>
      <c r="B125" s="77"/>
      <c r="C125" s="51">
        <f>'ODOMETERS Halba'!J121</f>
        <v>1422</v>
      </c>
      <c r="D125" s="178">
        <v>0.77539999999999998</v>
      </c>
      <c r="E125" s="53">
        <f>'Daily Halba'!$C125*'Daily Halba'!$D125</f>
        <v>1102.6188</v>
      </c>
      <c r="F125" s="54">
        <f>'ODOMETERS Halba'!K121</f>
        <v>2009</v>
      </c>
      <c r="G125" s="178">
        <v>0.77539999999999998</v>
      </c>
      <c r="H125" s="53">
        <f>'Daily Halba'!$F125*'Daily Halba'!$G125</f>
        <v>1557.7785999999999</v>
      </c>
      <c r="I125" s="54">
        <f>'Daily Halba'!$C125+'Daily Halba'!$F125</f>
        <v>3431</v>
      </c>
      <c r="J125" s="55">
        <f>'Daily Halba'!$I125*'Daily Halba'!$G125</f>
        <v>2660.3973999999998</v>
      </c>
      <c r="K125" s="56">
        <f>'ODOMETERS Halba'!L121</f>
        <v>515</v>
      </c>
      <c r="L125" s="57">
        <v>0.73240000000000005</v>
      </c>
      <c r="M125" s="58">
        <f>'Daily Halba'!$K125*'Daily Halba'!$L125</f>
        <v>377.18600000000004</v>
      </c>
      <c r="N125" s="71">
        <v>14.47</v>
      </c>
      <c r="O125" s="71">
        <v>27.49</v>
      </c>
      <c r="P125" s="71">
        <v>28</v>
      </c>
      <c r="Q125" s="71"/>
      <c r="R125" s="71"/>
      <c r="S125" s="71">
        <f>1500+56.85</f>
        <v>1556.85</v>
      </c>
      <c r="T125" s="71">
        <v>8.35</v>
      </c>
      <c r="U125" s="61">
        <f>SUM('Daily Halba'!$E125,'Daily Halba'!$H125,$M125:$T125)</f>
        <v>4672.7433999999994</v>
      </c>
      <c r="V125" s="22"/>
      <c r="W125" s="62">
        <f>70+13</f>
        <v>83</v>
      </c>
      <c r="X125" s="62"/>
      <c r="Y125" s="62">
        <f>117.25+132+612</f>
        <v>861.25</v>
      </c>
      <c r="Z125" s="62">
        <v>2</v>
      </c>
      <c r="AA125" s="63"/>
      <c r="AB125" s="64"/>
      <c r="AC125" s="64"/>
      <c r="AD125" s="64"/>
      <c r="AE125" s="65">
        <f t="shared" si="0"/>
        <v>0</v>
      </c>
      <c r="AF125" s="66"/>
      <c r="AG125" s="66"/>
      <c r="AH125" s="66"/>
      <c r="AI125" s="66">
        <v>16</v>
      </c>
      <c r="AJ125" s="66"/>
      <c r="AK125" s="66"/>
      <c r="AL125" s="66"/>
      <c r="AM125" s="66"/>
      <c r="AN125" s="67">
        <f t="shared" si="1"/>
        <v>16</v>
      </c>
      <c r="AO125" s="66"/>
      <c r="AP125" s="68">
        <f t="shared" si="2"/>
        <v>962.25</v>
      </c>
      <c r="AQ125" s="69"/>
      <c r="AR125" s="22"/>
      <c r="AS125" s="70">
        <f>'Daily Halba'!$U125-'Daily Halba'!$AP125</f>
        <v>3710.4933999999994</v>
      </c>
      <c r="AT125" s="5"/>
      <c r="AU125" s="5"/>
      <c r="AV125" s="5"/>
    </row>
    <row r="126" spans="1:48" ht="12.75" customHeight="1" x14ac:dyDescent="0.3">
      <c r="A126" s="49">
        <v>46058</v>
      </c>
      <c r="B126" s="77"/>
      <c r="C126" s="51">
        <f>'ODOMETERS Halba'!J122</f>
        <v>1826</v>
      </c>
      <c r="D126" s="178">
        <v>0.77539999999999998</v>
      </c>
      <c r="E126" s="53">
        <f>'Daily Halba'!$C126*'Daily Halba'!$D126</f>
        <v>1415.8804</v>
      </c>
      <c r="F126" s="54">
        <f>'ODOMETERS Halba'!K122</f>
        <v>1351</v>
      </c>
      <c r="G126" s="178">
        <v>0.77539999999999998</v>
      </c>
      <c r="H126" s="53">
        <f>'Daily Halba'!$F126*'Daily Halba'!$G126</f>
        <v>1047.5654</v>
      </c>
      <c r="I126" s="54">
        <f>'Daily Halba'!$C126+'Daily Halba'!$F126</f>
        <v>3177</v>
      </c>
      <c r="J126" s="55">
        <f>'Daily Halba'!$I126*'Daily Halba'!$G126</f>
        <v>2463.4458</v>
      </c>
      <c r="K126" s="56">
        <f>'ODOMETERS Halba'!L122</f>
        <v>1084</v>
      </c>
      <c r="L126" s="57">
        <v>0.73240000000000005</v>
      </c>
      <c r="M126" s="58">
        <f>'Daily Halba'!$K126*'Daily Halba'!$L126</f>
        <v>793.92160000000001</v>
      </c>
      <c r="N126" s="71">
        <f>250/89.7+24</f>
        <v>26.787068004459307</v>
      </c>
      <c r="O126" s="71">
        <f>(300+400+400+400)/89.7+5</f>
        <v>21.722408026755851</v>
      </c>
      <c r="P126" s="71">
        <f>3*14</f>
        <v>42</v>
      </c>
      <c r="Q126" s="71"/>
      <c r="R126" s="71"/>
      <c r="S126" s="71"/>
      <c r="T126" s="71">
        <v>30.87</v>
      </c>
      <c r="U126" s="61">
        <f>SUM('Daily Halba'!$E126,'Daily Halba'!$H126,$M126:$T126)</f>
        <v>3378.7468760312154</v>
      </c>
      <c r="V126" s="22"/>
      <c r="W126" s="62">
        <v>362</v>
      </c>
      <c r="X126" s="62"/>
      <c r="Y126" s="62">
        <f>83.35+375.72+619</f>
        <v>1078.0700000000002</v>
      </c>
      <c r="Z126" s="62"/>
      <c r="AA126" s="63"/>
      <c r="AB126" s="64"/>
      <c r="AC126" s="64">
        <v>147</v>
      </c>
      <c r="AD126" s="64"/>
      <c r="AE126" s="65">
        <f t="shared" si="0"/>
        <v>147</v>
      </c>
      <c r="AF126" s="66"/>
      <c r="AG126" s="66"/>
      <c r="AH126" s="66"/>
      <c r="AI126" s="66"/>
      <c r="AJ126" s="66"/>
      <c r="AK126" s="66"/>
      <c r="AL126" s="66"/>
      <c r="AM126" s="66"/>
      <c r="AN126" s="67">
        <f t="shared" si="1"/>
        <v>0</v>
      </c>
      <c r="AO126" s="66"/>
      <c r="AP126" s="68">
        <f t="shared" si="2"/>
        <v>1587.0700000000002</v>
      </c>
      <c r="AQ126" s="69"/>
      <c r="AR126" s="22"/>
      <c r="AS126" s="70">
        <f>'Daily Halba'!$U126-'Daily Halba'!$AP126</f>
        <v>1791.6768760312152</v>
      </c>
      <c r="AT126" s="5"/>
      <c r="AU126" s="5"/>
      <c r="AV126" s="5"/>
    </row>
    <row r="127" spans="1:48" ht="12.75" customHeight="1" x14ac:dyDescent="0.3">
      <c r="A127" s="49">
        <v>46059</v>
      </c>
      <c r="B127" s="77" t="s">
        <v>24</v>
      </c>
      <c r="C127" s="51">
        <f>'ODOMETERS Halba'!J123</f>
        <v>980</v>
      </c>
      <c r="D127" s="178">
        <v>0.77539999999999998</v>
      </c>
      <c r="E127" s="53">
        <f>'Daily Halba'!$C127*'Daily Halba'!$D127</f>
        <v>759.89199999999994</v>
      </c>
      <c r="F127" s="54">
        <f>'ODOMETERS Halba'!K123</f>
        <v>779</v>
      </c>
      <c r="G127" s="178">
        <v>0.77539999999999998</v>
      </c>
      <c r="H127" s="53">
        <f>'Daily Halba'!$F127*'Daily Halba'!$G127</f>
        <v>604.03660000000002</v>
      </c>
      <c r="I127" s="54">
        <f>'Daily Halba'!$C127+'Daily Halba'!$F127</f>
        <v>1759</v>
      </c>
      <c r="J127" s="55">
        <f>'Daily Halba'!$I127*'Daily Halba'!$G127</f>
        <v>1363.9286</v>
      </c>
      <c r="K127" s="56">
        <f>'ODOMETERS Halba'!L123</f>
        <v>352</v>
      </c>
      <c r="L127" s="57">
        <v>0.73240000000000005</v>
      </c>
      <c r="M127" s="58">
        <f>'Daily Halba'!$K127*'Daily Halba'!$L127</f>
        <v>257.8048</v>
      </c>
      <c r="N127" s="71">
        <f>5+250/89.7+150/89.7+300/89.7</f>
        <v>12.803790412486064</v>
      </c>
      <c r="O127" s="71"/>
      <c r="P127" s="71"/>
      <c r="Q127" s="71"/>
      <c r="R127" s="71"/>
      <c r="S127" s="71"/>
      <c r="T127" s="71"/>
      <c r="U127" s="61">
        <f>SUM('Daily Halba'!$E127,'Daily Halba'!$H127,$M127:$T127)</f>
        <v>1634.5371904124861</v>
      </c>
      <c r="V127" s="22"/>
      <c r="W127" s="62">
        <f>23+30</f>
        <v>53</v>
      </c>
      <c r="X127" s="62"/>
      <c r="Y127" s="62">
        <f>122+10*0.7754</f>
        <v>129.75399999999999</v>
      </c>
      <c r="Z127" s="62"/>
      <c r="AA127" s="63"/>
      <c r="AB127" s="64"/>
      <c r="AC127" s="64"/>
      <c r="AD127" s="64"/>
      <c r="AE127" s="65">
        <f t="shared" si="0"/>
        <v>0</v>
      </c>
      <c r="AF127" s="66"/>
      <c r="AG127" s="66">
        <v>100</v>
      </c>
      <c r="AH127" s="66"/>
      <c r="AI127" s="66">
        <v>5</v>
      </c>
      <c r="AJ127" s="66"/>
      <c r="AK127" s="66"/>
      <c r="AL127" s="66"/>
      <c r="AM127" s="66"/>
      <c r="AN127" s="67">
        <f t="shared" si="1"/>
        <v>105</v>
      </c>
      <c r="AO127" s="66"/>
      <c r="AP127" s="68">
        <f t="shared" si="2"/>
        <v>287.75400000000002</v>
      </c>
      <c r="AQ127" s="69"/>
      <c r="AR127" s="22"/>
      <c r="AS127" s="70">
        <f>'Daily Halba'!$U127-'Daily Halba'!$AP127</f>
        <v>1346.783190412486</v>
      </c>
      <c r="AT127" s="5"/>
      <c r="AU127" s="5"/>
      <c r="AV127" s="5"/>
    </row>
    <row r="128" spans="1:48" ht="12.75" customHeight="1" x14ac:dyDescent="0.3">
      <c r="A128" s="49">
        <v>46059</v>
      </c>
      <c r="B128" s="77" t="s">
        <v>25</v>
      </c>
      <c r="C128" s="51">
        <f>'ODOMETERS Halba'!J124</f>
        <v>883</v>
      </c>
      <c r="D128" s="178">
        <v>0.78210000000000002</v>
      </c>
      <c r="E128" s="53">
        <f>'Daily Halba'!$C128*'Daily Halba'!$D128</f>
        <v>690.59429999999998</v>
      </c>
      <c r="F128" s="54">
        <f>'ODOMETERS Halba'!K124</f>
        <v>661</v>
      </c>
      <c r="G128" s="178">
        <v>0.78210000000000002</v>
      </c>
      <c r="H128" s="53">
        <f>'Daily Halba'!$F128*'Daily Halba'!$G128</f>
        <v>516.96810000000005</v>
      </c>
      <c r="I128" s="54">
        <f>'Daily Halba'!$C128+'Daily Halba'!$F128</f>
        <v>1544</v>
      </c>
      <c r="J128" s="55">
        <f>'Daily Halba'!$I128*'Daily Halba'!$G128</f>
        <v>1207.5624</v>
      </c>
      <c r="K128" s="56">
        <f>'ODOMETERS Halba'!L124</f>
        <v>770</v>
      </c>
      <c r="L128" s="57">
        <v>0.74529999999999996</v>
      </c>
      <c r="M128" s="58">
        <f>'Daily Halba'!$K128*'Daily Halba'!$L128</f>
        <v>573.88099999999997</v>
      </c>
      <c r="N128" s="71">
        <v>14.45</v>
      </c>
      <c r="O128" s="71">
        <v>8.91</v>
      </c>
      <c r="P128" s="71">
        <v>28</v>
      </c>
      <c r="Q128" s="71"/>
      <c r="R128" s="71"/>
      <c r="S128" s="71"/>
      <c r="T128" s="71">
        <v>32.15</v>
      </c>
      <c r="U128" s="61">
        <f>SUM('Daily Halba'!$E128,'Daily Halba'!$H128,$M128:$T128)</f>
        <v>1864.9534000000003</v>
      </c>
      <c r="V128" s="22"/>
      <c r="W128" s="62">
        <v>54</v>
      </c>
      <c r="X128" s="62"/>
      <c r="Y128" s="62">
        <f>447.92+42.2+244</f>
        <v>734.12</v>
      </c>
      <c r="Z128" s="62">
        <v>-3</v>
      </c>
      <c r="AA128" s="63"/>
      <c r="AB128" s="64"/>
      <c r="AC128" s="64"/>
      <c r="AD128" s="64"/>
      <c r="AE128" s="65">
        <f t="shared" si="0"/>
        <v>0</v>
      </c>
      <c r="AF128" s="66"/>
      <c r="AH128" s="66"/>
      <c r="AI128" s="66"/>
      <c r="AJ128" s="66"/>
      <c r="AK128" s="66"/>
      <c r="AL128" s="66"/>
      <c r="AM128" s="66"/>
      <c r="AN128" s="67">
        <f t="shared" si="1"/>
        <v>0</v>
      </c>
      <c r="AO128" s="66"/>
      <c r="AP128" s="68">
        <f t="shared" si="2"/>
        <v>785.12</v>
      </c>
      <c r="AQ128" s="69"/>
      <c r="AR128" s="22"/>
      <c r="AS128" s="70">
        <f>'Daily Halba'!$U128-'Daily Halba'!$AP128</f>
        <v>1079.8334000000004</v>
      </c>
      <c r="AT128" s="5"/>
      <c r="AU128" s="5"/>
      <c r="AV128" s="5"/>
    </row>
    <row r="129" spans="1:48" ht="12.75" customHeight="1" x14ac:dyDescent="0.3">
      <c r="A129" s="49">
        <v>46060</v>
      </c>
      <c r="B129" s="77"/>
      <c r="C129" s="51">
        <f>'ODOMETERS Halba'!J125</f>
        <v>1581</v>
      </c>
      <c r="D129" s="178">
        <v>0.78210000000000002</v>
      </c>
      <c r="E129" s="53">
        <f>'Daily Halba'!$C129*'Daily Halba'!$D129</f>
        <v>1236.5001</v>
      </c>
      <c r="F129" s="54">
        <f>'ODOMETERS Halba'!K125</f>
        <v>1269</v>
      </c>
      <c r="G129" s="178">
        <v>0.78210000000000002</v>
      </c>
      <c r="H129" s="53">
        <f>'Daily Halba'!$F129*'Daily Halba'!$G129</f>
        <v>992.48490000000004</v>
      </c>
      <c r="I129" s="54">
        <f>'Daily Halba'!$C129+'Daily Halba'!$F129</f>
        <v>2850</v>
      </c>
      <c r="J129" s="55">
        <f>'Daily Halba'!$I129*'Daily Halba'!$G129</f>
        <v>2228.9850000000001</v>
      </c>
      <c r="K129" s="56">
        <f>'ODOMETERS Halba'!L125</f>
        <v>494</v>
      </c>
      <c r="L129" s="57">
        <v>0.74529999999999996</v>
      </c>
      <c r="M129" s="58">
        <f>'Daily Halba'!$K129*'Daily Halba'!$L129</f>
        <v>368.1782</v>
      </c>
      <c r="N129" s="71">
        <f>(250+600+300)/89.7+6</f>
        <v>18.820512820512818</v>
      </c>
      <c r="O129" s="71">
        <f>5+1000/89.7</f>
        <v>16.148272017837236</v>
      </c>
      <c r="P129" s="71">
        <f>2600/89.7+28+29</f>
        <v>85.985507246376812</v>
      </c>
      <c r="Q129" s="71"/>
      <c r="R129" s="71"/>
      <c r="S129" s="71">
        <f>500/89.7</f>
        <v>5.5741360089186172</v>
      </c>
      <c r="T129" s="71"/>
      <c r="U129" s="61">
        <f>SUM('Daily Halba'!$E129,'Daily Halba'!$H129,$M129:$T129)</f>
        <v>2723.6916280936457</v>
      </c>
      <c r="V129" s="22"/>
      <c r="W129" s="62">
        <f>50+800/89.7+30</f>
        <v>88.918617614269792</v>
      </c>
      <c r="X129" s="62"/>
      <c r="Y129" s="62">
        <f>17*0.7821+122*7+17*0.7453+88*0.7453</f>
        <v>945.55220000000008</v>
      </c>
      <c r="Z129" s="62">
        <v>1</v>
      </c>
      <c r="AA129" s="63"/>
      <c r="AB129" s="64"/>
      <c r="AC129" s="64">
        <v>80</v>
      </c>
      <c r="AD129" s="64"/>
      <c r="AE129" s="65">
        <f t="shared" si="0"/>
        <v>80</v>
      </c>
      <c r="AF129" s="66"/>
      <c r="AG129" s="66"/>
      <c r="AH129" s="66"/>
      <c r="AI129" s="66"/>
      <c r="AJ129" s="66"/>
      <c r="AK129" s="66"/>
      <c r="AL129" s="66"/>
      <c r="AM129" s="66"/>
      <c r="AN129" s="67">
        <f t="shared" si="1"/>
        <v>0</v>
      </c>
      <c r="AO129" s="66"/>
      <c r="AP129" s="68">
        <f t="shared" si="2"/>
        <v>1115.4708176142699</v>
      </c>
      <c r="AQ129" s="69"/>
      <c r="AR129" s="22"/>
      <c r="AS129" s="70">
        <f>'Daily Halba'!$U129-'Daily Halba'!$AP129</f>
        <v>1608.2208104793758</v>
      </c>
      <c r="AT129" s="5"/>
      <c r="AU129" s="5"/>
      <c r="AV129" s="5"/>
    </row>
    <row r="130" spans="1:48" ht="12.75" customHeight="1" x14ac:dyDescent="0.3">
      <c r="A130" s="49">
        <v>46061</v>
      </c>
      <c r="B130" s="77"/>
      <c r="C130" s="51">
        <f>'ODOMETERS Halba'!J126</f>
        <v>1983</v>
      </c>
      <c r="D130" s="178">
        <v>0.78210000000000002</v>
      </c>
      <c r="E130" s="53">
        <f>'Daily Halba'!$C130*'Daily Halba'!$D130</f>
        <v>1550.9042999999999</v>
      </c>
      <c r="F130" s="54">
        <f>'ODOMETERS Halba'!K126</f>
        <v>1600</v>
      </c>
      <c r="G130" s="178">
        <v>0.78210000000000002</v>
      </c>
      <c r="H130" s="53">
        <f>'Daily Halba'!$F130*'Daily Halba'!$G130</f>
        <v>1251.3600000000001</v>
      </c>
      <c r="I130" s="54">
        <f>'Daily Halba'!$C130+'Daily Halba'!$F130</f>
        <v>3583</v>
      </c>
      <c r="J130" s="55">
        <f>'Daily Halba'!$I130*'Daily Halba'!$G130</f>
        <v>2802.2643000000003</v>
      </c>
      <c r="K130" s="56">
        <f>'ODOMETERS Halba'!L126</f>
        <v>625</v>
      </c>
      <c r="L130" s="57">
        <v>0.74529999999999996</v>
      </c>
      <c r="M130" s="58">
        <f>'Daily Halba'!$K130*'Daily Halba'!$L130</f>
        <v>465.8125</v>
      </c>
      <c r="N130" s="71">
        <f>9+500/89.7+500/89.7+250/89.7+6</f>
        <v>28.935340022296543</v>
      </c>
      <c r="O130" s="71">
        <f>2000/89.7+15</f>
        <v>37.296544035674472</v>
      </c>
      <c r="P130" s="71">
        <f>2600/89.7</f>
        <v>28.985507246376812</v>
      </c>
      <c r="Q130" s="71"/>
      <c r="R130" s="71"/>
      <c r="S130" s="71">
        <f>4000+1237+7003</f>
        <v>12240</v>
      </c>
      <c r="T130" s="71">
        <f>(200+750+190+190+680+90+270)/89.7</f>
        <v>26.421404682274247</v>
      </c>
      <c r="U130" s="61">
        <f>SUM('Daily Halba'!$E130,'Daily Halba'!$H130,$M130:$T130)</f>
        <v>15629.715595986621</v>
      </c>
      <c r="V130" s="22"/>
      <c r="W130" s="62">
        <f>20+24+15+10+45+32</f>
        <v>146</v>
      </c>
      <c r="X130" s="62"/>
      <c r="Y130" s="62">
        <f>150*0.7453+(20+20+17+20+20+70+10+17+30)*0.7821</f>
        <v>286.98540000000003</v>
      </c>
      <c r="Z130" s="62">
        <v>29</v>
      </c>
      <c r="AA130" s="63"/>
      <c r="AB130" s="64"/>
      <c r="AC130" s="64"/>
      <c r="AD130" s="64"/>
      <c r="AE130" s="65">
        <f t="shared" si="0"/>
        <v>0</v>
      </c>
      <c r="AF130" s="66"/>
      <c r="AG130" s="66">
        <v>1065</v>
      </c>
      <c r="AH130" s="66"/>
      <c r="AI130" s="66">
        <v>5</v>
      </c>
      <c r="AJ130" s="66"/>
      <c r="AK130" s="66"/>
      <c r="AL130" s="66"/>
      <c r="AM130" s="66"/>
      <c r="AN130" s="67">
        <f t="shared" si="1"/>
        <v>1070</v>
      </c>
      <c r="AO130" s="66">
        <v>3000</v>
      </c>
      <c r="AP130" s="68">
        <f t="shared" si="2"/>
        <v>4531.9853999999996</v>
      </c>
      <c r="AQ130" s="69"/>
      <c r="AR130" s="22"/>
      <c r="AS130" s="70">
        <f>'Daily Halba'!$U130-'Daily Halba'!$AP130</f>
        <v>11097.730195986622</v>
      </c>
      <c r="AT130" s="5"/>
      <c r="AU130" s="5"/>
      <c r="AV130" s="19"/>
    </row>
    <row r="131" spans="1:48" ht="12.75" customHeight="1" x14ac:dyDescent="0.3">
      <c r="A131" s="49">
        <v>46062</v>
      </c>
      <c r="B131" s="77"/>
      <c r="C131" s="51">
        <f>'ODOMETERS Halba'!J127</f>
        <v>1828</v>
      </c>
      <c r="D131" s="178">
        <v>0.78210000000000002</v>
      </c>
      <c r="E131" s="53">
        <f>'Daily Halba'!$C131*'Daily Halba'!$D131</f>
        <v>1429.6788000000001</v>
      </c>
      <c r="F131" s="54">
        <f>'ODOMETERS Halba'!K127</f>
        <v>1622</v>
      </c>
      <c r="G131" s="178">
        <v>0.78210000000000002</v>
      </c>
      <c r="H131" s="53">
        <f>'Daily Halba'!$F131*'Daily Halba'!$G131</f>
        <v>1268.5662</v>
      </c>
      <c r="I131" s="54">
        <f>'Daily Halba'!$C131+'Daily Halba'!$F131</f>
        <v>3450</v>
      </c>
      <c r="J131" s="55">
        <f>'Daily Halba'!$I131*'Daily Halba'!$G131</f>
        <v>2698.2449999999999</v>
      </c>
      <c r="K131" s="56">
        <f>'ODOMETERS Halba'!L127</f>
        <v>3811</v>
      </c>
      <c r="L131" s="57">
        <v>0.74529999999999996</v>
      </c>
      <c r="M131" s="58">
        <f>'Daily Halba'!$K131*'Daily Halba'!$L131</f>
        <v>2840.3382999999999</v>
      </c>
      <c r="N131" s="71">
        <f>250/89.7+5</f>
        <v>7.787068004459309</v>
      </c>
      <c r="O131" s="71">
        <f>1600/89.7+5</f>
        <v>22.837235228539576</v>
      </c>
      <c r="P131" s="71">
        <f>8*14.5</f>
        <v>116</v>
      </c>
      <c r="Q131" s="71"/>
      <c r="R131" s="71"/>
      <c r="S131" s="71">
        <f>55+104+225</f>
        <v>384</v>
      </c>
      <c r="T131" s="71">
        <f>(95+285)/89.7</f>
        <v>4.2363433667781489</v>
      </c>
      <c r="U131" s="61">
        <f>SUM('Daily Halba'!$E131,'Daily Halba'!$H131,$M131:$T131)</f>
        <v>6073.4439465997766</v>
      </c>
      <c r="V131" s="22"/>
      <c r="W131" s="62">
        <f>30+700/89.7+35+28+55+30+3300*0.7453</f>
        <v>2645.293790412486</v>
      </c>
      <c r="X131" s="62"/>
      <c r="Y131" s="62">
        <f>(17+17+10+17+26.5+30)*0.7821+122+122+122+61</f>
        <v>518.89675</v>
      </c>
      <c r="Z131" s="62">
        <v>3</v>
      </c>
      <c r="AA131" s="63"/>
      <c r="AB131" s="64"/>
      <c r="AC131" s="64"/>
      <c r="AD131" s="64"/>
      <c r="AE131" s="65">
        <f t="shared" si="0"/>
        <v>0</v>
      </c>
      <c r="AF131" s="66"/>
      <c r="AG131" s="66"/>
      <c r="AH131" s="66"/>
      <c r="AI131" s="66">
        <f>5+800/89.7+5</f>
        <v>18.918617614269788</v>
      </c>
      <c r="AJ131" s="66">
        <v>212</v>
      </c>
      <c r="AK131" s="66"/>
      <c r="AL131" s="66"/>
      <c r="AM131" s="66"/>
      <c r="AN131" s="67">
        <f t="shared" si="1"/>
        <v>230.91861761426978</v>
      </c>
      <c r="AO131" s="66"/>
      <c r="AP131" s="68">
        <f t="shared" si="2"/>
        <v>3398.1091580267557</v>
      </c>
      <c r="AQ131" s="69" t="s">
        <v>196</v>
      </c>
      <c r="AR131" s="22"/>
      <c r="AS131" s="70">
        <f>'Daily Halba'!$U131-'Daily Halba'!$AP131</f>
        <v>2675.3347885730209</v>
      </c>
      <c r="AT131" s="5"/>
      <c r="AU131" s="5"/>
      <c r="AV131" s="5"/>
    </row>
    <row r="132" spans="1:48" ht="12.75" customHeight="1" x14ac:dyDescent="0.3">
      <c r="A132" s="49">
        <v>46063</v>
      </c>
      <c r="B132" s="77" t="s">
        <v>24</v>
      </c>
      <c r="C132" s="51">
        <f>'ODOMETERS Halba'!J128</f>
        <v>861</v>
      </c>
      <c r="D132" s="178">
        <v>0.78210000000000002</v>
      </c>
      <c r="E132" s="53">
        <f>'Daily Halba'!$C132*'Daily Halba'!$D132</f>
        <v>673.38810000000001</v>
      </c>
      <c r="F132" s="54">
        <f>'ODOMETERS Halba'!K128</f>
        <v>911</v>
      </c>
      <c r="G132" s="178">
        <v>0.78210000000000002</v>
      </c>
      <c r="H132" s="53">
        <f>'Daily Halba'!$F132*'Daily Halba'!$G132</f>
        <v>712.49310000000003</v>
      </c>
      <c r="I132" s="54">
        <f>'Daily Halba'!$C132+'Daily Halba'!$F132</f>
        <v>1772</v>
      </c>
      <c r="J132" s="55">
        <f>'Daily Halba'!$I132*'Daily Halba'!$G132</f>
        <v>1385.8812</v>
      </c>
      <c r="K132" s="56">
        <f>'ODOMETERS Halba'!L128</f>
        <v>260</v>
      </c>
      <c r="L132" s="57">
        <v>0.74529999999999996</v>
      </c>
      <c r="M132" s="58">
        <f>'Daily Halba'!$K132*'Daily Halba'!$L132</f>
        <v>193.77799999999999</v>
      </c>
      <c r="N132" s="71"/>
      <c r="O132" s="71"/>
      <c r="P132" s="71"/>
      <c r="Q132" s="71"/>
      <c r="R132" s="71"/>
      <c r="S132" s="71"/>
      <c r="T132" s="71">
        <f>190/89.7+4+1</f>
        <v>7.1181716833890745</v>
      </c>
      <c r="U132" s="61">
        <f>SUM('Daily Halba'!$E132,'Daily Halba'!$H132,$M132:$T132)</f>
        <v>1586.7773716833892</v>
      </c>
      <c r="V132" s="22"/>
      <c r="W132" s="62"/>
      <c r="X132" s="62"/>
      <c r="Y132" s="62">
        <f>(48+10+20+26)*0.7821</f>
        <v>81.338400000000007</v>
      </c>
      <c r="Z132" s="62"/>
      <c r="AA132" s="63"/>
      <c r="AB132" s="64"/>
      <c r="AC132" s="64">
        <v>227</v>
      </c>
      <c r="AD132" s="64"/>
      <c r="AE132" s="65">
        <f t="shared" si="0"/>
        <v>227</v>
      </c>
      <c r="AF132" s="66"/>
      <c r="AG132" s="66"/>
      <c r="AH132" s="66"/>
      <c r="AI132" s="66">
        <v>5</v>
      </c>
      <c r="AJ132" s="66"/>
      <c r="AK132" s="66"/>
      <c r="AL132" s="66"/>
      <c r="AM132" s="66"/>
      <c r="AN132" s="67">
        <f t="shared" si="1"/>
        <v>5</v>
      </c>
      <c r="AO132" s="66"/>
      <c r="AP132" s="68">
        <f t="shared" si="2"/>
        <v>313.33839999999998</v>
      </c>
      <c r="AQ132" s="69"/>
      <c r="AR132" s="22"/>
      <c r="AS132" s="70">
        <f>'Daily Halba'!$U132-'Daily Halba'!$AP132</f>
        <v>1273.4389716833894</v>
      </c>
      <c r="AT132" s="5"/>
      <c r="AU132" s="5"/>
      <c r="AV132" s="5"/>
    </row>
    <row r="133" spans="1:48" ht="12.75" customHeight="1" x14ac:dyDescent="0.3">
      <c r="A133" s="49">
        <v>46063</v>
      </c>
      <c r="B133" s="77" t="s">
        <v>25</v>
      </c>
      <c r="C133" s="51">
        <f>'ODOMETERS Halba'!J129</f>
        <v>1202</v>
      </c>
      <c r="D133" s="178">
        <v>0.78600000000000003</v>
      </c>
      <c r="E133" s="53">
        <f>'Daily Halba'!$C133*'Daily Halba'!$D133</f>
        <v>944.77200000000005</v>
      </c>
      <c r="F133" s="54">
        <f>'ODOMETERS Halba'!K129</f>
        <v>887</v>
      </c>
      <c r="G133" s="178">
        <v>0.78600000000000003</v>
      </c>
      <c r="H133" s="53">
        <f>'Daily Halba'!$F133*'Daily Halba'!$G133</f>
        <v>697.18200000000002</v>
      </c>
      <c r="I133" s="54">
        <f>'Daily Halba'!$C133+'Daily Halba'!$F133</f>
        <v>2089</v>
      </c>
      <c r="J133" s="55">
        <f>'Daily Halba'!$I133*'Daily Halba'!$G133</f>
        <v>1641.9540000000002</v>
      </c>
      <c r="K133" s="56">
        <f>'ODOMETERS Halba'!L129</f>
        <v>405</v>
      </c>
      <c r="L133" s="57">
        <v>0.74970000000000003</v>
      </c>
      <c r="M133" s="58">
        <f>'Daily Halba'!$K133*'Daily Halba'!$L133</f>
        <v>303.62850000000003</v>
      </c>
      <c r="N133" s="71">
        <f>500/89.7+6</f>
        <v>11.574136008918618</v>
      </c>
      <c r="O133" s="71">
        <v>19.45</v>
      </c>
      <c r="P133" s="71">
        <f>14+1300/89.7+1400/89.7+61</f>
        <v>105.10033444816054</v>
      </c>
      <c r="Q133" s="71"/>
      <c r="R133" s="71"/>
      <c r="S133" s="71"/>
      <c r="T133" s="71">
        <f>(190+190+280)/89.7</f>
        <v>7.3578595317725748</v>
      </c>
      <c r="U133" s="61">
        <f>SUM('Daily Halba'!$E133,'Daily Halba'!$H133,$M133:$T133)</f>
        <v>2089.0648299888521</v>
      </c>
      <c r="V133" s="22"/>
      <c r="W133" s="62">
        <f>20+700/89.7+20+40+193*0.7497+42*0.7497</f>
        <v>263.98329041248604</v>
      </c>
      <c r="X133" s="62"/>
      <c r="Y133" s="62">
        <f>(20+20+30)*0.786+122+30+122</f>
        <v>329.02</v>
      </c>
      <c r="Z133" s="62"/>
      <c r="AA133" s="63">
        <v>112</v>
      </c>
      <c r="AB133" s="64"/>
      <c r="AC133" s="64"/>
      <c r="AD133" s="64"/>
      <c r="AE133" s="65">
        <f t="shared" si="0"/>
        <v>112</v>
      </c>
      <c r="AF133" s="66"/>
      <c r="AG133" s="66"/>
      <c r="AH133" s="66"/>
      <c r="AI133" s="66"/>
      <c r="AJ133" s="66"/>
      <c r="AK133" s="66"/>
      <c r="AL133" s="66"/>
      <c r="AM133" s="66"/>
      <c r="AN133" s="67">
        <f t="shared" si="1"/>
        <v>0</v>
      </c>
      <c r="AO133" s="66"/>
      <c r="AP133" s="68">
        <f t="shared" si="2"/>
        <v>705.00329041248597</v>
      </c>
      <c r="AQ133" s="69"/>
      <c r="AR133" s="22"/>
      <c r="AS133" s="70">
        <f>'Daily Halba'!$U133-'Daily Halba'!$AP133</f>
        <v>1384.0615395763662</v>
      </c>
      <c r="AT133" s="5"/>
      <c r="AU133" s="5"/>
      <c r="AV133" s="19"/>
    </row>
    <row r="134" spans="1:48" ht="12.75" customHeight="1" x14ac:dyDescent="0.3">
      <c r="A134" s="49">
        <v>46064</v>
      </c>
      <c r="B134" s="77"/>
      <c r="C134" s="51">
        <f>'ODOMETERS Halba'!J130</f>
        <v>1901</v>
      </c>
      <c r="D134" s="178">
        <v>0.78600000000000003</v>
      </c>
      <c r="E134" s="53">
        <f>'Daily Halba'!$C134*'Daily Halba'!$D134</f>
        <v>1494.1860000000001</v>
      </c>
      <c r="F134" s="54">
        <f>'ODOMETERS Halba'!K130</f>
        <v>1578</v>
      </c>
      <c r="G134" s="178">
        <v>0.78600000000000003</v>
      </c>
      <c r="H134" s="53">
        <f>'Daily Halba'!$F134*'Daily Halba'!$G134</f>
        <v>1240.308</v>
      </c>
      <c r="I134" s="54">
        <f>'Daily Halba'!$C134+'Daily Halba'!$F134</f>
        <v>3479</v>
      </c>
      <c r="J134" s="55">
        <f>'Daily Halba'!$I134*'Daily Halba'!$G134</f>
        <v>2734.4940000000001</v>
      </c>
      <c r="K134" s="56">
        <f>'ODOMETERS Halba'!L130</f>
        <v>546</v>
      </c>
      <c r="L134" s="57">
        <v>0.74970000000000003</v>
      </c>
      <c r="M134" s="58">
        <f>'Daily Halba'!$K134*'Daily Halba'!$L134</f>
        <v>409.33620000000002</v>
      </c>
      <c r="N134" s="71">
        <v>27.5</v>
      </c>
      <c r="O134" s="71"/>
      <c r="P134" s="71">
        <v>62.43</v>
      </c>
      <c r="Q134" s="71"/>
      <c r="R134" s="71"/>
      <c r="S134" s="71"/>
      <c r="T134" s="71">
        <v>6</v>
      </c>
      <c r="U134" s="61">
        <f>SUM('Daily Halba'!$E134,'Daily Halba'!$H134,$M134:$T134)</f>
        <v>3239.7602000000002</v>
      </c>
      <c r="V134" s="22"/>
      <c r="W134" s="62">
        <v>304.8</v>
      </c>
      <c r="X134" s="62"/>
      <c r="Y134" s="62">
        <f>429+60.52</f>
        <v>489.52</v>
      </c>
      <c r="Z134" s="62">
        <v>30</v>
      </c>
      <c r="AA134" s="63"/>
      <c r="AB134" s="64"/>
      <c r="AC134" s="64"/>
      <c r="AD134" s="64"/>
      <c r="AE134" s="65">
        <f t="shared" si="0"/>
        <v>0</v>
      </c>
      <c r="AF134" s="66"/>
      <c r="AG134" s="66"/>
      <c r="AH134" s="66">
        <v>50</v>
      </c>
      <c r="AI134" s="66">
        <v>6.5</v>
      </c>
      <c r="AJ134" s="66"/>
      <c r="AK134" s="66"/>
      <c r="AL134" s="66"/>
      <c r="AM134" s="66"/>
      <c r="AN134" s="67">
        <f t="shared" si="1"/>
        <v>56.5</v>
      </c>
      <c r="AO134" s="66"/>
      <c r="AP134" s="68">
        <f t="shared" si="2"/>
        <v>880.81999999999994</v>
      </c>
      <c r="AQ134" s="69" t="s">
        <v>197</v>
      </c>
      <c r="AR134" s="22"/>
      <c r="AS134" s="70">
        <f>'Daily Halba'!$U134-'Daily Halba'!$AP134</f>
        <v>2358.9402</v>
      </c>
      <c r="AT134" s="5"/>
      <c r="AU134" s="5"/>
      <c r="AV134" s="5"/>
    </row>
    <row r="135" spans="1:48" ht="12.75" customHeight="1" x14ac:dyDescent="0.3">
      <c r="A135" s="49">
        <v>46065</v>
      </c>
      <c r="B135" s="77"/>
      <c r="C135" s="51">
        <f>'ODOMETERS Halba'!J131</f>
        <v>1579</v>
      </c>
      <c r="D135" s="178">
        <v>0.78600000000000003</v>
      </c>
      <c r="E135" s="53">
        <f>'Daily Halba'!$C135*'Daily Halba'!$D135</f>
        <v>1241.0940000000001</v>
      </c>
      <c r="F135" s="54">
        <f>'ODOMETERS Halba'!K131</f>
        <v>1364</v>
      </c>
      <c r="G135" s="178">
        <v>0.78600000000000003</v>
      </c>
      <c r="H135" s="53">
        <f>'Daily Halba'!$F135*'Daily Halba'!$G135</f>
        <v>1072.104</v>
      </c>
      <c r="I135" s="54">
        <f>'Daily Halba'!$C135+'Daily Halba'!$F135</f>
        <v>2943</v>
      </c>
      <c r="J135" s="55">
        <f>'Daily Halba'!$I135*'Daily Halba'!$G135</f>
        <v>2313.1980000000003</v>
      </c>
      <c r="K135" s="56">
        <f>'ODOMETERS Halba'!L131</f>
        <v>532</v>
      </c>
      <c r="L135" s="57">
        <v>0.74970000000000003</v>
      </c>
      <c r="M135" s="58">
        <f>'Daily Halba'!$K135*'Daily Halba'!$L135</f>
        <v>398.84040000000005</v>
      </c>
      <c r="N135" s="71">
        <f>(300+300+300+250)/89.7</f>
        <v>12.820512820512819</v>
      </c>
      <c r="O135" s="71">
        <v>7</v>
      </c>
      <c r="P135" s="71">
        <f>(8*1400)/89.7</f>
        <v>124.86064659977703</v>
      </c>
      <c r="Q135" s="71"/>
      <c r="R135" s="71"/>
      <c r="S135" s="71">
        <f>5000/89.7</f>
        <v>55.741360089186173</v>
      </c>
      <c r="T135" s="71">
        <f>2+2+3</f>
        <v>7</v>
      </c>
      <c r="U135" s="61">
        <f>SUM('Daily Halba'!$E135,'Daily Halba'!$H135,$M135:$T135)</f>
        <v>2919.4609195094763</v>
      </c>
      <c r="V135" s="22"/>
      <c r="W135" s="62">
        <f>31+30+30+10000/89.7+700/89.7+21+141*0.7497+600+35+18</f>
        <v>989.99421059085842</v>
      </c>
      <c r="X135" s="62"/>
      <c r="Y135" s="62">
        <f>(20+26+17+30+20+30+25.5)*0.768+122*3</f>
        <v>495.40800000000002</v>
      </c>
      <c r="Z135" s="62"/>
      <c r="AA135" s="63"/>
      <c r="AB135" s="64"/>
      <c r="AC135" s="64">
        <v>126</v>
      </c>
      <c r="AD135" s="64"/>
      <c r="AE135" s="65">
        <f t="shared" si="0"/>
        <v>126</v>
      </c>
      <c r="AF135" s="66"/>
      <c r="AG135" s="66"/>
      <c r="AH135" s="66"/>
      <c r="AI135" s="66"/>
      <c r="AJ135" s="66">
        <v>50</v>
      </c>
      <c r="AK135" s="66">
        <f>600/89.7</f>
        <v>6.6889632107023411</v>
      </c>
      <c r="AL135" s="66"/>
      <c r="AM135" s="66"/>
      <c r="AN135" s="67">
        <f t="shared" si="1"/>
        <v>56.68896321070234</v>
      </c>
      <c r="AO135" s="66"/>
      <c r="AP135" s="68">
        <f t="shared" si="2"/>
        <v>1668.0911738015607</v>
      </c>
      <c r="AQ135" s="69"/>
      <c r="AR135" s="22"/>
      <c r="AS135" s="70">
        <f>'Daily Halba'!$U135-'Daily Halba'!$AP135</f>
        <v>1251.3697457079156</v>
      </c>
      <c r="AT135" s="5"/>
      <c r="AU135" s="5"/>
      <c r="AV135" s="5"/>
    </row>
    <row r="136" spans="1:48" ht="12.75" customHeight="1" x14ac:dyDescent="0.3">
      <c r="A136" s="49">
        <v>46066</v>
      </c>
      <c r="B136" s="77" t="s">
        <v>24</v>
      </c>
      <c r="C136" s="51">
        <f>'ODOMETERS Halba'!J132</f>
        <v>1025</v>
      </c>
      <c r="D136" s="178">
        <v>0.78600000000000003</v>
      </c>
      <c r="E136" s="53">
        <f>'Daily Halba'!$C136*'Daily Halba'!$D136</f>
        <v>805.65</v>
      </c>
      <c r="F136" s="54">
        <f>'ODOMETERS Halba'!K132</f>
        <v>554</v>
      </c>
      <c r="G136" s="178">
        <v>0.78600000000000003</v>
      </c>
      <c r="H136" s="53">
        <f>'Daily Halba'!$F136*'Daily Halba'!$G136</f>
        <v>435.44400000000002</v>
      </c>
      <c r="I136" s="54">
        <f>'Daily Halba'!$C136+'Daily Halba'!$F136</f>
        <v>1579</v>
      </c>
      <c r="J136" s="55">
        <f>'Daily Halba'!$I136*'Daily Halba'!$G136</f>
        <v>1241.0940000000001</v>
      </c>
      <c r="K136" s="56">
        <f>'ODOMETERS Halba'!L132</f>
        <v>369</v>
      </c>
      <c r="L136" s="57">
        <v>0.74970000000000003</v>
      </c>
      <c r="M136" s="58">
        <f>'Daily Halba'!$K136*'Daily Halba'!$L136</f>
        <v>276.63929999999999</v>
      </c>
      <c r="N136" s="71">
        <f>900/89.7+550/89.7</f>
        <v>16.164994425863991</v>
      </c>
      <c r="O136" s="71"/>
      <c r="P136" s="71"/>
      <c r="Q136" s="71"/>
      <c r="R136" s="71"/>
      <c r="S136" s="71">
        <v>21</v>
      </c>
      <c r="T136" s="71">
        <f>190/89.7+2</f>
        <v>4.1181716833890745</v>
      </c>
      <c r="U136" s="61">
        <f>SUM('Daily Halba'!$E136,'Daily Halba'!$H136,$M136:$T136)</f>
        <v>1559.0164661092533</v>
      </c>
      <c r="V136" s="22"/>
      <c r="W136" s="62">
        <f>20+20</f>
        <v>40</v>
      </c>
      <c r="X136" s="62"/>
      <c r="Y136" s="62">
        <f>122+62+48.5*0.786</f>
        <v>222.12100000000001</v>
      </c>
      <c r="Z136" s="62"/>
      <c r="AA136" s="63"/>
      <c r="AB136" s="64"/>
      <c r="AC136" s="64"/>
      <c r="AD136" s="64"/>
      <c r="AE136" s="65">
        <f t="shared" si="0"/>
        <v>0</v>
      </c>
      <c r="AF136" s="66"/>
      <c r="AG136" s="66"/>
      <c r="AH136" s="66"/>
      <c r="AI136" s="66">
        <v>5</v>
      </c>
      <c r="AJ136" s="66"/>
      <c r="AK136" s="66"/>
      <c r="AL136" s="66"/>
      <c r="AM136" s="66"/>
      <c r="AN136" s="67">
        <f t="shared" si="1"/>
        <v>5</v>
      </c>
      <c r="AO136" s="66"/>
      <c r="AP136" s="68">
        <f t="shared" si="2"/>
        <v>267.12099999999998</v>
      </c>
      <c r="AQ136" s="69"/>
      <c r="AR136" s="22"/>
      <c r="AS136" s="70">
        <f>'Daily Halba'!$U136-'Daily Halba'!$AP136</f>
        <v>1291.8954661092534</v>
      </c>
      <c r="AT136" s="5"/>
      <c r="AU136" s="5"/>
      <c r="AV136" s="5"/>
    </row>
    <row r="137" spans="1:48" ht="12.75" customHeight="1" x14ac:dyDescent="0.3">
      <c r="A137" s="49">
        <v>46066</v>
      </c>
      <c r="B137" s="77" t="s">
        <v>25</v>
      </c>
      <c r="C137" s="51">
        <f>'ODOMETERS Halba'!J133</f>
        <v>867</v>
      </c>
      <c r="D137" s="178">
        <v>0.79379999999999995</v>
      </c>
      <c r="E137" s="53">
        <f>'Daily Halba'!$C137*'Daily Halba'!$D137</f>
        <v>688.22460000000001</v>
      </c>
      <c r="F137" s="54">
        <f>'ODOMETERS Halba'!K133</f>
        <v>843</v>
      </c>
      <c r="G137" s="178">
        <v>0.79379999999999995</v>
      </c>
      <c r="H137" s="53">
        <f>'Daily Halba'!$F137*'Daily Halba'!$G137</f>
        <v>669.1733999999999</v>
      </c>
      <c r="I137" s="54">
        <f>'Daily Halba'!$C137+'Daily Halba'!$F137</f>
        <v>1710</v>
      </c>
      <c r="J137" s="55">
        <f>'Daily Halba'!$I137*'Daily Halba'!$G137</f>
        <v>1357.3979999999999</v>
      </c>
      <c r="K137" s="56">
        <f>'ODOMETERS Halba'!L133</f>
        <v>1252</v>
      </c>
      <c r="L137" s="57">
        <v>0.75470000000000004</v>
      </c>
      <c r="M137" s="58">
        <f>'Daily Halba'!$K137*'Daily Halba'!$L137</f>
        <v>944.88440000000003</v>
      </c>
      <c r="N137" s="71">
        <v>6.13</v>
      </c>
      <c r="O137" s="71">
        <v>26.14</v>
      </c>
      <c r="P137" s="71">
        <v>46.82</v>
      </c>
      <c r="Q137" s="71"/>
      <c r="R137" s="71"/>
      <c r="S137" s="71">
        <v>21500</v>
      </c>
      <c r="T137" s="71">
        <v>22</v>
      </c>
      <c r="U137" s="61">
        <f>SUM('Daily Halba'!$E137,'Daily Halba'!$H137,$M137:$T137)</f>
        <v>23903.3724</v>
      </c>
      <c r="V137" s="22"/>
      <c r="W137" s="62">
        <f>92.8+1040*0.7547</f>
        <v>877.68799999999999</v>
      </c>
      <c r="X137" s="62"/>
      <c r="Y137" s="62">
        <f>245.5*0.7938</f>
        <v>194.87789999999998</v>
      </c>
      <c r="Z137" s="62">
        <v>6</v>
      </c>
      <c r="AA137" s="63"/>
      <c r="AB137" s="64"/>
      <c r="AC137" s="64"/>
      <c r="AD137" s="64"/>
      <c r="AE137" s="65">
        <f t="shared" si="0"/>
        <v>0</v>
      </c>
      <c r="AF137" s="66"/>
      <c r="AG137" s="66"/>
      <c r="AH137" s="66"/>
      <c r="AI137" s="66"/>
      <c r="AJ137" s="66"/>
      <c r="AK137" s="66"/>
      <c r="AL137" s="66"/>
      <c r="AM137" s="66"/>
      <c r="AN137" s="67">
        <f t="shared" si="1"/>
        <v>0</v>
      </c>
      <c r="AO137" s="66">
        <v>1500</v>
      </c>
      <c r="AP137" s="68">
        <f t="shared" si="2"/>
        <v>2578.5659000000001</v>
      </c>
      <c r="AQ137" s="69" t="s">
        <v>202</v>
      </c>
      <c r="AR137" s="22"/>
      <c r="AS137" s="70">
        <f>'Daily Halba'!$U137-'Daily Halba'!$AP137</f>
        <v>21324.806499999999</v>
      </c>
      <c r="AT137" s="5"/>
      <c r="AU137" s="5"/>
      <c r="AV137" s="5"/>
    </row>
    <row r="138" spans="1:48" ht="12.75" customHeight="1" x14ac:dyDescent="0.3">
      <c r="A138" s="49">
        <v>46067</v>
      </c>
      <c r="B138" s="77"/>
      <c r="C138" s="51">
        <f>'ODOMETERS Halba'!J134</f>
        <v>2260</v>
      </c>
      <c r="D138" s="178">
        <v>0.79379999999999995</v>
      </c>
      <c r="E138" s="53">
        <f>'Daily Halba'!$C138*'Daily Halba'!$D138</f>
        <v>1793.9879999999998</v>
      </c>
      <c r="F138" s="54">
        <f>'ODOMETERS Halba'!K134</f>
        <v>1569</v>
      </c>
      <c r="G138" s="178">
        <v>0.79379999999999995</v>
      </c>
      <c r="H138" s="53">
        <f>'Daily Halba'!$F138*'Daily Halba'!$G138</f>
        <v>1245.4721999999999</v>
      </c>
      <c r="I138" s="54">
        <f>'Daily Halba'!$C138+'Daily Halba'!$F138</f>
        <v>3829</v>
      </c>
      <c r="J138" s="55">
        <f>'Daily Halba'!$I138*'Daily Halba'!$G138</f>
        <v>3039.4602</v>
      </c>
      <c r="K138" s="56">
        <f>'ODOMETERS Halba'!L134</f>
        <v>846</v>
      </c>
      <c r="L138" s="57">
        <v>0.75470000000000004</v>
      </c>
      <c r="M138" s="58">
        <f>'Daily Halba'!$K138*'Daily Halba'!$L138</f>
        <v>638.47620000000006</v>
      </c>
      <c r="N138" s="71">
        <f>10+8+250/89.7</f>
        <v>20.787068004459307</v>
      </c>
      <c r="O138" s="71">
        <v>21</v>
      </c>
      <c r="P138" s="71">
        <f>8*1400/89.7</f>
        <v>124.86064659977703</v>
      </c>
      <c r="Q138" s="71"/>
      <c r="R138" s="71"/>
      <c r="S138" s="71">
        <f>38+679+600</f>
        <v>1317</v>
      </c>
      <c r="T138" s="71">
        <f>(2)</f>
        <v>2</v>
      </c>
      <c r="U138" s="61">
        <f>SUM('Daily Halba'!$E138,'Daily Halba'!$H138,$M138:$T138)</f>
        <v>5163.5841146042358</v>
      </c>
      <c r="V138" s="22"/>
      <c r="W138" s="62">
        <f>30+20+800/89.7+28+900/89.7+10+40</f>
        <v>146.95206243032331</v>
      </c>
      <c r="X138" s="62"/>
      <c r="Y138" s="62">
        <f>28.5*0.7938+(170+180+180)*0.7547+122+125+123+122+31</f>
        <v>945.61429999999996</v>
      </c>
      <c r="Z138" s="62"/>
      <c r="AA138" s="63">
        <v>240</v>
      </c>
      <c r="AB138" s="64"/>
      <c r="AC138" s="64">
        <v>210</v>
      </c>
      <c r="AD138" s="64"/>
      <c r="AE138" s="65">
        <f t="shared" si="0"/>
        <v>450</v>
      </c>
      <c r="AF138" s="66"/>
      <c r="AG138" s="66"/>
      <c r="AH138" s="66"/>
      <c r="AI138" s="66"/>
      <c r="AJ138" s="66"/>
      <c r="AK138" s="66"/>
      <c r="AL138" s="66"/>
      <c r="AM138" s="66"/>
      <c r="AN138" s="67">
        <f t="shared" si="1"/>
        <v>0</v>
      </c>
      <c r="AO138" s="66"/>
      <c r="AP138" s="68">
        <f t="shared" si="2"/>
        <v>1542.5663624303234</v>
      </c>
      <c r="AQ138" s="69"/>
      <c r="AR138" s="22"/>
      <c r="AS138" s="70">
        <f>'Daily Halba'!$U138-'Daily Halba'!$AP138</f>
        <v>3621.0177521739124</v>
      </c>
      <c r="AT138" s="5"/>
      <c r="AU138" s="5"/>
      <c r="AV138" s="5"/>
    </row>
    <row r="139" spans="1:48" ht="12.75" customHeight="1" x14ac:dyDescent="0.3">
      <c r="A139" s="49">
        <v>46068</v>
      </c>
      <c r="B139" s="77"/>
      <c r="C139" s="51">
        <f>'ODOMETERS Halba'!J135</f>
        <v>1904</v>
      </c>
      <c r="D139" s="178">
        <v>0.79379999999999995</v>
      </c>
      <c r="E139" s="53">
        <f>'Daily Halba'!$C139*'Daily Halba'!$D139</f>
        <v>1511.3951999999999</v>
      </c>
      <c r="F139" s="54">
        <f>'ODOMETERS Halba'!K135</f>
        <v>1722</v>
      </c>
      <c r="G139" s="178">
        <v>0.79379999999999995</v>
      </c>
      <c r="H139" s="53">
        <f>'Daily Halba'!$F139*'Daily Halba'!$G139</f>
        <v>1366.9235999999999</v>
      </c>
      <c r="I139" s="54">
        <f>'Daily Halba'!$C139+'Daily Halba'!$F139</f>
        <v>3626</v>
      </c>
      <c r="J139" s="55">
        <f>'Daily Halba'!$I139*'Daily Halba'!$G139</f>
        <v>2878.3188</v>
      </c>
      <c r="K139" s="56">
        <f>'ODOMETERS Halba'!L135</f>
        <v>403</v>
      </c>
      <c r="L139" s="57">
        <v>0.75470000000000004</v>
      </c>
      <c r="M139" s="58">
        <f>'Daily Halba'!$K139*'Daily Halba'!$L139</f>
        <v>304.14410000000004</v>
      </c>
      <c r="N139" s="71">
        <v>47</v>
      </c>
      <c r="O139" s="71">
        <v>63</v>
      </c>
      <c r="P139" s="71">
        <v>200.82</v>
      </c>
      <c r="Q139" s="71"/>
      <c r="R139" s="71"/>
      <c r="S139" s="71"/>
      <c r="T139" s="71">
        <v>6</v>
      </c>
      <c r="U139" s="61">
        <f>SUM('Daily Halba'!$E139,'Daily Halba'!$H139,$M139:$T139)</f>
        <v>3499.2829000000002</v>
      </c>
      <c r="V139" s="22"/>
      <c r="W139" s="62">
        <v>43</v>
      </c>
      <c r="X139" s="62"/>
      <c r="Y139" s="62">
        <v>61</v>
      </c>
      <c r="Z139" s="62">
        <v>-4</v>
      </c>
      <c r="AA139" s="63"/>
      <c r="AB139" s="64"/>
      <c r="AC139" s="64"/>
      <c r="AD139" s="64"/>
      <c r="AE139" s="65">
        <f t="shared" si="0"/>
        <v>0</v>
      </c>
      <c r="AF139" s="66"/>
      <c r="AG139" s="66">
        <v>150</v>
      </c>
      <c r="AH139" s="66"/>
      <c r="AI139" s="66"/>
      <c r="AJ139" s="66"/>
      <c r="AK139" s="66"/>
      <c r="AL139" s="66"/>
      <c r="AM139" s="66"/>
      <c r="AN139" s="67">
        <f t="shared" si="1"/>
        <v>150</v>
      </c>
      <c r="AO139" s="66"/>
      <c r="AP139" s="68">
        <f>SUM(W139:Z139,AE139,AN139,AO139)</f>
        <v>250</v>
      </c>
      <c r="AQ139" s="69"/>
      <c r="AR139" s="22"/>
      <c r="AS139" s="70">
        <f>'Daily Halba'!$U139-'Daily Halba'!$AP139</f>
        <v>3249.2829000000002</v>
      </c>
      <c r="AT139" s="5"/>
      <c r="AU139" s="5"/>
      <c r="AV139" s="5"/>
    </row>
    <row r="140" spans="1:48" ht="12.75" customHeight="1" x14ac:dyDescent="0.3">
      <c r="A140" s="49">
        <v>46069</v>
      </c>
      <c r="B140" s="77"/>
      <c r="C140" s="51">
        <f>'ODOMETERS Halba'!J136</f>
        <v>2152</v>
      </c>
      <c r="D140" s="178">
        <v>0.79379999999999995</v>
      </c>
      <c r="E140" s="53">
        <f>'Daily Halba'!$C140*'Daily Halba'!$D140</f>
        <v>1708.2575999999999</v>
      </c>
      <c r="F140" s="54">
        <f>'ODOMETERS Halba'!K136</f>
        <v>2129</v>
      </c>
      <c r="G140" s="178">
        <v>0.79379999999999995</v>
      </c>
      <c r="H140" s="53">
        <f>'Daily Halba'!$F140*'Daily Halba'!$G140</f>
        <v>1690.0001999999999</v>
      </c>
      <c r="I140" s="54">
        <f>'Daily Halba'!$C140+'Daily Halba'!$F140</f>
        <v>4281</v>
      </c>
      <c r="J140" s="55">
        <f>'Daily Halba'!$I140*'Daily Halba'!$G140</f>
        <v>3398.2577999999999</v>
      </c>
      <c r="K140" s="56">
        <f>'ODOMETERS Halba'!L136</f>
        <v>656</v>
      </c>
      <c r="L140" s="57">
        <v>0.75470000000000004</v>
      </c>
      <c r="M140" s="58">
        <f>'Daily Halba'!$K140*'Daily Halba'!$L140</f>
        <v>495.08320000000003</v>
      </c>
      <c r="N140" s="71">
        <f>3+250/89.7+300/89.7+4+5+250/89.7+6</f>
        <v>26.918617614269785</v>
      </c>
      <c r="O140" s="71">
        <f>3+3+4+5+4+5+3+5+4</f>
        <v>36</v>
      </c>
      <c r="P140" s="71">
        <f>2800/89.7</f>
        <v>31.215161649944257</v>
      </c>
      <c r="Q140" s="71"/>
      <c r="R140" s="71"/>
      <c r="S140" s="71">
        <f>19+70</f>
        <v>89</v>
      </c>
      <c r="T140" s="71">
        <f>1+5</f>
        <v>6</v>
      </c>
      <c r="U140" s="61">
        <f>SUM('Daily Halba'!$E140,'Daily Halba'!$H140,$M140:$T140)</f>
        <v>4082.4747792642138</v>
      </c>
      <c r="V140" s="22"/>
      <c r="W140" s="62">
        <f>45+60+800/89.7+38+1000/89.7+114*0.7547+300/89.7+13+39</f>
        <v>304.44717123745824</v>
      </c>
      <c r="X140" s="62"/>
      <c r="Y140" s="62">
        <f>(10+50)*0.7938+45*0.7547+128</f>
        <v>209.58949999999999</v>
      </c>
      <c r="Z140" s="62">
        <v>-5</v>
      </c>
      <c r="AA140" s="63"/>
      <c r="AB140" s="64"/>
      <c r="AC140" s="64">
        <v>280</v>
      </c>
      <c r="AD140" s="64"/>
      <c r="AE140" s="65">
        <f t="shared" si="0"/>
        <v>280</v>
      </c>
      <c r="AF140" s="66"/>
      <c r="AG140" s="66"/>
      <c r="AH140" s="66"/>
      <c r="AI140" s="66">
        <f>20+5</f>
        <v>25</v>
      </c>
      <c r="AJ140" s="66"/>
      <c r="AK140" s="66">
        <f>1800/89.7</f>
        <v>20.066889632107024</v>
      </c>
      <c r="AL140" s="66"/>
      <c r="AM140" s="66"/>
      <c r="AN140" s="67">
        <f t="shared" si="1"/>
        <v>45.066889632107021</v>
      </c>
      <c r="AO140" s="66"/>
      <c r="AP140" s="68">
        <f t="shared" si="2"/>
        <v>834.10356086956529</v>
      </c>
      <c r="AQ140" s="69"/>
      <c r="AR140" s="22"/>
      <c r="AS140" s="70">
        <f>'Daily Halba'!$U140-'Daily Halba'!$AP140</f>
        <v>3248.3712183946486</v>
      </c>
      <c r="AT140" s="5"/>
      <c r="AU140" s="5"/>
      <c r="AV140" s="5"/>
    </row>
    <row r="141" spans="1:48" ht="12.75" customHeight="1" x14ac:dyDescent="0.3">
      <c r="A141" s="49">
        <v>46070</v>
      </c>
      <c r="B141" s="77" t="s">
        <v>24</v>
      </c>
      <c r="C141" s="51">
        <f>'ODOMETERS Halba'!J137</f>
        <v>768</v>
      </c>
      <c r="D141" s="178">
        <v>0.79379999999999995</v>
      </c>
      <c r="E141" s="53">
        <f>'Daily Halba'!$C141*'Daily Halba'!$D141</f>
        <v>609.63839999999993</v>
      </c>
      <c r="F141" s="54">
        <f>'ODOMETERS Halba'!K137</f>
        <v>470</v>
      </c>
      <c r="G141" s="178">
        <v>0.79379999999999995</v>
      </c>
      <c r="H141" s="53">
        <f>'Daily Halba'!$F141*'Daily Halba'!$G141</f>
        <v>373.08599999999996</v>
      </c>
      <c r="I141" s="54">
        <f>'Daily Halba'!$C141+'Daily Halba'!$F141</f>
        <v>1238</v>
      </c>
      <c r="J141" s="55">
        <f>'Daily Halba'!$I141*'Daily Halba'!$G141</f>
        <v>982.72439999999995</v>
      </c>
      <c r="K141" s="56">
        <f>'ODOMETERS Halba'!L137</f>
        <v>79</v>
      </c>
      <c r="L141" s="57">
        <v>0.75470000000000004</v>
      </c>
      <c r="M141" s="58">
        <f>'Daily Halba'!$K141*'Daily Halba'!$L141</f>
        <v>59.621300000000005</v>
      </c>
      <c r="N141" s="71">
        <f>600/89.7</f>
        <v>6.6889632107023411</v>
      </c>
      <c r="O141" s="71"/>
      <c r="P141" s="71"/>
      <c r="Q141" s="71"/>
      <c r="R141" s="71"/>
      <c r="S141" s="71"/>
      <c r="T141" s="71">
        <v>1</v>
      </c>
      <c r="U141" s="61">
        <f>SUM('Daily Halba'!$E141,'Daily Halba'!$H141,$M141:$T141)</f>
        <v>1050.0346632107021</v>
      </c>
      <c r="V141" s="22"/>
      <c r="W141" s="62">
        <f>10+40</f>
        <v>50</v>
      </c>
      <c r="X141" s="62"/>
      <c r="Y141" s="62">
        <f>10*0.7938</f>
        <v>7.9379999999999997</v>
      </c>
      <c r="Z141" s="62"/>
      <c r="AA141" s="63"/>
      <c r="AB141" s="64"/>
      <c r="AC141" s="64"/>
      <c r="AD141" s="64"/>
      <c r="AE141" s="65">
        <f t="shared" si="0"/>
        <v>0</v>
      </c>
      <c r="AF141" s="66"/>
      <c r="AG141" s="66"/>
      <c r="AH141" s="66"/>
      <c r="AI141" s="66"/>
      <c r="AJ141" s="66"/>
      <c r="AK141" s="66"/>
      <c r="AL141" s="66"/>
      <c r="AM141" s="66"/>
      <c r="AN141" s="67">
        <f t="shared" si="1"/>
        <v>0</v>
      </c>
      <c r="AO141" s="66"/>
      <c r="AP141" s="68">
        <f t="shared" si="2"/>
        <v>57.938000000000002</v>
      </c>
      <c r="AQ141" s="69"/>
      <c r="AR141" s="22"/>
      <c r="AS141" s="70">
        <f>'Daily Halba'!$U141-'Daily Halba'!$AP141</f>
        <v>992.0966632107021</v>
      </c>
      <c r="AT141" s="5"/>
      <c r="AU141" s="5"/>
      <c r="AV141" s="5"/>
    </row>
    <row r="142" spans="1:48" ht="12.75" customHeight="1" x14ac:dyDescent="0.3">
      <c r="A142" s="49">
        <v>46070</v>
      </c>
      <c r="B142" s="77" t="s">
        <v>25</v>
      </c>
      <c r="C142" s="51">
        <f>'ODOMETERS Halba'!J138</f>
        <v>1285</v>
      </c>
      <c r="D142" s="52">
        <v>0.995</v>
      </c>
      <c r="E142" s="53">
        <f>'Daily Halba'!$C142*'Daily Halba'!$D142</f>
        <v>1278.575</v>
      </c>
      <c r="F142" s="54">
        <f>'ODOMETERS Halba'!K138</f>
        <v>945</v>
      </c>
      <c r="G142" s="52">
        <v>0.995</v>
      </c>
      <c r="H142" s="53">
        <f>'Daily Halba'!$F142*'Daily Halba'!$G142</f>
        <v>940.27499999999998</v>
      </c>
      <c r="I142" s="54">
        <f>'Daily Halba'!$C142+'Daily Halba'!$F142</f>
        <v>2230</v>
      </c>
      <c r="J142" s="55">
        <f>'Daily Halba'!$I142*'Daily Halba'!$G142</f>
        <v>2218.85</v>
      </c>
      <c r="K142" s="56">
        <f>'ODOMETERS Halba'!L138</f>
        <v>283</v>
      </c>
      <c r="L142" s="57">
        <v>0.76700000000000002</v>
      </c>
      <c r="M142" s="58">
        <f>'Daily Halba'!$K142*'Daily Halba'!$L142</f>
        <v>217.06100000000001</v>
      </c>
      <c r="N142" s="71">
        <f>1200/89.7</f>
        <v>13.377926421404682</v>
      </c>
      <c r="O142" s="71">
        <f>2300/89.7</f>
        <v>25.641025641025639</v>
      </c>
      <c r="P142" s="71">
        <f>1400/89.7</f>
        <v>15.607580824972128</v>
      </c>
      <c r="Q142" s="71"/>
      <c r="R142" s="71"/>
      <c r="S142" s="71">
        <v>35</v>
      </c>
      <c r="T142" s="71">
        <f>190/89.7</f>
        <v>2.1181716833890745</v>
      </c>
      <c r="U142" s="61">
        <f>SUM('Daily Halba'!$E142,'Daily Halba'!$H142,$M142:$T142)</f>
        <v>2527.6557045707914</v>
      </c>
      <c r="V142" s="22"/>
      <c r="W142" s="62">
        <f>20+20+15+1200/89.7+5+65</f>
        <v>138.37792642140468</v>
      </c>
      <c r="X142" s="62"/>
      <c r="Y142" s="62">
        <f>20*0.995</f>
        <v>19.899999999999999</v>
      </c>
      <c r="Z142" s="62">
        <v>-20</v>
      </c>
      <c r="AA142" s="63"/>
      <c r="AB142" s="64"/>
      <c r="AC142" s="64"/>
      <c r="AD142" s="64"/>
      <c r="AE142" s="65">
        <f t="shared" si="0"/>
        <v>0</v>
      </c>
      <c r="AF142" s="66"/>
      <c r="AG142" s="66"/>
      <c r="AH142" s="66"/>
      <c r="AI142" s="66"/>
      <c r="AJ142" s="66"/>
      <c r="AK142" s="66"/>
      <c r="AL142" s="66"/>
      <c r="AM142" s="66"/>
      <c r="AN142" s="67">
        <f t="shared" si="1"/>
        <v>0</v>
      </c>
      <c r="AO142" s="66"/>
      <c r="AP142" s="68">
        <f t="shared" si="2"/>
        <v>138.27792642140469</v>
      </c>
      <c r="AQ142" s="69"/>
      <c r="AR142" s="22"/>
      <c r="AS142" s="70">
        <f>'Daily Halba'!$U142-'Daily Halba'!$AP142</f>
        <v>2389.3777781493868</v>
      </c>
      <c r="AT142" s="5"/>
      <c r="AU142" s="5"/>
      <c r="AV142" s="5"/>
    </row>
    <row r="143" spans="1:48" ht="12.75" customHeight="1" x14ac:dyDescent="0.3">
      <c r="A143" s="49">
        <v>46071</v>
      </c>
      <c r="B143" s="77"/>
      <c r="C143" s="51">
        <f>'ODOMETERS Halba'!J139</f>
        <v>1797</v>
      </c>
      <c r="D143" s="52">
        <v>0.995</v>
      </c>
      <c r="E143" s="53">
        <f>'Daily Halba'!$C143*'Daily Halba'!$D143</f>
        <v>1788.0150000000001</v>
      </c>
      <c r="F143" s="54">
        <f>'ODOMETERS Halba'!K139</f>
        <v>2186</v>
      </c>
      <c r="G143" s="52">
        <v>0.995</v>
      </c>
      <c r="H143" s="53">
        <f>'Daily Halba'!$F143*'Daily Halba'!$G143</f>
        <v>2175.0700000000002</v>
      </c>
      <c r="I143" s="54">
        <f>'Daily Halba'!$C143+'Daily Halba'!$F143</f>
        <v>3983</v>
      </c>
      <c r="J143" s="55">
        <f>'Daily Halba'!$I143*'Daily Halba'!$G143</f>
        <v>3963.085</v>
      </c>
      <c r="K143" s="56">
        <f>'ODOMETERS Halba'!L139</f>
        <v>733</v>
      </c>
      <c r="L143" s="57">
        <v>0.76700000000000002</v>
      </c>
      <c r="M143" s="58">
        <f>'Daily Halba'!$K143*'Daily Halba'!$L143</f>
        <v>562.21100000000001</v>
      </c>
      <c r="N143" s="71">
        <f>(300+500+400)/89.7+6+6</f>
        <v>25.37792642140468</v>
      </c>
      <c r="O143" s="71">
        <f>(200+400+400+400+200)/89.7</f>
        <v>17.837235228539576</v>
      </c>
      <c r="P143" s="71">
        <f>5*1400/89.7</f>
        <v>78.037904124860646</v>
      </c>
      <c r="Q143" s="71"/>
      <c r="R143" s="71"/>
      <c r="S143" s="71">
        <v>0</v>
      </c>
      <c r="T143" s="71">
        <v>4</v>
      </c>
      <c r="U143" s="61">
        <f>SUM('Daily Halba'!$E143,'Daily Halba'!$H143,$M143:$T143)</f>
        <v>4650.5490657748051</v>
      </c>
      <c r="V143" s="22"/>
      <c r="W143" s="62">
        <f>995+1000/89.7+62+3000/89.7+10+33+18+33+20+168*0.767</f>
        <v>1344.449088071349</v>
      </c>
      <c r="X143" s="62"/>
      <c r="Y143" s="62">
        <f>1050+17*0.995+17*0.995+8.5*0.995+40*0.995</f>
        <v>1132.0874999999999</v>
      </c>
      <c r="Z143" s="62">
        <v>-1</v>
      </c>
      <c r="AA143" s="63"/>
      <c r="AB143" s="64"/>
      <c r="AC143" s="64"/>
      <c r="AD143" s="64"/>
      <c r="AE143" s="65">
        <f t="shared" si="0"/>
        <v>0</v>
      </c>
      <c r="AF143" s="66"/>
      <c r="AG143" s="66"/>
      <c r="AH143" s="66"/>
      <c r="AI143" s="66">
        <v>5</v>
      </c>
      <c r="AJ143" s="66"/>
      <c r="AK143" s="66"/>
      <c r="AL143" s="66"/>
      <c r="AM143" s="66"/>
      <c r="AN143" s="67">
        <f t="shared" si="1"/>
        <v>5</v>
      </c>
      <c r="AO143" s="66"/>
      <c r="AP143" s="68">
        <f t="shared" si="2"/>
        <v>2480.5365880713489</v>
      </c>
      <c r="AQ143" s="69"/>
      <c r="AR143" s="22"/>
      <c r="AS143" s="70">
        <f>'Daily Halba'!$U143-'Daily Halba'!$AP143</f>
        <v>2170.0124777034562</v>
      </c>
      <c r="AT143" s="5"/>
      <c r="AU143" s="5"/>
      <c r="AV143" s="5"/>
    </row>
    <row r="144" spans="1:48" ht="12.75" customHeight="1" x14ac:dyDescent="0.3">
      <c r="A144" s="49">
        <v>46072</v>
      </c>
      <c r="B144" s="77"/>
      <c r="C144" s="51">
        <f>'ODOMETERS Halba'!J140</f>
        <v>1692</v>
      </c>
      <c r="D144" s="52">
        <v>0.995</v>
      </c>
      <c r="E144" s="53">
        <f>'Daily Halba'!$C144*'Daily Halba'!$D144</f>
        <v>1683.54</v>
      </c>
      <c r="F144" s="54">
        <f>'ODOMETERS Halba'!K140</f>
        <v>1475</v>
      </c>
      <c r="G144" s="52">
        <v>0.995</v>
      </c>
      <c r="H144" s="53">
        <f>'Daily Halba'!$F144*'Daily Halba'!$G144</f>
        <v>1467.625</v>
      </c>
      <c r="I144" s="54">
        <f>'Daily Halba'!$C144+'Daily Halba'!$F144</f>
        <v>3167</v>
      </c>
      <c r="J144" s="55">
        <f>'Daily Halba'!$I144*'Daily Halba'!$G144</f>
        <v>3151.165</v>
      </c>
      <c r="K144" s="56">
        <f>'ODOMETERS Halba'!L140</f>
        <v>451</v>
      </c>
      <c r="L144" s="57">
        <v>0.76700000000000002</v>
      </c>
      <c r="M144" s="58">
        <f>'Daily Halba'!$K144*'Daily Halba'!$L144</f>
        <v>345.91700000000003</v>
      </c>
      <c r="N144" s="71">
        <f>6.5+300/89.7+250/89.7+250/89.7</f>
        <v>15.418617614269788</v>
      </c>
      <c r="O144" s="71">
        <f>800/89.7</f>
        <v>8.9186176142697882</v>
      </c>
      <c r="P144" s="71">
        <f>4200/89.7</f>
        <v>46.822742474916389</v>
      </c>
      <c r="Q144" s="71"/>
      <c r="R144" s="71"/>
      <c r="S144" s="71">
        <f>19+20+25+25</f>
        <v>89</v>
      </c>
      <c r="T144" s="71">
        <f>2+3+2</f>
        <v>7</v>
      </c>
      <c r="U144" s="61">
        <f>SUM('Daily Halba'!$E144,'Daily Halba'!$H144,$M144:$T144)</f>
        <v>3664.2419777034561</v>
      </c>
      <c r="V144" s="22"/>
      <c r="W144" s="62">
        <f>700/89.7+25+42+50+32+78+5+110*0.767</f>
        <v>324.17379041248608</v>
      </c>
      <c r="X144" s="62"/>
      <c r="Y144" s="62">
        <f>(17+26+30+20+30+30)*0.995</f>
        <v>152.23499999999999</v>
      </c>
      <c r="Z144" s="62"/>
      <c r="AA144" s="63"/>
      <c r="AB144" s="64"/>
      <c r="AC144" s="64">
        <v>141</v>
      </c>
      <c r="AD144" s="64"/>
      <c r="AE144" s="65">
        <f t="shared" si="0"/>
        <v>141</v>
      </c>
      <c r="AF144" s="66"/>
      <c r="AG144" s="66"/>
      <c r="AH144" s="66"/>
      <c r="AI144" s="66"/>
      <c r="AJ144" s="66"/>
      <c r="AK144" s="66"/>
      <c r="AL144" s="66"/>
      <c r="AM144" s="66"/>
      <c r="AN144" s="67">
        <f t="shared" si="1"/>
        <v>0</v>
      </c>
      <c r="AO144" s="66"/>
      <c r="AP144" s="68">
        <f t="shared" si="2"/>
        <v>617.40879041248604</v>
      </c>
      <c r="AQ144" s="69"/>
      <c r="AR144" s="22"/>
      <c r="AS144" s="70">
        <f>'Daily Halba'!$U144-'Daily Halba'!$AP144</f>
        <v>3046.8331872909703</v>
      </c>
      <c r="AT144" s="5"/>
      <c r="AU144" s="5"/>
      <c r="AV144" s="19"/>
    </row>
    <row r="145" spans="1:49" ht="12.75" customHeight="1" x14ac:dyDescent="0.3">
      <c r="A145" s="49">
        <v>46073</v>
      </c>
      <c r="B145" s="77" t="s">
        <v>24</v>
      </c>
      <c r="C145" s="51">
        <f>'ODOMETERS Halba'!J141</f>
        <v>701</v>
      </c>
      <c r="D145" s="52">
        <v>0.995</v>
      </c>
      <c r="E145" s="53">
        <f>'Daily Halba'!$C145*'Daily Halba'!$D145</f>
        <v>697.495</v>
      </c>
      <c r="F145" s="54">
        <f>'ODOMETERS Halba'!K141</f>
        <v>471</v>
      </c>
      <c r="G145" s="52">
        <v>0.995</v>
      </c>
      <c r="H145" s="53">
        <f>'Daily Halba'!$F145*'Daily Halba'!$G145</f>
        <v>468.64499999999998</v>
      </c>
      <c r="I145" s="54">
        <f>'Daily Halba'!$C145+'Daily Halba'!$F145</f>
        <v>1172</v>
      </c>
      <c r="J145" s="55">
        <f>'Daily Halba'!$I145*'Daily Halba'!$G145</f>
        <v>1166.1400000000001</v>
      </c>
      <c r="K145" s="56">
        <f>'ODOMETERS Halba'!L141</f>
        <v>92</v>
      </c>
      <c r="L145" s="57">
        <v>0.76700000000000002</v>
      </c>
      <c r="M145" s="58">
        <f>'Daily Halba'!$K145*'Daily Halba'!$L145</f>
        <v>70.564000000000007</v>
      </c>
      <c r="N145" s="71">
        <v>6</v>
      </c>
      <c r="O145" s="71"/>
      <c r="P145" s="71">
        <f>4200/89.7</f>
        <v>46.822742474916389</v>
      </c>
      <c r="Q145" s="71"/>
      <c r="R145" s="71"/>
      <c r="S145" s="71"/>
      <c r="T145" s="71">
        <v>2</v>
      </c>
      <c r="U145" s="61">
        <f>SUM('Daily Halba'!$E145,'Daily Halba'!$H145,$M145:$T145)</f>
        <v>1291.5267424749163</v>
      </c>
      <c r="V145" s="22"/>
      <c r="W145" s="62">
        <f>10+10+700/89.7</f>
        <v>27.803790412486066</v>
      </c>
      <c r="X145" s="62"/>
      <c r="Y145" s="62">
        <f>20*0.995</f>
        <v>19.899999999999999</v>
      </c>
      <c r="Z145" s="62"/>
      <c r="AA145" s="63"/>
      <c r="AB145" s="64"/>
      <c r="AC145" s="64"/>
      <c r="AD145" s="64"/>
      <c r="AE145" s="65">
        <f t="shared" si="0"/>
        <v>0</v>
      </c>
      <c r="AF145" s="66"/>
      <c r="AG145" s="66"/>
      <c r="AH145" s="66"/>
      <c r="AI145" s="66"/>
      <c r="AJ145" s="66"/>
      <c r="AK145" s="66"/>
      <c r="AL145" s="66"/>
      <c r="AM145" s="66"/>
      <c r="AN145" s="67">
        <f t="shared" si="1"/>
        <v>0</v>
      </c>
      <c r="AO145" s="66"/>
      <c r="AP145" s="68">
        <f t="shared" si="2"/>
        <v>47.703790412486065</v>
      </c>
      <c r="AQ145" s="69"/>
      <c r="AR145" s="22"/>
      <c r="AS145" s="70">
        <f>'Daily Halba'!$U145-'Daily Halba'!$AP145</f>
        <v>1243.8229520624302</v>
      </c>
      <c r="AT145" s="5"/>
      <c r="AU145" s="5"/>
      <c r="AV145" s="5"/>
    </row>
    <row r="146" spans="1:49" ht="12.75" customHeight="1" x14ac:dyDescent="0.3">
      <c r="A146" s="49">
        <v>46073</v>
      </c>
      <c r="B146" s="77" t="s">
        <v>25</v>
      </c>
      <c r="C146" s="51">
        <f>'ODOMETERS Halba'!J142</f>
        <v>878</v>
      </c>
      <c r="D146" s="52">
        <v>0.99939999999999996</v>
      </c>
      <c r="E146" s="53">
        <f>'Daily Halba'!$C146*'Daily Halba'!$D146</f>
        <v>877.47319999999991</v>
      </c>
      <c r="F146" s="54">
        <f>'ODOMETERS Halba'!K142</f>
        <v>901</v>
      </c>
      <c r="G146" s="52">
        <v>0.99939999999999996</v>
      </c>
      <c r="H146" s="53">
        <f>'Daily Halba'!$F146*'Daily Halba'!$G146</f>
        <v>900.45939999999996</v>
      </c>
      <c r="I146" s="54">
        <f>'Daily Halba'!$C146+'Daily Halba'!$F146</f>
        <v>1779</v>
      </c>
      <c r="J146" s="55">
        <f>'Daily Halba'!$I146*'Daily Halba'!$G146</f>
        <v>1777.9325999999999</v>
      </c>
      <c r="K146" s="56">
        <f>'ODOMETERS Halba'!L142</f>
        <v>217</v>
      </c>
      <c r="L146" s="57">
        <v>0.76919999999999999</v>
      </c>
      <c r="M146" s="58">
        <f>'Daily Halba'!$K146*'Daily Halba'!$L146</f>
        <v>166.91640000000001</v>
      </c>
      <c r="N146" s="71">
        <f>6+850/89.7+70</f>
        <v>85.476031215161655</v>
      </c>
      <c r="O146" s="71">
        <f>(400+400+400+400+400+200+300+200+400)/89.7</f>
        <v>34.559643255295427</v>
      </c>
      <c r="P146" s="71">
        <f>2800/89.7</f>
        <v>31.215161649944257</v>
      </c>
      <c r="Q146" s="71"/>
      <c r="R146" s="71"/>
      <c r="S146" s="71"/>
      <c r="T146" s="71"/>
      <c r="U146" s="61">
        <f>SUM('Daily Halba'!$E146,'Daily Halba'!$H146,$M146:$T146)</f>
        <v>2096.0998361204011</v>
      </c>
      <c r="V146" s="22"/>
      <c r="W146" s="62">
        <f>29+10+20+15+300/89.7</f>
        <v>77.344481605351177</v>
      </c>
      <c r="X146" s="62"/>
      <c r="Y146" s="62">
        <f>128*3+3200/89.7</f>
        <v>419.67447045707917</v>
      </c>
      <c r="Z146" s="62">
        <v>18</v>
      </c>
      <c r="AA146" s="63"/>
      <c r="AB146" s="64"/>
      <c r="AC146" s="64"/>
      <c r="AD146" s="64"/>
      <c r="AE146" s="65">
        <f t="shared" si="0"/>
        <v>0</v>
      </c>
      <c r="AF146" s="66"/>
      <c r="AG146" s="66"/>
      <c r="AH146" s="66"/>
      <c r="AI146" s="66"/>
      <c r="AJ146" s="66"/>
      <c r="AK146" s="66"/>
      <c r="AL146" s="66"/>
      <c r="AM146" s="66"/>
      <c r="AN146" s="67">
        <f t="shared" si="1"/>
        <v>0</v>
      </c>
      <c r="AO146" s="66"/>
      <c r="AP146" s="68">
        <f t="shared" si="2"/>
        <v>515.01895206243034</v>
      </c>
      <c r="AQ146" s="69"/>
      <c r="AR146" s="22"/>
      <c r="AS146" s="70">
        <f>'Daily Halba'!$U146-'Daily Halba'!$AP146</f>
        <v>1581.0808840579707</v>
      </c>
      <c r="AT146" s="5"/>
      <c r="AU146" s="5"/>
      <c r="AV146" s="5"/>
    </row>
    <row r="147" spans="1:49" ht="12.75" customHeight="1" x14ac:dyDescent="0.3">
      <c r="A147" s="49">
        <v>46074</v>
      </c>
      <c r="B147" s="77"/>
      <c r="C147" s="51">
        <f>'ODOMETERS Halba'!J143</f>
        <v>1846</v>
      </c>
      <c r="D147" s="52">
        <v>0.99939999999999996</v>
      </c>
      <c r="E147" s="53">
        <f>'Daily Halba'!$C147*'Daily Halba'!$D147</f>
        <v>1844.8924</v>
      </c>
      <c r="F147" s="54">
        <f>'ODOMETERS Halba'!K143</f>
        <v>1651</v>
      </c>
      <c r="G147" s="52">
        <v>0.99939999999999996</v>
      </c>
      <c r="H147" s="53">
        <f>'Daily Halba'!$F147*'Daily Halba'!$G147</f>
        <v>1650.0093999999999</v>
      </c>
      <c r="I147" s="54">
        <f>'Daily Halba'!$C147+'Daily Halba'!$F147</f>
        <v>3497</v>
      </c>
      <c r="J147" s="55">
        <f>'Daily Halba'!$I147*'Daily Halba'!$G147</f>
        <v>3494.9017999999996</v>
      </c>
      <c r="K147" s="56">
        <f>'ODOMETERS Halba'!L143</f>
        <v>539</v>
      </c>
      <c r="L147" s="57">
        <v>0.76919999999999999</v>
      </c>
      <c r="M147" s="58">
        <f>'Daily Halba'!$K147*'Daily Halba'!$L147</f>
        <v>414.59879999999998</v>
      </c>
      <c r="N147" s="71">
        <f>8+250/89.7</f>
        <v>10.787068004459309</v>
      </c>
      <c r="O147" s="71">
        <f>5+400/89.7+5+400/89.7+400/89.7+5</f>
        <v>28.37792642140468</v>
      </c>
      <c r="P147" s="71">
        <f>1400/89.7</f>
        <v>15.607580824972128</v>
      </c>
      <c r="Q147" s="71"/>
      <c r="R147" s="71"/>
      <c r="S147" s="71">
        <f>230+1100/89.7</f>
        <v>242.26309921962095</v>
      </c>
      <c r="T147" s="71">
        <v>20</v>
      </c>
      <c r="U147" s="61">
        <f>SUM('Daily Halba'!$E147,'Daily Halba'!$H147,$M147:$T147)</f>
        <v>4226.5362744704562</v>
      </c>
      <c r="V147" s="22"/>
      <c r="W147" s="62">
        <f>300/89.7+500/89.7+7100/89.7+30+40+30+10+1000/89.7</f>
        <v>209.21962095875139</v>
      </c>
      <c r="X147" s="62"/>
      <c r="Y147" s="62">
        <f>(17+17.5)*0.9994+300*0.7692+128+200*0.7692</f>
        <v>547.07929999999999</v>
      </c>
      <c r="Z147" s="62">
        <v>-26</v>
      </c>
      <c r="AA147" s="63"/>
      <c r="AB147" s="64"/>
      <c r="AC147" s="64">
        <v>70.5</v>
      </c>
      <c r="AD147" s="64"/>
      <c r="AE147" s="65">
        <f t="shared" si="0"/>
        <v>70.5</v>
      </c>
      <c r="AF147" s="66"/>
      <c r="AG147" s="66">
        <v>40</v>
      </c>
      <c r="AH147" s="66"/>
      <c r="AI147" s="66">
        <f>20+3+35</f>
        <v>58</v>
      </c>
      <c r="AJ147" s="66"/>
      <c r="AK147" s="66"/>
      <c r="AL147" s="66"/>
      <c r="AM147" s="66"/>
      <c r="AN147" s="67">
        <f t="shared" si="1"/>
        <v>98</v>
      </c>
      <c r="AO147" s="66"/>
      <c r="AP147" s="68">
        <f t="shared" si="2"/>
        <v>898.79892095875141</v>
      </c>
      <c r="AQ147" s="69"/>
      <c r="AR147" s="22"/>
      <c r="AS147" s="70">
        <f>'Daily Halba'!$U147-'Daily Halba'!$AP147</f>
        <v>3327.7373535117049</v>
      </c>
      <c r="AT147" s="5"/>
      <c r="AU147" s="5"/>
      <c r="AV147" s="5"/>
    </row>
    <row r="148" spans="1:49" ht="12.75" customHeight="1" x14ac:dyDescent="0.3">
      <c r="A148" s="49">
        <v>46075</v>
      </c>
      <c r="B148" s="77"/>
      <c r="C148" s="51">
        <f>'ODOMETERS Halba'!J144</f>
        <v>2377</v>
      </c>
      <c r="D148" s="52">
        <v>0.99939999999999996</v>
      </c>
      <c r="E148" s="53">
        <f>'Daily Halba'!$C148*'Daily Halba'!$D148</f>
        <v>2375.5738000000001</v>
      </c>
      <c r="F148" s="54">
        <f>'ODOMETERS Halba'!K144</f>
        <v>1693</v>
      </c>
      <c r="G148" s="52">
        <v>0.99939999999999996</v>
      </c>
      <c r="H148" s="53">
        <f>'Daily Halba'!$F148*'Daily Halba'!$G148</f>
        <v>1691.9841999999999</v>
      </c>
      <c r="I148" s="54">
        <f>'Daily Halba'!$C148+'Daily Halba'!$F148</f>
        <v>4070</v>
      </c>
      <c r="J148" s="55">
        <f>'Daily Halba'!$I148*'Daily Halba'!$G148</f>
        <v>4067.558</v>
      </c>
      <c r="K148" s="56">
        <f>'ODOMETERS Halba'!L144</f>
        <v>5806</v>
      </c>
      <c r="L148" s="57">
        <v>0.76919999999999999</v>
      </c>
      <c r="M148" s="58">
        <f>'Daily Halba'!$K148*'Daily Halba'!$L148</f>
        <v>4465.9751999999999</v>
      </c>
      <c r="N148" s="71">
        <f>300/89.7+750/89.7+6.5</f>
        <v>18.205685618729095</v>
      </c>
      <c r="O148" s="71">
        <f>600/89.7+5+400/89.7+5+200/89.7+5+200/89.7</f>
        <v>30.607580824972132</v>
      </c>
      <c r="P148" s="71">
        <f>1400*3/89.7</f>
        <v>46.822742474916389</v>
      </c>
      <c r="Q148" s="71"/>
      <c r="R148" s="71"/>
      <c r="S148" s="71">
        <v>616</v>
      </c>
      <c r="T148" s="71">
        <f>1+5</f>
        <v>6</v>
      </c>
      <c r="U148" s="61">
        <f>SUM('Daily Halba'!$E148,'Daily Halba'!$H148,$M148:$T148)</f>
        <v>9251.1692089186163</v>
      </c>
      <c r="V148" s="22"/>
      <c r="W148" s="62">
        <f>30+20+400*0.7692+40+1400*0.7692+20+39+100/89.7+3100*0.7692+600*0.7692</f>
        <v>4380.7148272017839</v>
      </c>
      <c r="X148" s="62">
        <f>700*0.9994</f>
        <v>699.57999999999993</v>
      </c>
      <c r="Y148" s="62">
        <f>50*0.9994+10*0.9994</f>
        <v>59.963999999999999</v>
      </c>
      <c r="Z148" s="62"/>
      <c r="AA148" s="63"/>
      <c r="AB148" s="64"/>
      <c r="AC148" s="64"/>
      <c r="AD148" s="64"/>
      <c r="AE148" s="65">
        <f t="shared" si="0"/>
        <v>0</v>
      </c>
      <c r="AF148" s="66"/>
      <c r="AG148" s="66"/>
      <c r="AH148" s="66"/>
      <c r="AI148" s="66"/>
      <c r="AJ148" s="66"/>
      <c r="AK148" s="66"/>
      <c r="AL148" s="66"/>
      <c r="AM148" s="66"/>
      <c r="AN148" s="67">
        <f t="shared" si="1"/>
        <v>0</v>
      </c>
      <c r="AO148" s="66"/>
      <c r="AP148" s="68">
        <f t="shared" si="2"/>
        <v>5140.2588272017838</v>
      </c>
      <c r="AQ148" s="69"/>
      <c r="AR148" s="22"/>
      <c r="AS148" s="70">
        <f>'Daily Halba'!$U148-'Daily Halba'!$AP148</f>
        <v>4110.9103817168325</v>
      </c>
      <c r="AT148" s="5"/>
      <c r="AU148" s="5"/>
      <c r="AV148" s="19"/>
    </row>
    <row r="149" spans="1:49" ht="12.75" customHeight="1" x14ac:dyDescent="0.3">
      <c r="A149" s="49">
        <v>46076</v>
      </c>
      <c r="B149" s="77"/>
      <c r="C149" s="51">
        <f>'ODOMETERS Halba'!J145</f>
        <v>2192</v>
      </c>
      <c r="D149" s="52">
        <v>0.99939999999999996</v>
      </c>
      <c r="E149" s="53">
        <f>'Daily Halba'!$C149*'Daily Halba'!$D149</f>
        <v>2190.6848</v>
      </c>
      <c r="F149" s="54">
        <f>'ODOMETERS Halba'!K145</f>
        <v>1487</v>
      </c>
      <c r="G149" s="52">
        <v>0.99939999999999996</v>
      </c>
      <c r="H149" s="53">
        <f>'Daily Halba'!$F149*'Daily Halba'!$G149</f>
        <v>1486.1078</v>
      </c>
      <c r="I149" s="54">
        <f>'Daily Halba'!$C149+'Daily Halba'!$F149</f>
        <v>3679</v>
      </c>
      <c r="J149" s="55">
        <f>'Daily Halba'!$I149*'Daily Halba'!$G149</f>
        <v>3676.7925999999998</v>
      </c>
      <c r="K149" s="56">
        <f>'ODOMETERS Halba'!L145</f>
        <v>571</v>
      </c>
      <c r="L149" s="57">
        <v>0.76919999999999999</v>
      </c>
      <c r="M149" s="58">
        <f>'Daily Halba'!$K149*'Daily Halba'!$L149</f>
        <v>439.21319999999997</v>
      </c>
      <c r="N149" s="71">
        <f>550/89.7</f>
        <v>6.1315496098104791</v>
      </c>
      <c r="O149" s="71">
        <f>600/89.7</f>
        <v>6.6889632107023411</v>
      </c>
      <c r="P149" s="71">
        <f>2800/89.7</f>
        <v>31.215161649944257</v>
      </c>
      <c r="Q149" s="71"/>
      <c r="R149" s="71"/>
      <c r="S149" s="71">
        <f>45+3220</f>
        <v>3265</v>
      </c>
      <c r="T149" s="71">
        <f>2+2+2+2</f>
        <v>8</v>
      </c>
      <c r="U149" s="61">
        <f>SUM('Daily Halba'!$E149,'Daily Halba'!$H149,$M149:$T149)</f>
        <v>7433.0414744704567</v>
      </c>
      <c r="V149" s="22"/>
      <c r="W149" s="62">
        <f>20+20+5+20+25+500/89.7+700/89.7+120*0.7692+10+25+18</f>
        <v>248.68192642140468</v>
      </c>
      <c r="X149" s="62"/>
      <c r="Y149" s="62">
        <f>128+(20+20+17.5+20+20+27+27)*0.9994+10*0.7692</f>
        <v>287.10109999999997</v>
      </c>
      <c r="Z149" s="62"/>
      <c r="AA149" s="63"/>
      <c r="AB149" s="64"/>
      <c r="AC149" s="64"/>
      <c r="AD149" s="64"/>
      <c r="AE149" s="65">
        <f t="shared" si="0"/>
        <v>0</v>
      </c>
      <c r="AF149" s="66"/>
      <c r="AG149" s="66">
        <v>100</v>
      </c>
      <c r="AH149" s="66"/>
      <c r="AI149" s="66">
        <v>5</v>
      </c>
      <c r="AJ149" s="66"/>
      <c r="AK149" s="66">
        <f>300/89.7+20</f>
        <v>23.34448160535117</v>
      </c>
      <c r="AL149" s="66"/>
      <c r="AM149" s="66"/>
      <c r="AN149" s="67">
        <f t="shared" si="1"/>
        <v>128.34448160535118</v>
      </c>
      <c r="AO149" s="66"/>
      <c r="AP149" s="68">
        <f t="shared" si="2"/>
        <v>664.12750802675578</v>
      </c>
      <c r="AQ149" s="69"/>
      <c r="AR149" s="22"/>
      <c r="AS149" s="70">
        <f>'Daily Halba'!$U149-'Daily Halba'!$AP149</f>
        <v>6768.9139664437007</v>
      </c>
      <c r="AT149" s="5"/>
      <c r="AU149" s="19"/>
      <c r="AV149" s="5"/>
      <c r="AW149" s="237"/>
    </row>
    <row r="150" spans="1:49" ht="12.75" customHeight="1" x14ac:dyDescent="0.3">
      <c r="A150" s="49">
        <v>46077</v>
      </c>
      <c r="B150" s="77" t="s">
        <v>24</v>
      </c>
      <c r="C150" s="51">
        <f>'ODOMETERS Halba'!J146</f>
        <v>808</v>
      </c>
      <c r="D150" s="52">
        <v>0.99939999999999996</v>
      </c>
      <c r="E150" s="53">
        <f>'Daily Halba'!$C150*'Daily Halba'!$D150</f>
        <v>807.51519999999994</v>
      </c>
      <c r="F150" s="54">
        <f>'ODOMETERS Halba'!K146</f>
        <v>501</v>
      </c>
      <c r="G150" s="52">
        <v>0.99939999999999996</v>
      </c>
      <c r="H150" s="53">
        <f>'Daily Halba'!$F150*'Daily Halba'!$G150</f>
        <v>500.69939999999997</v>
      </c>
      <c r="I150" s="54">
        <f>'Daily Halba'!$C150+'Daily Halba'!$F150</f>
        <v>1309</v>
      </c>
      <c r="J150" s="55">
        <f>'Daily Halba'!$I150*'Daily Halba'!$G150</f>
        <v>1308.2146</v>
      </c>
      <c r="K150" s="56">
        <f>'ODOMETERS Halba'!L146</f>
        <v>149</v>
      </c>
      <c r="L150" s="57">
        <v>0.76919999999999999</v>
      </c>
      <c r="M150" s="58">
        <f>'Daily Halba'!$K150*'Daily Halba'!$L150</f>
        <v>114.6108</v>
      </c>
      <c r="N150" s="71">
        <f>550/89.7</f>
        <v>6.1315496098104791</v>
      </c>
      <c r="O150" s="71"/>
      <c r="P150" s="71">
        <f>2800/89.7</f>
        <v>31.215161649944257</v>
      </c>
      <c r="Q150" s="71"/>
      <c r="R150" s="71"/>
      <c r="S150" s="71">
        <v>19</v>
      </c>
      <c r="T150" s="71"/>
      <c r="U150" s="61">
        <f>SUM('Daily Halba'!$E150,'Daily Halba'!$H150,$M150:$T150)</f>
        <v>1479.1721112597545</v>
      </c>
      <c r="V150" s="22"/>
      <c r="W150" s="62">
        <f>15+10+2500/89.7</f>
        <v>52.870680044593087</v>
      </c>
      <c r="X150" s="62"/>
      <c r="Y150" s="62"/>
      <c r="Z150" s="62"/>
      <c r="AA150" s="63"/>
      <c r="AB150" s="64"/>
      <c r="AC150" s="64"/>
      <c r="AD150" s="64"/>
      <c r="AE150" s="65">
        <f t="shared" si="0"/>
        <v>0</v>
      </c>
      <c r="AF150" s="66"/>
      <c r="AG150" s="66"/>
      <c r="AH150" s="66"/>
      <c r="AI150" s="66"/>
      <c r="AJ150" s="66"/>
      <c r="AK150" s="66"/>
      <c r="AL150" s="66"/>
      <c r="AM150" s="66"/>
      <c r="AN150" s="67">
        <f t="shared" si="1"/>
        <v>0</v>
      </c>
      <c r="AO150" s="66"/>
      <c r="AP150" s="68">
        <f t="shared" si="2"/>
        <v>52.870680044593087</v>
      </c>
      <c r="AQ150" s="69"/>
      <c r="AR150" s="22"/>
      <c r="AS150" s="70">
        <f>'Daily Halba'!$U150-'Daily Halba'!$AP150</f>
        <v>1426.3014312151613</v>
      </c>
      <c r="AT150" s="5"/>
      <c r="AU150" s="5"/>
      <c r="AV150" s="5"/>
    </row>
    <row r="151" spans="1:49" ht="12.75" customHeight="1" x14ac:dyDescent="0.3">
      <c r="A151" s="49">
        <v>46077</v>
      </c>
      <c r="B151" s="77" t="s">
        <v>25</v>
      </c>
      <c r="C151" s="51">
        <f>'ODOMETERS Halba'!J147</f>
        <v>902</v>
      </c>
      <c r="D151" s="52">
        <v>1.0027999999999999</v>
      </c>
      <c r="E151" s="53">
        <f>'Daily Halba'!$C151*'Daily Halba'!$D151</f>
        <v>904.52559999999994</v>
      </c>
      <c r="F151" s="54">
        <f>'ODOMETERS Halba'!K147</f>
        <v>871</v>
      </c>
      <c r="G151" s="52">
        <v>1.0027999999999999</v>
      </c>
      <c r="H151" s="53">
        <f>'Daily Halba'!$F151*'Daily Halba'!$G151</f>
        <v>873.4387999999999</v>
      </c>
      <c r="I151" s="54">
        <f>'Daily Halba'!$C151+'Daily Halba'!$F151</f>
        <v>1773</v>
      </c>
      <c r="J151" s="55">
        <f>'Daily Halba'!$I151*'Daily Halba'!$G151</f>
        <v>1777.9643999999998</v>
      </c>
      <c r="K151" s="56">
        <f>'ODOMETERS Halba'!L147</f>
        <v>514</v>
      </c>
      <c r="L151" s="57">
        <v>0.77029999999999998</v>
      </c>
      <c r="M151" s="58">
        <f>'Daily Halba'!$K151*'Daily Halba'!$L151</f>
        <v>395.93419999999998</v>
      </c>
      <c r="N151" s="71">
        <v>6</v>
      </c>
      <c r="O151" s="71">
        <f>500/89.7+800/89.7+5</f>
        <v>19.492753623188406</v>
      </c>
      <c r="P151" s="71">
        <f>1450/89.7</f>
        <v>16.164994425863991</v>
      </c>
      <c r="Q151" s="71"/>
      <c r="R151" s="71"/>
      <c r="S151" s="71"/>
      <c r="T151" s="71"/>
      <c r="U151" s="61">
        <f>SUM('Daily Halba'!$E151,'Daily Halba'!$H151,$M151:$T151)</f>
        <v>2215.5563480490523</v>
      </c>
      <c r="V151" s="22"/>
      <c r="W151" s="62">
        <f>174*0.7703</f>
        <v>134.03219999999999</v>
      </c>
      <c r="X151" s="62"/>
      <c r="Y151" s="62"/>
      <c r="Z151" s="62">
        <v>-10</v>
      </c>
      <c r="AA151" s="63"/>
      <c r="AB151" s="64"/>
      <c r="AC151" s="64">
        <v>114.5</v>
      </c>
      <c r="AD151" s="64"/>
      <c r="AE151" s="65">
        <f t="shared" si="0"/>
        <v>114.5</v>
      </c>
      <c r="AF151" s="66"/>
      <c r="AG151" s="66"/>
      <c r="AH151" s="66"/>
      <c r="AI151" s="66"/>
      <c r="AJ151" s="66"/>
      <c r="AK151" s="66"/>
      <c r="AL151" s="66"/>
      <c r="AM151" s="66"/>
      <c r="AN151" s="67">
        <f t="shared" si="1"/>
        <v>0</v>
      </c>
      <c r="AO151" s="66"/>
      <c r="AP151" s="68">
        <f t="shared" si="2"/>
        <v>238.53219999999999</v>
      </c>
      <c r="AQ151" s="69"/>
      <c r="AR151" s="22"/>
      <c r="AS151" s="70">
        <f>'Daily Halba'!$U151-'Daily Halba'!$AP151</f>
        <v>1977.0241480490522</v>
      </c>
      <c r="AT151" s="5"/>
      <c r="AU151" s="5"/>
      <c r="AV151" s="19"/>
      <c r="AW151" s="237"/>
    </row>
    <row r="152" spans="1:49" ht="12.75" customHeight="1" x14ac:dyDescent="0.3">
      <c r="A152" s="49">
        <v>46078</v>
      </c>
      <c r="B152" s="77"/>
      <c r="C152" s="51">
        <f>'ODOMETERS Halba'!J148</f>
        <v>1728</v>
      </c>
      <c r="D152" s="52">
        <v>1.0027999999999999</v>
      </c>
      <c r="E152" s="53">
        <f>'Daily Halba'!$C152*'Daily Halba'!$D152</f>
        <v>1732.8383999999999</v>
      </c>
      <c r="F152" s="54">
        <f>'ODOMETERS Halba'!K148</f>
        <v>1661</v>
      </c>
      <c r="G152" s="52">
        <v>1.0027999999999999</v>
      </c>
      <c r="H152" s="53">
        <f>'Daily Halba'!$F152*'Daily Halba'!$G152</f>
        <v>1665.6507999999999</v>
      </c>
      <c r="I152" s="54">
        <f>'Daily Halba'!$C152+'Daily Halba'!$F152</f>
        <v>3389</v>
      </c>
      <c r="J152" s="55">
        <f>'Daily Halba'!$I152*'Daily Halba'!$G152</f>
        <v>3398.4891999999995</v>
      </c>
      <c r="K152" s="56">
        <f>'ODOMETERS Halba'!L148</f>
        <v>685</v>
      </c>
      <c r="L152" s="57">
        <v>0.77029999999999998</v>
      </c>
      <c r="M152" s="58">
        <f>'Daily Halba'!$K152*'Daily Halba'!$L152</f>
        <v>527.65549999999996</v>
      </c>
      <c r="N152" s="71">
        <f>900/89.7</f>
        <v>10.033444816053512</v>
      </c>
      <c r="O152" s="71">
        <f>(200+500+400+300+200+400)/89.7</f>
        <v>22.296544035674469</v>
      </c>
      <c r="P152" s="71">
        <v>32</v>
      </c>
      <c r="Q152" s="71"/>
      <c r="R152" s="71"/>
      <c r="S152" s="71">
        <f>300/89.7</f>
        <v>3.3444816053511706</v>
      </c>
      <c r="T152" s="71">
        <f>2+2+2+1400/89.7</f>
        <v>21.607580824972128</v>
      </c>
      <c r="U152" s="61">
        <f>SUM('Daily Halba'!$E152,'Daily Halba'!$H152,$M152:$T152)</f>
        <v>4015.4267512820506</v>
      </c>
      <c r="V152" s="22"/>
      <c r="W152" s="62">
        <f>1000/89.7+42+30+40+10+5</f>
        <v>138.14827201783723</v>
      </c>
      <c r="X152" s="62"/>
      <c r="Y152" s="62">
        <f>40*1.0028+27*1.0028+20*1.0028+100*0.7703</f>
        <v>164.27359999999999</v>
      </c>
      <c r="Z152" s="62">
        <v>6</v>
      </c>
      <c r="AA152" s="63"/>
      <c r="AB152" s="64"/>
      <c r="AC152" s="64"/>
      <c r="AD152" s="64"/>
      <c r="AE152" s="65">
        <f t="shared" si="0"/>
        <v>0</v>
      </c>
      <c r="AF152" s="66"/>
      <c r="AG152" s="66">
        <v>10</v>
      </c>
      <c r="AH152" s="66"/>
      <c r="AI152" s="66"/>
      <c r="AJ152" s="66"/>
      <c r="AK152" s="66"/>
      <c r="AL152" s="66"/>
      <c r="AM152" s="66"/>
      <c r="AN152" s="67">
        <f t="shared" si="1"/>
        <v>10</v>
      </c>
      <c r="AO152" s="66"/>
      <c r="AP152" s="68">
        <f t="shared" si="2"/>
        <v>318.42187201783725</v>
      </c>
      <c r="AQ152" s="69"/>
      <c r="AR152" s="22"/>
      <c r="AS152" s="70">
        <f>'Daily Halba'!$U152-'Daily Halba'!$AP152</f>
        <v>3697.0048792642133</v>
      </c>
      <c r="AT152" s="5"/>
      <c r="AU152" s="5"/>
      <c r="AV152" s="5"/>
    </row>
    <row r="153" spans="1:49" ht="12.75" customHeight="1" x14ac:dyDescent="0.3">
      <c r="A153" s="49">
        <v>46079</v>
      </c>
      <c r="B153" s="77"/>
      <c r="C153" s="51">
        <f>'ODOMETERS Halba'!J149</f>
        <v>2356</v>
      </c>
      <c r="D153" s="52">
        <v>1.0027999999999999</v>
      </c>
      <c r="E153" s="53">
        <f>'Daily Halba'!$C153*'Daily Halba'!$D153</f>
        <v>2362.5967999999998</v>
      </c>
      <c r="F153" s="54">
        <f>'ODOMETERS Halba'!K149</f>
        <v>871</v>
      </c>
      <c r="G153" s="52">
        <v>1.0027999999999999</v>
      </c>
      <c r="H153" s="53">
        <f>'Daily Halba'!$F153*'Daily Halba'!$G153</f>
        <v>873.4387999999999</v>
      </c>
      <c r="I153" s="54">
        <f>'Daily Halba'!$C153+'Daily Halba'!$F153</f>
        <v>3227</v>
      </c>
      <c r="J153" s="55">
        <f>'Daily Halba'!$I153*'Daily Halba'!$G153</f>
        <v>3236.0355999999997</v>
      </c>
      <c r="K153" s="56">
        <f>'ODOMETERS Halba'!L149</f>
        <v>2078</v>
      </c>
      <c r="L153" s="57">
        <v>0.77029999999999998</v>
      </c>
      <c r="M153" s="58">
        <f>'Daily Halba'!$K153*'Daily Halba'!$L153</f>
        <v>1600.6833999999999</v>
      </c>
      <c r="N153" s="71">
        <f>800/89.7+5+300/89.7</f>
        <v>17.263099219620958</v>
      </c>
      <c r="O153" s="71"/>
      <c r="P153" s="71">
        <f>1450/89.7+(1450+4350+1450+1450+1450)/89.7</f>
        <v>129.31995540691193</v>
      </c>
      <c r="Q153" s="71"/>
      <c r="R153" s="71"/>
      <c r="S153" s="71">
        <f>10</f>
        <v>10</v>
      </c>
      <c r="T153" s="71"/>
      <c r="U153" s="61">
        <f>SUM('Daily Halba'!$E153,'Daily Halba'!$H153,$M153:$T153)</f>
        <v>4993.3020546265316</v>
      </c>
      <c r="V153" s="22"/>
      <c r="W153" s="62">
        <f>1000*0.7703+15+20+45+10+178*0.7703</f>
        <v>997.41339999999991</v>
      </c>
      <c r="X153" s="62"/>
      <c r="Y153" s="62">
        <f>27*1.0028+33+17*1.0028+230*0.7703+100*0.7703</f>
        <v>331.32219999999995</v>
      </c>
      <c r="Z153" s="62">
        <v>-4</v>
      </c>
      <c r="AA153" s="63"/>
      <c r="AB153" s="64"/>
      <c r="AC153" s="64">
        <v>57</v>
      </c>
      <c r="AD153" s="64"/>
      <c r="AE153" s="65">
        <f t="shared" si="0"/>
        <v>57</v>
      </c>
      <c r="AF153" s="66"/>
      <c r="AG153" s="66"/>
      <c r="AH153" s="66"/>
      <c r="AI153" s="66"/>
      <c r="AJ153" s="66"/>
      <c r="AK153" s="66">
        <f>300/89.7</f>
        <v>3.3444816053511706</v>
      </c>
      <c r="AL153" s="66"/>
      <c r="AM153" s="66"/>
      <c r="AN153" s="67">
        <f t="shared" si="1"/>
        <v>3.3444816053511706</v>
      </c>
      <c r="AO153" s="66"/>
      <c r="AP153" s="68">
        <f t="shared" si="2"/>
        <v>1385.0800816053511</v>
      </c>
      <c r="AQ153" s="69"/>
      <c r="AR153" s="22"/>
      <c r="AS153" s="70">
        <f>'Daily Halba'!$U153-'Daily Halba'!$AP153</f>
        <v>3608.2219730211805</v>
      </c>
      <c r="AT153" s="5"/>
      <c r="AU153" s="5"/>
      <c r="AV153" s="5"/>
    </row>
    <row r="154" spans="1:49" ht="12.75" customHeight="1" x14ac:dyDescent="0.3">
      <c r="A154" s="49">
        <v>46080</v>
      </c>
      <c r="B154" s="77" t="s">
        <v>24</v>
      </c>
      <c r="C154" s="51">
        <f>'ODOMETERS Halba'!J150</f>
        <v>987</v>
      </c>
      <c r="D154" s="52">
        <v>1.0027999999999999</v>
      </c>
      <c r="E154" s="53">
        <f>'Daily Halba'!$C154*'Daily Halba'!$D154</f>
        <v>989.76359999999988</v>
      </c>
      <c r="F154" s="54">
        <f>'ODOMETERS Halba'!K150</f>
        <v>592</v>
      </c>
      <c r="G154" s="52">
        <v>1.0027999999999999</v>
      </c>
      <c r="H154" s="53">
        <f>'Daily Halba'!$F154*'Daily Halba'!$G154</f>
        <v>593.6576</v>
      </c>
      <c r="I154" s="54">
        <f>'Daily Halba'!$C154+'Daily Halba'!$F154</f>
        <v>1579</v>
      </c>
      <c r="J154" s="55">
        <f>'Daily Halba'!$I154*'Daily Halba'!$G154</f>
        <v>1583.4211999999998</v>
      </c>
      <c r="K154" s="56">
        <f>'ODOMETERS Halba'!L150</f>
        <v>2412</v>
      </c>
      <c r="L154" s="57">
        <v>0.77029999999999998</v>
      </c>
      <c r="M154" s="58">
        <f>'Daily Halba'!$K154*'Daily Halba'!$L154</f>
        <v>1857.9636</v>
      </c>
      <c r="N154" s="71">
        <f>250/89.7</f>
        <v>2.7870680044593086</v>
      </c>
      <c r="O154" s="71"/>
      <c r="P154" s="71"/>
      <c r="Q154" s="71"/>
      <c r="R154" s="71"/>
      <c r="S154" s="71"/>
      <c r="T154" s="71">
        <f>2+3</f>
        <v>5</v>
      </c>
      <c r="U154" s="61">
        <f>SUM('Daily Halba'!$E154,'Daily Halba'!$H154,$M154:$T154)</f>
        <v>3449.1718680044592</v>
      </c>
      <c r="V154" s="22"/>
      <c r="W154" s="62">
        <f>2100*0.77703+3000/89.7+5+30</f>
        <v>1700.2078160535116</v>
      </c>
      <c r="X154" s="62"/>
      <c r="Y154" s="62">
        <f>30*1.0028+20*1.0028</f>
        <v>50.139999999999993</v>
      </c>
      <c r="Z154" s="62"/>
      <c r="AA154" s="63"/>
      <c r="AB154" s="64"/>
      <c r="AC154" s="64"/>
      <c r="AD154" s="64"/>
      <c r="AE154" s="65">
        <f t="shared" si="0"/>
        <v>0</v>
      </c>
      <c r="AF154" s="66"/>
      <c r="AG154" s="66"/>
      <c r="AH154" s="66"/>
      <c r="AI154" s="66"/>
      <c r="AJ154" s="66"/>
      <c r="AK154" s="66"/>
      <c r="AL154" s="66"/>
      <c r="AM154" s="66"/>
      <c r="AN154" s="67">
        <f t="shared" si="1"/>
        <v>0</v>
      </c>
      <c r="AO154" s="66"/>
      <c r="AP154" s="68">
        <f t="shared" si="2"/>
        <v>1750.3478160535117</v>
      </c>
      <c r="AQ154" s="69"/>
      <c r="AR154" s="22"/>
      <c r="AS154" s="70">
        <f>'Daily Halba'!$U154-'Daily Halba'!$AP154</f>
        <v>1698.8240519509475</v>
      </c>
      <c r="AT154" s="5"/>
      <c r="AU154" s="5"/>
      <c r="AV154" s="5"/>
    </row>
    <row r="155" spans="1:49" ht="12.75" customHeight="1" x14ac:dyDescent="0.3">
      <c r="A155" s="49">
        <v>46080</v>
      </c>
      <c r="B155" s="77" t="s">
        <v>25</v>
      </c>
      <c r="C155" s="51">
        <f>'ODOMETERS Halba'!J151</f>
        <v>1291</v>
      </c>
      <c r="D155" s="52">
        <v>1.0117</v>
      </c>
      <c r="E155" s="53">
        <f>'Daily Halba'!$C155*'Daily Halba'!$D155</f>
        <v>1306.1047000000001</v>
      </c>
      <c r="F155" s="54">
        <f>'ODOMETERS Halba'!K151</f>
        <v>1103</v>
      </c>
      <c r="G155" s="52">
        <v>1.0117</v>
      </c>
      <c r="H155" s="53">
        <f>'Daily Halba'!$F155*'Daily Halba'!$G155</f>
        <v>1115.9050999999999</v>
      </c>
      <c r="I155" s="54">
        <f>'Daily Halba'!$C155+'Daily Halba'!$F155</f>
        <v>2394</v>
      </c>
      <c r="J155" s="55">
        <f>'Daily Halba'!$I155*'Daily Halba'!$G155</f>
        <v>2422.0098000000003</v>
      </c>
      <c r="K155" s="56">
        <f>'ODOMETERS Halba'!L151</f>
        <v>396</v>
      </c>
      <c r="L155" s="57">
        <v>0.77929999999999999</v>
      </c>
      <c r="M155" s="58">
        <f>'Daily Halba'!$K155*'Daily Halba'!$L155</f>
        <v>308.6028</v>
      </c>
      <c r="N155" s="71">
        <f>250/89.7+13</f>
        <v>15.787068004459309</v>
      </c>
      <c r="O155" s="71">
        <f>800/89.7</f>
        <v>8.9186176142697882</v>
      </c>
      <c r="P155" s="71">
        <f>1450*4/89.7</f>
        <v>64.659977703455965</v>
      </c>
      <c r="Q155" s="71"/>
      <c r="R155" s="71"/>
      <c r="S155" s="71">
        <f>1520+2500/89.7</f>
        <v>1547.870680044593</v>
      </c>
      <c r="T155" s="71">
        <f>2</f>
        <v>2</v>
      </c>
      <c r="U155" s="61">
        <f>SUM('Daily Halba'!$E155,'Daily Halba'!$H155,$M155:$T155)</f>
        <v>4369.8489433667783</v>
      </c>
      <c r="V155" s="22"/>
      <c r="W155" s="62">
        <f>32+20+45.5+25+15+18+20</f>
        <v>175.5</v>
      </c>
      <c r="X155" s="62"/>
      <c r="Y155" s="62">
        <f>90*1.0117</f>
        <v>91.052999999999997</v>
      </c>
      <c r="Z155" s="62"/>
      <c r="AA155" s="63"/>
      <c r="AB155" s="64"/>
      <c r="AC155" s="64"/>
      <c r="AD155" s="64"/>
      <c r="AE155" s="65">
        <f t="shared" si="0"/>
        <v>0</v>
      </c>
      <c r="AF155" s="66"/>
      <c r="AG155" s="66">
        <v>500</v>
      </c>
      <c r="AH155" s="66"/>
      <c r="AI155" s="66"/>
      <c r="AJ155" s="66"/>
      <c r="AK155" s="66">
        <f>600/89.7</f>
        <v>6.6889632107023411</v>
      </c>
      <c r="AL155" s="66"/>
      <c r="AM155" s="66"/>
      <c r="AN155" s="67">
        <f t="shared" si="1"/>
        <v>506.68896321070235</v>
      </c>
      <c r="AO155" s="66"/>
      <c r="AP155" s="68">
        <f t="shared" si="2"/>
        <v>773.24196321070235</v>
      </c>
      <c r="AQ155" s="69"/>
      <c r="AR155" s="22"/>
      <c r="AS155" s="70">
        <f>'Daily Halba'!$U155-'Daily Halba'!$AP155</f>
        <v>3596.6069801560761</v>
      </c>
      <c r="AT155" s="5"/>
      <c r="AU155" s="5"/>
      <c r="AV155" s="5"/>
      <c r="AW155" s="237"/>
    </row>
    <row r="156" spans="1:49" ht="12.75" customHeight="1" x14ac:dyDescent="0.3">
      <c r="A156" s="49">
        <v>46081</v>
      </c>
      <c r="B156" s="77"/>
      <c r="C156" s="51">
        <f>'ODOMETERS Halba'!J152</f>
        <v>5752</v>
      </c>
      <c r="D156" s="52">
        <v>1.0117</v>
      </c>
      <c r="E156" s="53">
        <f>'Daily Halba'!$C156*'Daily Halba'!$D156</f>
        <v>5819.2984000000006</v>
      </c>
      <c r="F156" s="54">
        <f>'ODOMETERS Halba'!K152</f>
        <v>5198</v>
      </c>
      <c r="G156" s="52">
        <v>1.0117</v>
      </c>
      <c r="H156" s="53">
        <f>'Daily Halba'!$F156*'Daily Halba'!$G156</f>
        <v>5258.8166000000001</v>
      </c>
      <c r="I156" s="54">
        <f>'Daily Halba'!$C156+'Daily Halba'!$F156</f>
        <v>10950</v>
      </c>
      <c r="J156" s="55">
        <f>'Daily Halba'!$I156*'Daily Halba'!$G156</f>
        <v>11078.115</v>
      </c>
      <c r="K156" s="56">
        <f>'ODOMETERS Halba'!L152</f>
        <v>1325</v>
      </c>
      <c r="L156" s="57">
        <v>0.77929999999999999</v>
      </c>
      <c r="M156" s="58">
        <f>'Daily Halba'!$K156*'Daily Halba'!$L156</f>
        <v>1032.5725</v>
      </c>
      <c r="N156" s="71">
        <f>6+6+6+300/89.7</f>
        <v>21.34448160535117</v>
      </c>
      <c r="O156" s="71">
        <f>(300+400+200+200+400)/89.7+5</f>
        <v>21.722408026755851</v>
      </c>
      <c r="P156" s="71">
        <f>65+97+1450*3/89.7+80+1450/89.7</f>
        <v>306.65997770345598</v>
      </c>
      <c r="Q156" s="71"/>
      <c r="R156" s="71"/>
      <c r="S156" s="71">
        <f>110</f>
        <v>110</v>
      </c>
      <c r="T156" s="71">
        <v>1</v>
      </c>
      <c r="U156" s="61">
        <f>SUM('Daily Halba'!$E156,'Daily Halba'!$H156,$M156:$T156)</f>
        <v>12571.414367335563</v>
      </c>
      <c r="V156" s="22"/>
      <c r="W156" s="62">
        <f>36+51+400/89.7+20+50+33+50+40+9+56</f>
        <v>349.4593088071349</v>
      </c>
      <c r="X156" s="62"/>
      <c r="Y156" s="62">
        <f>(27+28.5+28.5+10)*1.0117</f>
        <v>95.099800000000002</v>
      </c>
      <c r="Z156" s="62">
        <v>41</v>
      </c>
      <c r="AA156" s="63"/>
      <c r="AB156" s="64"/>
      <c r="AC156" s="64">
        <v>329</v>
      </c>
      <c r="AD156" s="64"/>
      <c r="AE156" s="65">
        <f t="shared" si="0"/>
        <v>329</v>
      </c>
      <c r="AF156" s="66">
        <v>6000</v>
      </c>
      <c r="AG156" s="66"/>
      <c r="AH156" s="66"/>
      <c r="AI156" s="66">
        <v>5</v>
      </c>
      <c r="AJ156" s="66"/>
      <c r="AK156" s="66"/>
      <c r="AL156" s="66"/>
      <c r="AM156" s="66"/>
      <c r="AN156" s="67">
        <f t="shared" si="1"/>
        <v>6005</v>
      </c>
      <c r="AO156" s="66"/>
      <c r="AP156" s="68">
        <f t="shared" si="2"/>
        <v>6819.5591088071351</v>
      </c>
      <c r="AQ156" s="69"/>
      <c r="AR156" s="22"/>
      <c r="AS156" s="70">
        <f>'Daily Halba'!$U156-'Daily Halba'!$AP156</f>
        <v>5751.8552585284278</v>
      </c>
      <c r="AT156" s="5"/>
      <c r="AU156" s="5"/>
      <c r="AV156" s="5"/>
      <c r="AW156" s="237"/>
    </row>
    <row r="157" spans="1:49" ht="12.75" customHeight="1" x14ac:dyDescent="0.3">
      <c r="A157" s="49">
        <v>46082</v>
      </c>
      <c r="B157" s="77"/>
      <c r="C157" s="51">
        <f>'ODOMETERS Halba'!J153</f>
        <v>1732</v>
      </c>
      <c r="D157" s="52">
        <v>1.0117</v>
      </c>
      <c r="E157" s="53">
        <f>'Daily Halba'!$C157*'Daily Halba'!$D157</f>
        <v>1752.2644</v>
      </c>
      <c r="F157" s="54">
        <f>'ODOMETERS Halba'!K153</f>
        <v>1270</v>
      </c>
      <c r="G157" s="52">
        <v>1.0117</v>
      </c>
      <c r="H157" s="53">
        <f>'Daily Halba'!$F157*'Daily Halba'!$G157</f>
        <v>1284.8590000000002</v>
      </c>
      <c r="I157" s="54">
        <f>'Daily Halba'!$C157+'Daily Halba'!$F157</f>
        <v>3002</v>
      </c>
      <c r="J157" s="55">
        <f>'Daily Halba'!$I157*'Daily Halba'!$G157</f>
        <v>3037.1233999999999</v>
      </c>
      <c r="K157" s="56">
        <f>'ODOMETERS Halba'!L153</f>
        <v>335</v>
      </c>
      <c r="L157" s="57">
        <v>0.77929999999999999</v>
      </c>
      <c r="M157" s="58">
        <f>'Daily Halba'!$K157*'Daily Halba'!$L157</f>
        <v>261.06549999999999</v>
      </c>
      <c r="N157" s="71">
        <f>6+300/89.7</f>
        <v>9.3444816053511701</v>
      </c>
      <c r="O157" s="71">
        <f>(100+200+400+400+600+400+300)/89.7</f>
        <v>26.755852842809364</v>
      </c>
      <c r="P157" s="71">
        <f>32+32+32</f>
        <v>96</v>
      </c>
      <c r="Q157" s="71"/>
      <c r="R157" s="71"/>
      <c r="S157" s="71">
        <v>20</v>
      </c>
      <c r="T157" s="71">
        <f>400/89.7+3+1.5</f>
        <v>8.9593088071348941</v>
      </c>
      <c r="U157" s="61">
        <f>SUM('Daily Halba'!$E157,'Daily Halba'!$H157,$M157:$T157)</f>
        <v>3459.2485432552958</v>
      </c>
      <c r="V157" s="22"/>
      <c r="W157" s="62">
        <f>10+18+20+80+40</f>
        <v>168</v>
      </c>
      <c r="X157" s="62"/>
      <c r="Y157" s="62">
        <f>50*0.7793+40*1.0117+20*1.0117</f>
        <v>99.667000000000002</v>
      </c>
      <c r="Z157" s="62"/>
      <c r="AA157" s="63"/>
      <c r="AB157" s="64"/>
      <c r="AC157" s="64"/>
      <c r="AD157" s="64"/>
      <c r="AE157" s="65">
        <f t="shared" si="0"/>
        <v>0</v>
      </c>
      <c r="AF157" s="66"/>
      <c r="AG157" s="66"/>
      <c r="AH157" s="66"/>
      <c r="AI157" s="66">
        <v>20</v>
      </c>
      <c r="AJ157" s="66"/>
      <c r="AK157" s="66"/>
      <c r="AL157" s="66"/>
      <c r="AM157" s="66"/>
      <c r="AN157" s="67">
        <f t="shared" si="1"/>
        <v>20</v>
      </c>
      <c r="AO157" s="66"/>
      <c r="AP157" s="68">
        <f t="shared" si="2"/>
        <v>287.66700000000003</v>
      </c>
      <c r="AQ157" s="69"/>
      <c r="AR157" s="22"/>
      <c r="AS157" s="70">
        <f>'Daily Halba'!$U157-'Daily Halba'!$AP157</f>
        <v>3171.5815432552959</v>
      </c>
      <c r="AT157" s="5"/>
      <c r="AU157" s="5"/>
      <c r="AV157" s="5"/>
    </row>
    <row r="158" spans="1:49" ht="12.75" customHeight="1" x14ac:dyDescent="0.3">
      <c r="A158" s="49">
        <v>46083</v>
      </c>
      <c r="B158" s="77"/>
      <c r="C158" s="51">
        <f>'ODOMETERS Halba'!J154</f>
        <v>2972</v>
      </c>
      <c r="D158" s="52">
        <v>1.0117</v>
      </c>
      <c r="E158" s="53">
        <f>'Daily Halba'!$C158*'Daily Halba'!$D158</f>
        <v>3006.7724000000003</v>
      </c>
      <c r="F158" s="54">
        <f>'ODOMETERS Halba'!K154</f>
        <v>2088</v>
      </c>
      <c r="G158" s="52">
        <v>1.0117</v>
      </c>
      <c r="H158" s="53">
        <f>'Daily Halba'!$F158*'Daily Halba'!$G158</f>
        <v>2112.4295999999999</v>
      </c>
      <c r="I158" s="54">
        <f>'Daily Halba'!$C158+'Daily Halba'!$F158</f>
        <v>5060</v>
      </c>
      <c r="J158" s="55">
        <f>'Daily Halba'!$I158*'Daily Halba'!$G158</f>
        <v>5119.2020000000002</v>
      </c>
      <c r="K158" s="56">
        <f>'ODOMETERS Halba'!L154</f>
        <v>1470</v>
      </c>
      <c r="L158" s="57">
        <v>0.77929999999999999</v>
      </c>
      <c r="M158" s="58">
        <f>'Daily Halba'!$K158*'Daily Halba'!$L158</f>
        <v>1145.5709999999999</v>
      </c>
      <c r="N158" s="71">
        <f>800/89.7+5+11</f>
        <v>24.918617614269788</v>
      </c>
      <c r="O158" s="71">
        <f>(300+300+400+400+300)/89.7</f>
        <v>18.952062430323299</v>
      </c>
      <c r="P158" s="71">
        <f>8*16+61</f>
        <v>189</v>
      </c>
      <c r="Q158" s="71"/>
      <c r="R158" s="71"/>
      <c r="S158" s="71"/>
      <c r="T158" s="71">
        <v>3</v>
      </c>
      <c r="U158" s="61">
        <f>SUM('Daily Halba'!$E158,'Daily Halba'!$H158,$M158:$T158)</f>
        <v>6500.6436800445927</v>
      </c>
      <c r="V158" s="22"/>
      <c r="W158" s="62">
        <f>1000/89.7+20+800/89.7+20+10+20+26+500*0.7793+30</f>
        <v>535.71688963210704</v>
      </c>
      <c r="X158" s="62"/>
      <c r="Y158" s="62">
        <f>19*1.0117+30*1.0117+18*1.0117</f>
        <v>67.783900000000003</v>
      </c>
      <c r="Z158" s="62">
        <f>-29+11</f>
        <v>-18</v>
      </c>
      <c r="AA158" s="63"/>
      <c r="AB158" s="64"/>
      <c r="AC158" s="64"/>
      <c r="AD158" s="64"/>
      <c r="AE158" s="65">
        <f t="shared" si="0"/>
        <v>0</v>
      </c>
      <c r="AF158" s="66"/>
      <c r="AG158" s="66"/>
      <c r="AH158" s="66"/>
      <c r="AI158" s="66">
        <v>5</v>
      </c>
      <c r="AJ158" s="66"/>
      <c r="AK158" s="66">
        <f>1200/89.7+600/89.7</f>
        <v>20.066889632107024</v>
      </c>
      <c r="AL158" s="66"/>
      <c r="AM158" s="66"/>
      <c r="AN158" s="67">
        <f t="shared" si="1"/>
        <v>25.066889632107024</v>
      </c>
      <c r="AO158" s="66"/>
      <c r="AP158" s="68">
        <f t="shared" si="2"/>
        <v>610.56767926421412</v>
      </c>
      <c r="AQ158" s="69"/>
      <c r="AR158" s="22"/>
      <c r="AS158" s="70">
        <f>'Daily Halba'!$U158-'Daily Halba'!$AP158</f>
        <v>5890.0760007803783</v>
      </c>
      <c r="AT158" s="5"/>
      <c r="AU158" s="5"/>
      <c r="AV158" s="19"/>
    </row>
    <row r="159" spans="1:49" ht="12.75" customHeight="1" x14ac:dyDescent="0.3">
      <c r="A159" s="49">
        <v>46084</v>
      </c>
      <c r="B159" s="77" t="s">
        <v>24</v>
      </c>
      <c r="C159" s="51">
        <f>'ODOMETERS Halba'!J155</f>
        <v>561</v>
      </c>
      <c r="D159" s="52">
        <v>1.0117</v>
      </c>
      <c r="E159" s="53">
        <f>'Daily Halba'!$C159*'Daily Halba'!$D159</f>
        <v>567.56370000000004</v>
      </c>
      <c r="F159" s="54">
        <f>'ODOMETERS Halba'!K155</f>
        <v>261</v>
      </c>
      <c r="G159" s="52">
        <v>1.0117</v>
      </c>
      <c r="H159" s="53">
        <f>'Daily Halba'!$F159*'Daily Halba'!$G159</f>
        <v>264.05369999999999</v>
      </c>
      <c r="I159" s="54">
        <f>'Daily Halba'!$C159+'Daily Halba'!$F159</f>
        <v>822</v>
      </c>
      <c r="J159" s="55">
        <f>'Daily Halba'!$I159*'Daily Halba'!$G159</f>
        <v>831.61740000000009</v>
      </c>
      <c r="K159" s="56">
        <f>'ODOMETERS Halba'!L155</f>
        <v>117</v>
      </c>
      <c r="L159" s="57">
        <v>0.77929999999999999</v>
      </c>
      <c r="M159" s="58">
        <f>'Daily Halba'!$K159*'Daily Halba'!$L159</f>
        <v>91.178100000000001</v>
      </c>
      <c r="N159" s="71">
        <f>300/89.7</f>
        <v>3.3444816053511706</v>
      </c>
      <c r="O159" s="71"/>
      <c r="P159" s="71">
        <f>16*3</f>
        <v>48</v>
      </c>
      <c r="Q159" s="71"/>
      <c r="R159" s="71"/>
      <c r="S159" s="71"/>
      <c r="T159" s="71"/>
      <c r="U159" s="61">
        <f>SUM('Daily Halba'!$E159,'Daily Halba'!$H159,$M159:$T159)</f>
        <v>974.13998160535118</v>
      </c>
      <c r="V159" s="22"/>
      <c r="W159" s="62">
        <f>45</f>
        <v>45</v>
      </c>
      <c r="X159" s="62"/>
      <c r="Y159" s="62"/>
      <c r="Z159" s="62"/>
      <c r="AA159" s="63"/>
      <c r="AB159" s="64"/>
      <c r="AC159" s="64"/>
      <c r="AD159" s="64"/>
      <c r="AE159" s="65">
        <f t="shared" si="0"/>
        <v>0</v>
      </c>
      <c r="AF159" s="66"/>
      <c r="AG159" s="66"/>
      <c r="AH159" s="66"/>
      <c r="AI159" s="66"/>
      <c r="AJ159" s="66"/>
      <c r="AK159" s="66">
        <f>300/89.7</f>
        <v>3.3444816053511706</v>
      </c>
      <c r="AL159" s="66"/>
      <c r="AM159" s="66"/>
      <c r="AN159" s="67">
        <f t="shared" si="1"/>
        <v>3.3444816053511706</v>
      </c>
      <c r="AO159" s="66"/>
      <c r="AP159" s="68">
        <f t="shared" si="2"/>
        <v>48.34448160535117</v>
      </c>
      <c r="AQ159" s="69"/>
      <c r="AR159" s="22"/>
      <c r="AS159" s="70">
        <f>'Daily Halba'!$U159-'Daily Halba'!$AP159</f>
        <v>925.79550000000006</v>
      </c>
      <c r="AT159" s="5"/>
      <c r="AU159" s="5"/>
      <c r="AV159" s="5"/>
    </row>
    <row r="160" spans="1:49" ht="12.75" customHeight="1" x14ac:dyDescent="0.3">
      <c r="A160" s="49">
        <v>46084</v>
      </c>
      <c r="B160" s="77" t="s">
        <v>25</v>
      </c>
      <c r="C160" s="51">
        <f>'ODOMETERS Halba'!J156</f>
        <v>1081</v>
      </c>
      <c r="D160" s="52">
        <v>1.0166999999999999</v>
      </c>
      <c r="E160" s="53">
        <f>'Daily Halba'!$C160*'Daily Halba'!$D160</f>
        <v>1099.0527</v>
      </c>
      <c r="F160" s="54">
        <f>'ODOMETERS Halba'!K156</f>
        <v>901</v>
      </c>
      <c r="G160" s="52">
        <v>1.0166999999999999</v>
      </c>
      <c r="H160" s="53">
        <f>'Daily Halba'!$F160*'Daily Halba'!$G160</f>
        <v>916.04669999999999</v>
      </c>
      <c r="I160" s="54">
        <f>'Daily Halba'!$C160+'Daily Halba'!$F160</f>
        <v>1982</v>
      </c>
      <c r="J160" s="55">
        <f>'Daily Halba'!$I160*'Daily Halba'!$G160</f>
        <v>2015.0993999999998</v>
      </c>
      <c r="K160" s="56">
        <f>'ODOMETERS Halba'!L156</f>
        <v>302</v>
      </c>
      <c r="L160" s="57">
        <v>0.78649999999999998</v>
      </c>
      <c r="M160" s="58">
        <f>'Daily Halba'!$K160*'Daily Halba'!$L160</f>
        <v>237.523</v>
      </c>
      <c r="N160" s="71"/>
      <c r="O160" s="71">
        <f>(400+400+400+200+400)/89.7</f>
        <v>20.066889632107024</v>
      </c>
      <c r="P160" s="71">
        <f>16*9</f>
        <v>144</v>
      </c>
      <c r="Q160" s="71"/>
      <c r="R160" s="71"/>
      <c r="S160" s="71"/>
      <c r="T160" s="71"/>
      <c r="U160" s="61">
        <f>SUM('Daily Halba'!$E160,'Daily Halba'!$H160,$M160:$T160)</f>
        <v>2416.6892896321074</v>
      </c>
      <c r="V160" s="22"/>
      <c r="W160" s="62">
        <f>900/89.7+18+25+17</f>
        <v>70.033444816053503</v>
      </c>
      <c r="X160" s="62"/>
      <c r="Y160" s="62">
        <f>19*1.0117+28.5*1.0117+28*1.0117+38*1.0117</f>
        <v>114.82795000000002</v>
      </c>
      <c r="Z160" s="62">
        <v>-23</v>
      </c>
      <c r="AA160" s="63"/>
      <c r="AB160" s="64"/>
      <c r="AC160" s="64">
        <v>348</v>
      </c>
      <c r="AD160" s="64"/>
      <c r="AE160" s="65">
        <f t="shared" si="0"/>
        <v>348</v>
      </c>
      <c r="AF160" s="66"/>
      <c r="AG160" s="66"/>
      <c r="AH160" s="66"/>
      <c r="AI160" s="66">
        <v>16</v>
      </c>
      <c r="AJ160" s="66"/>
      <c r="AK160" s="66">
        <v>10</v>
      </c>
      <c r="AL160" s="66"/>
      <c r="AM160" s="66"/>
      <c r="AN160" s="67">
        <f t="shared" si="1"/>
        <v>26</v>
      </c>
      <c r="AO160" s="66"/>
      <c r="AP160" s="68">
        <f t="shared" si="2"/>
        <v>535.86139481605346</v>
      </c>
      <c r="AQ160" s="69"/>
      <c r="AR160" s="22"/>
      <c r="AS160" s="70">
        <f>'Daily Halba'!$U160-'Daily Halba'!$AP160</f>
        <v>1880.8278948160539</v>
      </c>
      <c r="AT160" s="5"/>
      <c r="AU160" s="5"/>
      <c r="AV160" s="5"/>
    </row>
    <row r="161" spans="1:49" ht="12.75" customHeight="1" x14ac:dyDescent="0.3">
      <c r="A161" s="49">
        <v>46085</v>
      </c>
      <c r="B161" s="77"/>
      <c r="C161" s="51">
        <f>'ODOMETERS Halba'!J157</f>
        <v>1895</v>
      </c>
      <c r="D161" s="52">
        <v>1.0166999999999999</v>
      </c>
      <c r="E161" s="53">
        <f>'Daily Halba'!$C161*'Daily Halba'!$D161</f>
        <v>1926.6464999999998</v>
      </c>
      <c r="F161" s="54">
        <f>'ODOMETERS Halba'!K157</f>
        <v>1182</v>
      </c>
      <c r="G161" s="52">
        <v>1.0166999999999999</v>
      </c>
      <c r="H161" s="53">
        <f>'Daily Halba'!$F161*'Daily Halba'!$G161</f>
        <v>1201.7393999999999</v>
      </c>
      <c r="I161" s="54">
        <f>'Daily Halba'!$C161+'Daily Halba'!$F161</f>
        <v>3077</v>
      </c>
      <c r="J161" s="55">
        <f>'Daily Halba'!$I161*'Daily Halba'!$G161</f>
        <v>3128.3858999999998</v>
      </c>
      <c r="K161" s="56">
        <f>'ODOMETERS Halba'!L157</f>
        <v>3866</v>
      </c>
      <c r="L161" s="57">
        <v>0.78649999999999998</v>
      </c>
      <c r="M161" s="58">
        <f>'Daily Halba'!$K161*'Daily Halba'!$L161</f>
        <v>3040.6089999999999</v>
      </c>
      <c r="N161" s="71">
        <v>13</v>
      </c>
      <c r="O161" s="71">
        <f>(300+400+400)/89.7</f>
        <v>12.263099219620958</v>
      </c>
      <c r="P161" s="71">
        <f>6*16</f>
        <v>96</v>
      </c>
      <c r="Q161" s="71"/>
      <c r="R161" s="71"/>
      <c r="S161" s="71">
        <f>60+3400+511+615</f>
        <v>4586</v>
      </c>
      <c r="T161" s="71">
        <v>37.409999999999997</v>
      </c>
      <c r="U161" s="61">
        <f>SUM('Daily Halba'!$E161,'Daily Halba'!$H161,$M161:$T161)</f>
        <v>10913.66799921962</v>
      </c>
      <c r="V161" s="22"/>
      <c r="W161" s="62">
        <f>564+2542</f>
        <v>3106</v>
      </c>
      <c r="X161" s="62"/>
      <c r="Y161" s="62">
        <f>68.62</f>
        <v>68.62</v>
      </c>
      <c r="Z161" s="62">
        <v>31</v>
      </c>
      <c r="AA161" s="63"/>
      <c r="AB161" s="64"/>
      <c r="AC161" s="64"/>
      <c r="AD161" s="64"/>
      <c r="AE161" s="65">
        <f t="shared" si="0"/>
        <v>0</v>
      </c>
      <c r="AF161" s="66"/>
      <c r="AG161" s="66"/>
      <c r="AH161" s="66"/>
      <c r="AI161" s="66"/>
      <c r="AJ161" s="66"/>
      <c r="AK161" s="66"/>
      <c r="AL161" s="66"/>
      <c r="AM161" s="66"/>
      <c r="AN161" s="67">
        <f t="shared" si="1"/>
        <v>0</v>
      </c>
      <c r="AO161" s="66"/>
      <c r="AP161" s="68">
        <f t="shared" si="2"/>
        <v>3205.62</v>
      </c>
      <c r="AQ161" s="69"/>
      <c r="AR161" s="22"/>
      <c r="AS161" s="70">
        <f>'Daily Halba'!$U161-'Daily Halba'!$AP161</f>
        <v>7708.0479992196206</v>
      </c>
      <c r="AT161" s="5"/>
      <c r="AU161" s="5"/>
      <c r="AV161" s="5"/>
      <c r="AW161" s="237"/>
    </row>
    <row r="162" spans="1:49" ht="12.75" customHeight="1" x14ac:dyDescent="0.3">
      <c r="A162" s="49">
        <v>46086</v>
      </c>
      <c r="B162" s="77"/>
      <c r="C162" s="51">
        <f>'ODOMETERS Halba'!J158</f>
        <v>1503</v>
      </c>
      <c r="D162" s="52">
        <v>1.0166999999999999</v>
      </c>
      <c r="E162" s="53">
        <f>'Daily Halba'!$C162*'Daily Halba'!$D162</f>
        <v>1528.1000999999999</v>
      </c>
      <c r="F162" s="54">
        <f>'ODOMETERS Halba'!K158</f>
        <v>1225</v>
      </c>
      <c r="G162" s="52">
        <v>1.0166999999999999</v>
      </c>
      <c r="H162" s="53">
        <f>'Daily Halba'!$F162*'Daily Halba'!$G162</f>
        <v>1245.4575</v>
      </c>
      <c r="I162" s="54">
        <f>'Daily Halba'!$C162+'Daily Halba'!$F162</f>
        <v>2728</v>
      </c>
      <c r="J162" s="55">
        <f>'Daily Halba'!$I162*'Daily Halba'!$G162</f>
        <v>2773.5575999999996</v>
      </c>
      <c r="K162" s="56">
        <f>'ODOMETERS Halba'!L158</f>
        <v>1935</v>
      </c>
      <c r="L162" s="57">
        <v>0.78649999999999998</v>
      </c>
      <c r="M162" s="58">
        <f>'Daily Halba'!$K162*'Daily Halba'!$L162</f>
        <v>1521.8775000000001</v>
      </c>
      <c r="N162" s="71">
        <f>250/89.7+250/89.7+6.5</f>
        <v>12.074136008918618</v>
      </c>
      <c r="O162" s="71">
        <v>29</v>
      </c>
      <c r="P162" s="71">
        <f>61+16+16+60+16+32</f>
        <v>201</v>
      </c>
      <c r="Q162" s="71"/>
      <c r="R162" s="71"/>
      <c r="S162" s="71">
        <f>160+35+205</f>
        <v>400</v>
      </c>
      <c r="T162" s="71">
        <f>150/89.7</f>
        <v>1.6722408026755853</v>
      </c>
      <c r="U162" s="61">
        <f>SUM('Daily Halba'!$E162,'Daily Halba'!$H162,$M162:$T162)</f>
        <v>4939.1814768115946</v>
      </c>
      <c r="V162" s="22"/>
      <c r="W162" s="62">
        <f>20+226*0.7865+30+40+28+846*0.7865+300*0.7865+43</f>
        <v>1240.078</v>
      </c>
      <c r="X162" s="62"/>
      <c r="Y162" s="62">
        <f>49*1.0167+110</f>
        <v>159.81829999999999</v>
      </c>
      <c r="Z162" s="62">
        <v>8</v>
      </c>
      <c r="AA162" s="63"/>
      <c r="AB162" s="64"/>
      <c r="AC162" s="64">
        <f>246</f>
        <v>246</v>
      </c>
      <c r="AD162" s="64"/>
      <c r="AE162" s="65">
        <f t="shared" si="0"/>
        <v>246</v>
      </c>
      <c r="AF162" s="66"/>
      <c r="AG162" s="66"/>
      <c r="AH162" s="66"/>
      <c r="AI162" s="66">
        <f>400/89.7</f>
        <v>4.4593088071348941</v>
      </c>
      <c r="AJ162" s="66"/>
      <c r="AK162" s="66">
        <f>300/89.7+600/89.7</f>
        <v>10.033444816053512</v>
      </c>
      <c r="AL162" s="66"/>
      <c r="AM162" s="66"/>
      <c r="AN162" s="67">
        <f t="shared" si="1"/>
        <v>14.492753623188406</v>
      </c>
      <c r="AO162" s="66"/>
      <c r="AP162" s="68">
        <f t="shared" si="2"/>
        <v>1668.3890536231884</v>
      </c>
      <c r="AQ162" s="69"/>
      <c r="AR162" s="22"/>
      <c r="AS162" s="70">
        <f>'Daily Halba'!$U162-'Daily Halba'!$AP162</f>
        <v>3270.7924231884062</v>
      </c>
      <c r="AT162" s="5"/>
      <c r="AU162" s="5"/>
      <c r="AV162" s="19"/>
    </row>
    <row r="163" spans="1:49" ht="12.75" customHeight="1" x14ac:dyDescent="0.3">
      <c r="A163" s="49">
        <v>46087</v>
      </c>
      <c r="B163" s="77" t="s">
        <v>24</v>
      </c>
      <c r="C163" s="51">
        <f>'ODOMETERS Halba'!J159</f>
        <v>548</v>
      </c>
      <c r="D163" s="52">
        <v>1.0166999999999999</v>
      </c>
      <c r="E163" s="53">
        <f>'Daily Halba'!$C163*'Daily Halba'!$D163</f>
        <v>557.15159999999992</v>
      </c>
      <c r="F163" s="54">
        <f>'ODOMETERS Halba'!K159</f>
        <v>546</v>
      </c>
      <c r="G163" s="52">
        <v>1.0166999999999999</v>
      </c>
      <c r="H163" s="53">
        <f>'Daily Halba'!$F163*'Daily Halba'!$G163</f>
        <v>555.1182</v>
      </c>
      <c r="I163" s="54">
        <f>'Daily Halba'!$C163+'Daily Halba'!$F163</f>
        <v>1094</v>
      </c>
      <c r="J163" s="55">
        <f>'Daily Halba'!$I163*'Daily Halba'!$G163</f>
        <v>1112.2698</v>
      </c>
      <c r="K163" s="56">
        <f>'ODOMETERS Halba'!L159</f>
        <v>137</v>
      </c>
      <c r="L163" s="57">
        <v>0.78649999999999998</v>
      </c>
      <c r="M163" s="58">
        <f>'Daily Halba'!$K163*'Daily Halba'!$L163</f>
        <v>107.7505</v>
      </c>
      <c r="N163" s="71">
        <v>5.5</v>
      </c>
      <c r="O163" s="71"/>
      <c r="P163" s="71">
        <v>48</v>
      </c>
      <c r="Q163" s="71"/>
      <c r="R163" s="71"/>
      <c r="S163" s="71">
        <v>236</v>
      </c>
      <c r="T163" s="71">
        <v>0.5</v>
      </c>
      <c r="U163" s="61">
        <f>SUM('Daily Halba'!$E163,'Daily Halba'!$H163,$M163:$T163)</f>
        <v>1510.0203000000001</v>
      </c>
      <c r="V163" s="22"/>
      <c r="W163" s="62">
        <v>30.16</v>
      </c>
      <c r="X163" s="62"/>
      <c r="Y163" s="62"/>
      <c r="Z163" s="62">
        <v>1.5</v>
      </c>
      <c r="AA163" s="63"/>
      <c r="AB163" s="64"/>
      <c r="AC163" s="64"/>
      <c r="AD163" s="64"/>
      <c r="AE163" s="65">
        <f t="shared" si="0"/>
        <v>0</v>
      </c>
      <c r="AF163" s="66"/>
      <c r="AG163" s="66"/>
      <c r="AH163" s="66"/>
      <c r="AI163" s="66"/>
      <c r="AJ163" s="66"/>
      <c r="AK163" s="66"/>
      <c r="AL163" s="66"/>
      <c r="AM163" s="66"/>
      <c r="AN163" s="67">
        <f t="shared" si="1"/>
        <v>0</v>
      </c>
      <c r="AO163" s="66"/>
      <c r="AP163" s="68">
        <f t="shared" si="2"/>
        <v>31.66</v>
      </c>
      <c r="AQ163" s="69"/>
      <c r="AR163" s="22"/>
      <c r="AS163" s="70">
        <f>'Daily Halba'!$U163-'Daily Halba'!$AP163</f>
        <v>1478.3603000000001</v>
      </c>
      <c r="AT163" s="5"/>
      <c r="AU163" s="5"/>
      <c r="AV163" s="5"/>
    </row>
    <row r="164" spans="1:49" ht="12.75" customHeight="1" x14ac:dyDescent="0.3">
      <c r="A164" s="49">
        <v>46087</v>
      </c>
      <c r="B164" s="77" t="s">
        <v>25</v>
      </c>
      <c r="C164" s="51">
        <f>'ODOMETERS Halba'!J160</f>
        <v>889</v>
      </c>
      <c r="D164" s="52">
        <v>1.0669</v>
      </c>
      <c r="E164" s="53">
        <f>'Daily Halba'!$C164*'Daily Halba'!$D164</f>
        <v>948.47409999999991</v>
      </c>
      <c r="F164" s="54">
        <f>'ODOMETERS Halba'!K160</f>
        <v>800</v>
      </c>
      <c r="G164" s="52">
        <v>1.0669</v>
      </c>
      <c r="H164" s="53">
        <f>'Daily Halba'!$F164*'Daily Halba'!$G164</f>
        <v>853.52</v>
      </c>
      <c r="I164" s="54">
        <f>'Daily Halba'!$C164+'Daily Halba'!$F164</f>
        <v>1689</v>
      </c>
      <c r="J164" s="55">
        <f>'Daily Halba'!$I164*'Daily Halba'!$G164</f>
        <v>1801.9940999999999</v>
      </c>
      <c r="K164" s="56">
        <f>'ODOMETERS Halba'!L160</f>
        <v>707</v>
      </c>
      <c r="L164" s="57">
        <v>0.92030000000000001</v>
      </c>
      <c r="M164" s="58">
        <f>'Daily Halba'!$K164*'Daily Halba'!$L164</f>
        <v>650.65210000000002</v>
      </c>
      <c r="N164" s="71">
        <v>8.36</v>
      </c>
      <c r="O164" s="71">
        <v>20</v>
      </c>
      <c r="P164" s="71">
        <v>64</v>
      </c>
      <c r="Q164" s="71"/>
      <c r="R164" s="71"/>
      <c r="S164" s="71">
        <v>477</v>
      </c>
      <c r="T164" s="71">
        <v>27</v>
      </c>
      <c r="U164" s="61">
        <f>SUM('Daily Halba'!$E164,'Daily Halba'!$H164,$M164:$T164)</f>
        <v>3049.0062000000003</v>
      </c>
      <c r="V164" s="22"/>
      <c r="W164" s="62">
        <f>30+285.29</f>
        <v>315.29000000000002</v>
      </c>
      <c r="X164" s="62"/>
      <c r="Y164" s="62">
        <v>148.29</v>
      </c>
      <c r="Z164" s="62"/>
      <c r="AA164" s="63"/>
      <c r="AB164" s="64"/>
      <c r="AC164" s="64">
        <v>35</v>
      </c>
      <c r="AD164" s="64"/>
      <c r="AE164" s="65">
        <f t="shared" si="0"/>
        <v>35</v>
      </c>
      <c r="AF164" s="66"/>
      <c r="AG164" s="66"/>
      <c r="AH164" s="66"/>
      <c r="AI164" s="66"/>
      <c r="AJ164" s="66"/>
      <c r="AK164" s="66"/>
      <c r="AL164" s="66"/>
      <c r="AM164" s="66"/>
      <c r="AN164" s="67">
        <f t="shared" si="1"/>
        <v>0</v>
      </c>
      <c r="AO164" s="66"/>
      <c r="AP164" s="68">
        <f t="shared" si="2"/>
        <v>498.58000000000004</v>
      </c>
      <c r="AQ164" s="69"/>
      <c r="AR164" s="22"/>
      <c r="AS164" s="70">
        <f>'Daily Halba'!$U164-'Daily Halba'!$AP164</f>
        <v>2550.4262000000003</v>
      </c>
      <c r="AT164" s="5"/>
      <c r="AU164" s="5"/>
      <c r="AV164" s="5"/>
    </row>
    <row r="165" spans="1:49" ht="12.75" customHeight="1" x14ac:dyDescent="0.3">
      <c r="A165" s="49">
        <v>46088</v>
      </c>
      <c r="B165" s="77"/>
      <c r="C165" s="51">
        <f>'ODOMETERS Halba'!J161</f>
        <v>1532</v>
      </c>
      <c r="D165" s="52">
        <v>1.0669</v>
      </c>
      <c r="E165" s="53">
        <f>'Daily Halba'!$C165*'Daily Halba'!$D165</f>
        <v>1634.4908</v>
      </c>
      <c r="F165" s="54">
        <f>'ODOMETERS Halba'!K161</f>
        <v>1476</v>
      </c>
      <c r="G165" s="52">
        <v>1.0669</v>
      </c>
      <c r="H165" s="53">
        <f>'Daily Halba'!$F165*'Daily Halba'!$G165</f>
        <v>1574.7444</v>
      </c>
      <c r="I165" s="54">
        <f>'Daily Halba'!$C165+'Daily Halba'!$F165</f>
        <v>3008</v>
      </c>
      <c r="J165" s="55">
        <f>'Daily Halba'!$I165*'Daily Halba'!$G165</f>
        <v>3209.2352000000001</v>
      </c>
      <c r="K165" s="56">
        <f>'ODOMETERS Halba'!L161</f>
        <v>1228</v>
      </c>
      <c r="L165" s="57">
        <v>0.92030000000000001</v>
      </c>
      <c r="M165" s="58">
        <f>'Daily Halba'!$K165*'Daily Halba'!$L165</f>
        <v>1130.1284000000001</v>
      </c>
      <c r="N165" s="71">
        <v>6.13</v>
      </c>
      <c r="O165" s="71">
        <v>30.64</v>
      </c>
      <c r="P165" s="71">
        <v>64</v>
      </c>
      <c r="Q165" s="71"/>
      <c r="R165" s="71"/>
      <c r="S165" s="71">
        <v>2020</v>
      </c>
      <c r="T165" s="71">
        <v>10.130000000000001</v>
      </c>
      <c r="U165" s="61">
        <f>SUM('Daily Halba'!$E165,'Daily Halba'!$H165,$M165:$T165)</f>
        <v>6470.2636000000011</v>
      </c>
      <c r="V165" s="22"/>
      <c r="W165" s="62">
        <f>171.39+344</f>
        <v>515.39</v>
      </c>
      <c r="X165" s="62"/>
      <c r="Y165" s="62">
        <v>158.96</v>
      </c>
      <c r="Z165" s="62">
        <v>1</v>
      </c>
      <c r="AA165" s="63"/>
      <c r="AB165" s="64"/>
      <c r="AC165" s="64"/>
      <c r="AD165" s="64"/>
      <c r="AE165" s="65">
        <f t="shared" si="0"/>
        <v>0</v>
      </c>
      <c r="AF165" s="66"/>
      <c r="AG165" s="66"/>
      <c r="AH165" s="66"/>
      <c r="AI165" s="66"/>
      <c r="AJ165" s="66"/>
      <c r="AK165" s="66"/>
      <c r="AL165" s="66"/>
      <c r="AM165" s="66"/>
      <c r="AN165" s="67">
        <f t="shared" si="1"/>
        <v>0</v>
      </c>
      <c r="AO165" s="66"/>
      <c r="AP165" s="68">
        <f t="shared" si="2"/>
        <v>675.35</v>
      </c>
      <c r="AQ165" s="69"/>
      <c r="AR165" s="22"/>
      <c r="AS165" s="70">
        <f>'Daily Halba'!$U165-'Daily Halba'!$AP165</f>
        <v>5794.9136000000008</v>
      </c>
      <c r="AT165" s="5"/>
      <c r="AU165" s="5"/>
      <c r="AV165" s="5"/>
    </row>
    <row r="166" spans="1:49" ht="12.75" customHeight="1" x14ac:dyDescent="0.3">
      <c r="A166" s="49">
        <v>46089</v>
      </c>
      <c r="B166" s="77"/>
      <c r="C166" s="51">
        <f>'ODOMETERS Halba'!J162</f>
        <v>1546</v>
      </c>
      <c r="D166" s="52">
        <v>1.0669</v>
      </c>
      <c r="E166" s="53">
        <f>'Daily Halba'!$C166*'Daily Halba'!$D166</f>
        <v>1649.4274</v>
      </c>
      <c r="F166" s="54">
        <f>'ODOMETERS Halba'!K162</f>
        <v>1065</v>
      </c>
      <c r="G166" s="52">
        <v>1.0669</v>
      </c>
      <c r="H166" s="53">
        <f>'Daily Halba'!$F166*'Daily Halba'!$G166</f>
        <v>1136.2484999999999</v>
      </c>
      <c r="I166" s="54">
        <f>'Daily Halba'!$C166+'Daily Halba'!$F166</f>
        <v>2611</v>
      </c>
      <c r="J166" s="55">
        <f>'Daily Halba'!$I166*'Daily Halba'!$G166</f>
        <v>2785.6758999999997</v>
      </c>
      <c r="K166" s="56">
        <f>'ODOMETERS Halba'!L162</f>
        <v>1014</v>
      </c>
      <c r="L166" s="57">
        <v>0.92030000000000001</v>
      </c>
      <c r="M166" s="58">
        <f>'Daily Halba'!$K166*'Daily Halba'!$L166</f>
        <v>933.18420000000003</v>
      </c>
      <c r="N166" s="71">
        <f>13+6+250/89.7</f>
        <v>21.787068004459307</v>
      </c>
      <c r="O166" s="71">
        <f>(400+300+300+300+300+400+400+400)/89.7</f>
        <v>31.215161649944257</v>
      </c>
      <c r="P166" s="71">
        <v>80</v>
      </c>
      <c r="Q166" s="71"/>
      <c r="R166" s="71"/>
      <c r="S166" s="71"/>
      <c r="T166" s="71">
        <f>1+400/89.7</f>
        <v>5.4593088071348941</v>
      </c>
      <c r="U166" s="61">
        <f>SUM('Daily Halba'!$E166,'Daily Halba'!$H166,$M166:$T166)</f>
        <v>3857.3216384615384</v>
      </c>
      <c r="V166" s="22"/>
      <c r="W166" s="62">
        <f>20+20+10+20</f>
        <v>70</v>
      </c>
      <c r="X166" s="62"/>
      <c r="Y166" s="62">
        <f>(20+19+20+20+9+40)*1.0669+82+82</f>
        <v>300.56319999999999</v>
      </c>
      <c r="Z166" s="62">
        <v>1</v>
      </c>
      <c r="AA166" s="63"/>
      <c r="AB166" s="64"/>
      <c r="AC166" s="64"/>
      <c r="AD166" s="64"/>
      <c r="AE166" s="65">
        <f t="shared" si="0"/>
        <v>0</v>
      </c>
      <c r="AF166" s="66"/>
      <c r="AG166" s="66"/>
      <c r="AH166" s="66"/>
      <c r="AI166" s="66"/>
      <c r="AJ166" s="66"/>
      <c r="AK166" s="66"/>
      <c r="AL166" s="66"/>
      <c r="AM166" s="66"/>
      <c r="AN166" s="67">
        <f t="shared" si="1"/>
        <v>0</v>
      </c>
      <c r="AO166" s="66"/>
      <c r="AP166" s="68">
        <f t="shared" si="2"/>
        <v>371.56319999999999</v>
      </c>
      <c r="AQ166" s="69"/>
      <c r="AR166" s="22"/>
      <c r="AS166" s="70">
        <f>'Daily Halba'!$U166-'Daily Halba'!$AP166</f>
        <v>3485.7584384615384</v>
      </c>
      <c r="AT166" s="5"/>
      <c r="AU166" s="5"/>
      <c r="AV166" s="5"/>
    </row>
    <row r="167" spans="1:49" ht="12.75" customHeight="1" x14ac:dyDescent="0.3">
      <c r="A167" s="49">
        <v>46090</v>
      </c>
      <c r="B167" s="77"/>
      <c r="C167" s="51">
        <f>'ODOMETERS Halba'!J163</f>
        <v>1878</v>
      </c>
      <c r="D167" s="52">
        <v>1.0669</v>
      </c>
      <c r="E167" s="53">
        <f>'Daily Halba'!$C167*'Daily Halba'!$D167</f>
        <v>2003.6381999999999</v>
      </c>
      <c r="F167" s="54">
        <f>'ODOMETERS Halba'!K163</f>
        <v>1252</v>
      </c>
      <c r="G167" s="52">
        <v>1.0669</v>
      </c>
      <c r="H167" s="53">
        <f>'Daily Halba'!$F167*'Daily Halba'!$G167</f>
        <v>1335.7587999999998</v>
      </c>
      <c r="I167" s="54">
        <f>'Daily Halba'!$C167+'Daily Halba'!$F167</f>
        <v>3130</v>
      </c>
      <c r="J167" s="55">
        <f>'Daily Halba'!$I167*'Daily Halba'!$G167</f>
        <v>3339.3969999999999</v>
      </c>
      <c r="K167" s="56">
        <f>'ODOMETERS Halba'!L163</f>
        <v>1344</v>
      </c>
      <c r="L167" s="57">
        <v>0.92030000000000001</v>
      </c>
      <c r="M167" s="58">
        <f>'Daily Halba'!$K167*'Daily Halba'!$L167</f>
        <v>1236.8832</v>
      </c>
      <c r="N167" s="71">
        <v>16</v>
      </c>
      <c r="O167" s="71">
        <v>13</v>
      </c>
      <c r="P167" s="71">
        <v>16</v>
      </c>
      <c r="Q167" s="71"/>
      <c r="R167" s="71"/>
      <c r="S167" s="71">
        <v>250</v>
      </c>
      <c r="T167" s="71">
        <v>15</v>
      </c>
      <c r="U167" s="61">
        <f>SUM('Daily Halba'!$E167,'Daily Halba'!$H167,$M167:$T167)</f>
        <v>4886.2802000000001</v>
      </c>
      <c r="V167" s="22"/>
      <c r="W167" s="62">
        <f>454-145</f>
        <v>309</v>
      </c>
      <c r="X167" s="62"/>
      <c r="Y167" s="62">
        <f>189.9+92</f>
        <v>281.89999999999998</v>
      </c>
      <c r="Z167" s="62">
        <v>17</v>
      </c>
      <c r="AA167" s="63"/>
      <c r="AB167" s="64"/>
      <c r="AC167" s="64">
        <v>145</v>
      </c>
      <c r="AD167" s="64"/>
      <c r="AE167" s="65">
        <f t="shared" si="0"/>
        <v>145</v>
      </c>
      <c r="AF167" s="66"/>
      <c r="AG167" s="66"/>
      <c r="AH167" s="66"/>
      <c r="AI167" s="66"/>
      <c r="AJ167" s="66"/>
      <c r="AK167" s="66"/>
      <c r="AL167" s="66"/>
      <c r="AM167" s="66"/>
      <c r="AN167" s="67">
        <f t="shared" si="1"/>
        <v>0</v>
      </c>
      <c r="AO167" s="66"/>
      <c r="AP167" s="68">
        <f t="shared" si="2"/>
        <v>752.9</v>
      </c>
      <c r="AQ167" s="69"/>
      <c r="AR167" s="22"/>
      <c r="AS167" s="70">
        <f>'Daily Halba'!$U167-'Daily Halba'!$AP167</f>
        <v>4133.3802000000005</v>
      </c>
      <c r="AT167" s="5"/>
      <c r="AU167" s="5"/>
      <c r="AV167" s="5"/>
    </row>
    <row r="168" spans="1:49" ht="12.75" customHeight="1" x14ac:dyDescent="0.3">
      <c r="A168" s="49">
        <v>46091</v>
      </c>
      <c r="B168" s="77" t="s">
        <v>24</v>
      </c>
      <c r="C168" s="51">
        <f>'ODOMETERS Halba'!J164</f>
        <v>558</v>
      </c>
      <c r="D168" s="52">
        <v>1.0669</v>
      </c>
      <c r="E168" s="53">
        <f>'Daily Halba'!$C168*'Daily Halba'!$D168</f>
        <v>595.33019999999999</v>
      </c>
      <c r="F168" s="54">
        <f>'ODOMETERS Halba'!K164</f>
        <v>315</v>
      </c>
      <c r="G168" s="52">
        <v>1.0669</v>
      </c>
      <c r="H168" s="53">
        <f>'Daily Halba'!$F168*'Daily Halba'!$G168</f>
        <v>336.07349999999997</v>
      </c>
      <c r="I168" s="54">
        <f>'Daily Halba'!$C168+'Daily Halba'!$F168</f>
        <v>873</v>
      </c>
      <c r="J168" s="55">
        <f>'Daily Halba'!$I168*'Daily Halba'!$G168</f>
        <v>931.40369999999996</v>
      </c>
      <c r="K168" s="56">
        <f>'ODOMETERS Halba'!L164</f>
        <v>98</v>
      </c>
      <c r="L168" s="57">
        <v>0.92030000000000001</v>
      </c>
      <c r="M168" s="58">
        <f>'Daily Halba'!$K168*'Daily Halba'!$L168</f>
        <v>90.189400000000006</v>
      </c>
      <c r="N168" s="71"/>
      <c r="O168" s="71">
        <f>1000/89.7</f>
        <v>11.148272017837234</v>
      </c>
      <c r="P168" s="71"/>
      <c r="Q168" s="71"/>
      <c r="R168" s="71"/>
      <c r="S168" s="71">
        <f>7063-445+1185</f>
        <v>7803</v>
      </c>
      <c r="T168" s="71">
        <f>(850)/89.7</f>
        <v>9.4760312151616493</v>
      </c>
      <c r="U168" s="61">
        <f>SUM('Daily Halba'!$E168,'Daily Halba'!$H168,$M168:$T168)</f>
        <v>8845.2174032329985</v>
      </c>
      <c r="V168" s="22"/>
      <c r="W168" s="62">
        <f>10</f>
        <v>10</v>
      </c>
      <c r="X168" s="62"/>
      <c r="Y168" s="62">
        <f>19*1.0669+100*0.9203+20*1.0669</f>
        <v>133.63910000000001</v>
      </c>
      <c r="Z168" s="62">
        <v>2</v>
      </c>
      <c r="AA168" s="63"/>
      <c r="AB168" s="64"/>
      <c r="AC168" s="64"/>
      <c r="AD168" s="64"/>
      <c r="AE168" s="65">
        <f t="shared" si="0"/>
        <v>0</v>
      </c>
      <c r="AF168" s="66"/>
      <c r="AG168" s="66"/>
      <c r="AH168" s="66"/>
      <c r="AI168" s="66">
        <v>13</v>
      </c>
      <c r="AJ168" s="66"/>
      <c r="AK168" s="66"/>
      <c r="AL168" s="66"/>
      <c r="AM168" s="66"/>
      <c r="AN168" s="67">
        <f t="shared" si="1"/>
        <v>13</v>
      </c>
      <c r="AO168" s="66">
        <v>2000</v>
      </c>
      <c r="AP168" s="68">
        <f t="shared" si="2"/>
        <v>2158.6390999999999</v>
      </c>
      <c r="AQ168" s="69"/>
      <c r="AR168" s="22"/>
      <c r="AS168" s="70">
        <f>'Daily Halba'!$U168-'Daily Halba'!$AP168</f>
        <v>6686.5783032329982</v>
      </c>
      <c r="AT168" s="5"/>
      <c r="AU168" s="5"/>
      <c r="AV168" s="5"/>
    </row>
    <row r="169" spans="1:49" ht="12.75" customHeight="1" x14ac:dyDescent="0.3">
      <c r="A169" s="49">
        <v>46091</v>
      </c>
      <c r="B169" s="77" t="s">
        <v>25</v>
      </c>
      <c r="C169" s="51">
        <f>'ODOMETERS Halba'!J165</f>
        <v>968</v>
      </c>
      <c r="D169" s="52">
        <v>1.1171</v>
      </c>
      <c r="E169" s="53">
        <f>'Daily Halba'!$C169*'Daily Halba'!$D169</f>
        <v>1081.3527999999999</v>
      </c>
      <c r="F169" s="54">
        <f>'ODOMETERS Halba'!K165</f>
        <v>828</v>
      </c>
      <c r="G169" s="52">
        <v>1.1171</v>
      </c>
      <c r="H169" s="53">
        <f>'Daily Halba'!$F169*'Daily Halba'!$G169</f>
        <v>924.9588</v>
      </c>
      <c r="I169" s="54">
        <f>'Daily Halba'!$C169+'Daily Halba'!$F169</f>
        <v>1796</v>
      </c>
      <c r="J169" s="55">
        <f>'Daily Halba'!$I169*'Daily Halba'!$G169</f>
        <v>2006.3116</v>
      </c>
      <c r="K169" s="56">
        <f>'ODOMETERS Halba'!L165</f>
        <v>2004</v>
      </c>
      <c r="L169" s="57">
        <v>1.042</v>
      </c>
      <c r="M169" s="58">
        <f>'Daily Halba'!$K169*'Daily Halba'!$L169</f>
        <v>2088.1680000000001</v>
      </c>
      <c r="N169" s="71">
        <f>24+6.5+250/89.7</f>
        <v>33.287068004459307</v>
      </c>
      <c r="O169" s="71"/>
      <c r="P169" s="71"/>
      <c r="Q169" s="71"/>
      <c r="R169" s="71"/>
      <c r="S169" s="71">
        <v>500</v>
      </c>
      <c r="T169" s="71">
        <f>1500/89.7+1500/89.7+100/89.7+100/89.7+300/89.7</f>
        <v>39.018952062430323</v>
      </c>
      <c r="U169" s="61">
        <f>SUM('Daily Halba'!$E169,'Daily Halba'!$H169,$M169:$T169)</f>
        <v>4666.7856200668894</v>
      </c>
      <c r="V169" s="22"/>
      <c r="W169" s="62">
        <f>484+1017</f>
        <v>1501</v>
      </c>
      <c r="X169" s="62"/>
      <c r="Y169" s="62">
        <v>145</v>
      </c>
      <c r="Z169" s="62">
        <v>68</v>
      </c>
      <c r="AA169" s="63"/>
      <c r="AB169" s="64"/>
      <c r="AC169" s="64"/>
      <c r="AD169" s="64"/>
      <c r="AE169" s="65">
        <f t="shared" si="0"/>
        <v>0</v>
      </c>
      <c r="AF169" s="66"/>
      <c r="AG169" s="66"/>
      <c r="AH169" s="66"/>
      <c r="AI169" s="66"/>
      <c r="AJ169" s="66"/>
      <c r="AK169" s="66"/>
      <c r="AL169" s="66"/>
      <c r="AM169" s="66"/>
      <c r="AN169" s="67">
        <f t="shared" si="1"/>
        <v>0</v>
      </c>
      <c r="AO169" s="66">
        <v>2500</v>
      </c>
      <c r="AP169" s="68">
        <f t="shared" si="2"/>
        <v>4214</v>
      </c>
      <c r="AQ169" s="69" t="s">
        <v>213</v>
      </c>
      <c r="AR169" s="22"/>
      <c r="AS169" s="70">
        <f>'Daily Halba'!$U169-'Daily Halba'!$AP169</f>
        <v>452.78562006688935</v>
      </c>
      <c r="AT169" s="5"/>
      <c r="AU169" s="5"/>
      <c r="AV169" s="5"/>
    </row>
    <row r="170" spans="1:49" ht="12.75" customHeight="1" x14ac:dyDescent="0.3">
      <c r="A170" s="49">
        <v>46092</v>
      </c>
      <c r="B170" s="77"/>
      <c r="C170" s="51">
        <f>'ODOMETERS Halba'!J166</f>
        <v>1435</v>
      </c>
      <c r="D170" s="52">
        <v>1.1171</v>
      </c>
      <c r="E170" s="53">
        <f>'Daily Halba'!$C170*'Daily Halba'!$D170</f>
        <v>1603.0384999999999</v>
      </c>
      <c r="F170" s="54">
        <f>'ODOMETERS Halba'!K166</f>
        <v>1077</v>
      </c>
      <c r="G170" s="52">
        <v>1.1171</v>
      </c>
      <c r="H170" s="53">
        <f>'Daily Halba'!$F170*'Daily Halba'!$G170</f>
        <v>1203.1167</v>
      </c>
      <c r="I170" s="54">
        <f>'Daily Halba'!$C170+'Daily Halba'!$F170</f>
        <v>2512</v>
      </c>
      <c r="J170" s="55">
        <f>'Daily Halba'!$I170*'Daily Halba'!$G170</f>
        <v>2806.1552000000001</v>
      </c>
      <c r="K170" s="56">
        <f>'ODOMETERS Halba'!L166</f>
        <v>3408</v>
      </c>
      <c r="L170" s="57">
        <v>1.042</v>
      </c>
      <c r="M170" s="58">
        <f>'Daily Halba'!$K170*'Daily Halba'!$L170</f>
        <v>3551.136</v>
      </c>
      <c r="N170" s="71">
        <f>5+250/89.7</f>
        <v>7.787068004459309</v>
      </c>
      <c r="O170" s="71">
        <f>400/89.7</f>
        <v>4.4593088071348941</v>
      </c>
      <c r="P170" s="71"/>
      <c r="Q170" s="71">
        <v>10</v>
      </c>
      <c r="R170" s="71"/>
      <c r="S170" s="71">
        <v>2035</v>
      </c>
      <c r="T170" s="71">
        <f>200/89.7</f>
        <v>2.229654403567447</v>
      </c>
      <c r="U170" s="61">
        <f>SUM('Daily Halba'!$E170,'Daily Halba'!$H170,$M170:$T170)</f>
        <v>8416.7672312151608</v>
      </c>
      <c r="V170" s="22"/>
      <c r="W170" s="62">
        <f>20+2500*1.042+5+10+12</f>
        <v>2652</v>
      </c>
      <c r="X170" s="62"/>
      <c r="Y170" s="62">
        <f>(20+10+10+45+28)*1.1171+45*1.042+175*1.042</f>
        <v>355.47230000000002</v>
      </c>
      <c r="Z170" s="62">
        <v>6</v>
      </c>
      <c r="AA170" s="63"/>
      <c r="AB170" s="64"/>
      <c r="AC170" s="64"/>
      <c r="AD170" s="64"/>
      <c r="AE170" s="65">
        <f t="shared" si="0"/>
        <v>0</v>
      </c>
      <c r="AF170" s="66"/>
      <c r="AG170" s="66">
        <v>200</v>
      </c>
      <c r="AH170" s="66"/>
      <c r="AI170" s="66"/>
      <c r="AJ170" s="66"/>
      <c r="AK170" s="66">
        <f>900/89.7</f>
        <v>10.033444816053512</v>
      </c>
      <c r="AL170" s="66"/>
      <c r="AM170" s="66"/>
      <c r="AN170" s="67">
        <f t="shared" si="1"/>
        <v>210.0334448160535</v>
      </c>
      <c r="AO170" s="66"/>
      <c r="AP170" s="68">
        <f t="shared" si="2"/>
        <v>3223.5057448160533</v>
      </c>
      <c r="AQ170" s="69"/>
      <c r="AR170" s="22"/>
      <c r="AS170" s="70">
        <f>'Daily Halba'!$U170-'Daily Halba'!$AP170</f>
        <v>5193.2614863991075</v>
      </c>
      <c r="AT170" s="5"/>
      <c r="AU170" s="5"/>
      <c r="AV170" s="19"/>
    </row>
    <row r="171" spans="1:49" ht="12.75" customHeight="1" x14ac:dyDescent="0.3">
      <c r="A171" s="49">
        <v>46093</v>
      </c>
      <c r="B171" s="77"/>
      <c r="C171" s="51">
        <f>'ODOMETERS Halba'!J167</f>
        <v>2018</v>
      </c>
      <c r="D171" s="52">
        <v>1.1171</v>
      </c>
      <c r="E171" s="53">
        <f>'Daily Halba'!$C171*'Daily Halba'!$D171</f>
        <v>2254.3078</v>
      </c>
      <c r="F171" s="54">
        <f>'ODOMETERS Halba'!K167</f>
        <v>1387</v>
      </c>
      <c r="G171" s="52">
        <v>1.1171</v>
      </c>
      <c r="H171" s="53">
        <f>'Daily Halba'!$F171*'Daily Halba'!$G171</f>
        <v>1549.4177</v>
      </c>
      <c r="I171" s="54">
        <f>'Daily Halba'!$C171+'Daily Halba'!$F171</f>
        <v>3405</v>
      </c>
      <c r="J171" s="55">
        <f>'Daily Halba'!$I171*'Daily Halba'!$G171</f>
        <v>3803.7255</v>
      </c>
      <c r="K171" s="56">
        <f>'ODOMETERS Halba'!L167</f>
        <v>5989</v>
      </c>
      <c r="L171" s="57">
        <v>1.042</v>
      </c>
      <c r="M171" s="58">
        <f>'Daily Halba'!$K171*'Daily Halba'!$L171</f>
        <v>6240.5380000000005</v>
      </c>
      <c r="N171" s="71">
        <f>13+400/89.7</f>
        <v>17.459308807134896</v>
      </c>
      <c r="O171" s="71">
        <f>(400+300+400+800+400+300)/89.7</f>
        <v>28.985507246376812</v>
      </c>
      <c r="P171" s="71">
        <f>18+18+36</f>
        <v>72</v>
      </c>
      <c r="Q171" s="71"/>
      <c r="R171" s="71"/>
      <c r="S171" s="71">
        <f>6420/89.7+3900</f>
        <v>3971.5719063545152</v>
      </c>
      <c r="T171" s="71">
        <f>400/89.7</f>
        <v>4.4593088071348941</v>
      </c>
      <c r="U171" s="61">
        <f>SUM('Daily Halba'!$E171,'Daily Halba'!$H171,$M171:$T171)</f>
        <v>14138.73953121516</v>
      </c>
      <c r="V171" s="22"/>
      <c r="W171" s="62">
        <f>2000/89.7+30+30+4+5+20+20+10+4000*1.042+32+950*1.042+1950/89.7</f>
        <v>5352.9356744704573</v>
      </c>
      <c r="X171" s="62"/>
      <c r="Y171" s="62">
        <f>(19+10+28.5+20+25+20+20+20)*1.1171+30*1.042</f>
        <v>212.78874999999999</v>
      </c>
      <c r="Z171" s="62">
        <v>52</v>
      </c>
      <c r="AA171" s="63"/>
      <c r="AB171" s="64"/>
      <c r="AC171" s="64">
        <v>265</v>
      </c>
      <c r="AD171" s="64"/>
      <c r="AE171" s="65">
        <f t="shared" si="0"/>
        <v>265</v>
      </c>
      <c r="AF171" s="66"/>
      <c r="AG171" s="66">
        <v>150</v>
      </c>
      <c r="AH171" s="66"/>
      <c r="AI171" s="66"/>
      <c r="AJ171" s="66"/>
      <c r="AK171" s="66">
        <v>20</v>
      </c>
      <c r="AL171" s="66"/>
      <c r="AM171" s="66"/>
      <c r="AN171" s="67">
        <f t="shared" si="1"/>
        <v>170</v>
      </c>
      <c r="AO171" s="66"/>
      <c r="AP171" s="68">
        <f>SUM(W171:Z171,AE171,AN171,AO171)</f>
        <v>6052.7244244704571</v>
      </c>
      <c r="AQ171" s="69"/>
      <c r="AR171" s="22"/>
      <c r="AS171" s="70">
        <f>'Daily Halba'!$U171-'Daily Halba'!$AP171</f>
        <v>8086.0151067447032</v>
      </c>
      <c r="AT171" s="5"/>
      <c r="AU171" s="5"/>
      <c r="AV171" s="5"/>
      <c r="AW171" s="237"/>
    </row>
    <row r="172" spans="1:49" ht="12.75" customHeight="1" x14ac:dyDescent="0.3">
      <c r="A172" s="49">
        <v>46094</v>
      </c>
      <c r="B172" s="77" t="s">
        <v>24</v>
      </c>
      <c r="C172" s="51">
        <f>'ODOMETERS Halba'!J168</f>
        <v>877</v>
      </c>
      <c r="D172" s="52">
        <v>1.1171</v>
      </c>
      <c r="E172" s="53">
        <f>'Daily Halba'!$C172*'Daily Halba'!$D172</f>
        <v>979.69669999999996</v>
      </c>
      <c r="F172" s="54">
        <f>'ODOMETERS Halba'!K168</f>
        <v>470</v>
      </c>
      <c r="G172" s="52">
        <v>1.1171</v>
      </c>
      <c r="H172" s="53">
        <f>'Daily Halba'!$F172*'Daily Halba'!$G172</f>
        <v>525.03700000000003</v>
      </c>
      <c r="I172" s="54">
        <f>'Daily Halba'!$C172+'Daily Halba'!$F172</f>
        <v>1347</v>
      </c>
      <c r="J172" s="55">
        <f>'Daily Halba'!$I172*'Daily Halba'!$G172</f>
        <v>1504.7337</v>
      </c>
      <c r="K172" s="56">
        <f>'ODOMETERS Halba'!L168</f>
        <v>259</v>
      </c>
      <c r="L172" s="57">
        <v>1.042</v>
      </c>
      <c r="M172" s="58">
        <f>'Daily Halba'!$K172*'Daily Halba'!$L172</f>
        <v>269.87799999999999</v>
      </c>
      <c r="N172" s="71">
        <f>300/89.7+600/89.7+250/89.7+300/89.7</f>
        <v>16.164994425863991</v>
      </c>
      <c r="O172" s="71">
        <f>300/89.7</f>
        <v>3.3444816053511706</v>
      </c>
      <c r="P172" s="71"/>
      <c r="Q172" s="71">
        <v>6</v>
      </c>
      <c r="R172" s="71"/>
      <c r="S172" s="71"/>
      <c r="T172" s="71"/>
      <c r="U172" s="61">
        <f>SUM('Daily Halba'!$E172,'Daily Halba'!$H172,$M172:$T172)</f>
        <v>1800.1211760312151</v>
      </c>
      <c r="V172" s="22"/>
      <c r="W172" s="62">
        <f>20+27+10</f>
        <v>57</v>
      </c>
      <c r="X172" s="62"/>
      <c r="Y172" s="62">
        <f>28.5*1.1171</f>
        <v>31.837350000000001</v>
      </c>
      <c r="Z172" s="62"/>
      <c r="AA172" s="63"/>
      <c r="AB172" s="64"/>
      <c r="AC172" s="64"/>
      <c r="AD172" s="64"/>
      <c r="AE172" s="65">
        <f t="shared" si="0"/>
        <v>0</v>
      </c>
      <c r="AF172" s="66"/>
      <c r="AG172" s="66"/>
      <c r="AH172" s="66"/>
      <c r="AI172" s="66"/>
      <c r="AJ172" s="66"/>
      <c r="AK172" s="66"/>
      <c r="AL172" s="66"/>
      <c r="AM172" s="66"/>
      <c r="AN172" s="67">
        <f t="shared" si="1"/>
        <v>0</v>
      </c>
      <c r="AO172" s="66"/>
      <c r="AP172" s="68">
        <f>SUM(W172:Z172,AE172,AN172,AO172)</f>
        <v>88.837350000000001</v>
      </c>
      <c r="AQ172" s="69"/>
      <c r="AR172" s="22"/>
      <c r="AS172" s="70">
        <f>'Daily Halba'!$U172-'Daily Halba'!$AP172</f>
        <v>1711.2838260312151</v>
      </c>
      <c r="AT172" s="5"/>
      <c r="AU172" s="5"/>
      <c r="AV172" s="19"/>
    </row>
    <row r="173" spans="1:49" ht="12.75" customHeight="1" x14ac:dyDescent="0.3">
      <c r="A173" s="49">
        <v>46094</v>
      </c>
      <c r="B173" s="77" t="s">
        <v>25</v>
      </c>
      <c r="C173" s="51">
        <f>'ODOMETERS Halba'!J169</f>
        <v>906</v>
      </c>
      <c r="D173" s="52">
        <v>1.1878</v>
      </c>
      <c r="E173" s="53">
        <f>'Daily Halba'!$C173*'Daily Halba'!$D173</f>
        <v>1076.1468</v>
      </c>
      <c r="F173" s="54">
        <f>'ODOMETERS Halba'!K169</f>
        <v>681</v>
      </c>
      <c r="G173" s="52">
        <v>1.1878</v>
      </c>
      <c r="H173" s="53">
        <f>'Daily Halba'!$F173*'Daily Halba'!$G173</f>
        <v>808.89179999999999</v>
      </c>
      <c r="I173" s="54">
        <f>'Daily Halba'!$C173+'Daily Halba'!$F173</f>
        <v>1587</v>
      </c>
      <c r="J173" s="55">
        <f>'Daily Halba'!$I173*'Daily Halba'!$G173</f>
        <v>1885.0385999999999</v>
      </c>
      <c r="K173" s="56">
        <f>'ODOMETERS Halba'!L169</f>
        <v>2761</v>
      </c>
      <c r="L173" s="57">
        <v>1.1158999999999999</v>
      </c>
      <c r="M173" s="58">
        <f>'Daily Halba'!$K173*'Daily Halba'!$L173</f>
        <v>3080.9998999999998</v>
      </c>
      <c r="N173" s="71">
        <v>3</v>
      </c>
      <c r="O173" s="71">
        <v>16</v>
      </c>
      <c r="P173" s="71">
        <v>36</v>
      </c>
      <c r="Q173" s="71"/>
      <c r="R173" s="71"/>
      <c r="S173" s="71">
        <v>20</v>
      </c>
      <c r="T173" s="71">
        <v>5</v>
      </c>
      <c r="U173" s="61">
        <f>SUM('Daily Halba'!$E173,'Daily Halba'!$H173,$M173:$T173)</f>
        <v>5046.0384999999997</v>
      </c>
      <c r="V173" s="22"/>
      <c r="W173" s="62">
        <f>40+2790+21</f>
        <v>2851</v>
      </c>
      <c r="X173" s="62"/>
      <c r="Y173" s="62">
        <v>116.4</v>
      </c>
      <c r="Z173" s="62">
        <v>12</v>
      </c>
      <c r="AA173" s="63"/>
      <c r="AB173" s="64"/>
      <c r="AC173" s="64"/>
      <c r="AD173" s="64"/>
      <c r="AE173" s="65">
        <f t="shared" si="0"/>
        <v>0</v>
      </c>
      <c r="AF173" s="66"/>
      <c r="AG173" s="66"/>
      <c r="AH173" s="66"/>
      <c r="AI173" s="66"/>
      <c r="AJ173" s="66"/>
      <c r="AK173" s="66">
        <v>3</v>
      </c>
      <c r="AL173" s="66"/>
      <c r="AM173" s="66"/>
      <c r="AN173" s="67">
        <f t="shared" si="1"/>
        <v>3</v>
      </c>
      <c r="AO173" s="66"/>
      <c r="AP173" s="68">
        <f t="shared" si="2"/>
        <v>2982.4</v>
      </c>
      <c r="AQ173" s="69"/>
      <c r="AR173" s="22"/>
      <c r="AS173" s="70">
        <f>'Daily Halba'!$U173-'Daily Halba'!$AP173</f>
        <v>2063.6384999999996</v>
      </c>
      <c r="AT173" s="5"/>
      <c r="AU173" s="5"/>
      <c r="AV173" s="5"/>
    </row>
    <row r="174" spans="1:49" ht="12.75" customHeight="1" x14ac:dyDescent="0.3">
      <c r="A174" s="49">
        <v>46095</v>
      </c>
      <c r="B174" s="77"/>
      <c r="C174" s="51">
        <f>'ODOMETERS Halba'!J170</f>
        <v>1425</v>
      </c>
      <c r="D174" s="52">
        <v>1.1878</v>
      </c>
      <c r="E174" s="53">
        <f>'Daily Halba'!$C174*'Daily Halba'!$D174</f>
        <v>1692.615</v>
      </c>
      <c r="F174" s="54">
        <f>'ODOMETERS Halba'!K170</f>
        <v>1161</v>
      </c>
      <c r="G174" s="52">
        <v>1.1878</v>
      </c>
      <c r="H174" s="53">
        <f>'Daily Halba'!$F174*'Daily Halba'!$G174</f>
        <v>1379.0357999999999</v>
      </c>
      <c r="I174" s="54">
        <f>'Daily Halba'!$C174+'Daily Halba'!$F174</f>
        <v>2586</v>
      </c>
      <c r="J174" s="55">
        <f>'Daily Halba'!$I174*'Daily Halba'!$G174</f>
        <v>3071.6507999999999</v>
      </c>
      <c r="K174" s="56">
        <f>'ODOMETERS Halba'!L170</f>
        <v>1144</v>
      </c>
      <c r="L174" s="57">
        <v>1.1158999999999999</v>
      </c>
      <c r="M174" s="58">
        <f>'Daily Halba'!$K174*'Daily Halba'!$L174</f>
        <v>1276.5895999999998</v>
      </c>
      <c r="N174" s="71">
        <f>250/89.7+300/89.7+300/89.7+12</f>
        <v>21.476031215161647</v>
      </c>
      <c r="O174" s="71"/>
      <c r="P174" s="71">
        <f>38+1700*3/89.7</f>
        <v>94.856187290969899</v>
      </c>
      <c r="Q174" s="71"/>
      <c r="R174" s="71"/>
      <c r="S174" s="71">
        <f>65+18+3068+2510+19</f>
        <v>5680</v>
      </c>
      <c r="T174" s="71">
        <f>(250+150+200)/89.7</f>
        <v>6.6889632107023411</v>
      </c>
      <c r="U174" s="61">
        <f>SUM('Daily Halba'!$E174,'Daily Halba'!$H174,$M174:$T174)</f>
        <v>10151.261581716835</v>
      </c>
      <c r="V174" s="22"/>
      <c r="W174" s="62">
        <f>220*1.1159+20+250*1.1159+20+20+10+10+167+44+20+9+133+20+5+30</f>
        <v>1032.473</v>
      </c>
      <c r="X174" s="62"/>
      <c r="Y174" s="62">
        <f>(30+9+18+18+30+19+30)*1.1878</f>
        <v>182.9212</v>
      </c>
      <c r="Z174" s="62">
        <v>-28</v>
      </c>
      <c r="AA174" s="63"/>
      <c r="AB174" s="64"/>
      <c r="AC174" s="64"/>
      <c r="AD174" s="64"/>
      <c r="AE174" s="65">
        <f t="shared" si="0"/>
        <v>0</v>
      </c>
      <c r="AF174" s="66"/>
      <c r="AG174" s="66"/>
      <c r="AH174" s="66"/>
      <c r="AI174" s="66"/>
      <c r="AJ174" s="66"/>
      <c r="AK174" s="66"/>
      <c r="AL174" s="66"/>
      <c r="AM174" s="66"/>
      <c r="AN174" s="67">
        <f t="shared" si="1"/>
        <v>0</v>
      </c>
      <c r="AO174" s="66"/>
      <c r="AP174" s="68">
        <f t="shared" si="2"/>
        <v>1187.3942</v>
      </c>
      <c r="AQ174" s="69"/>
      <c r="AR174" s="22"/>
      <c r="AS174" s="70">
        <f>'Daily Halba'!$U174-'Daily Halba'!$AP174</f>
        <v>8963.8673817168346</v>
      </c>
      <c r="AT174" s="5"/>
      <c r="AU174" s="5"/>
      <c r="AV174" s="19"/>
    </row>
    <row r="175" spans="1:49" ht="12.75" customHeight="1" x14ac:dyDescent="0.3">
      <c r="A175" s="49">
        <v>46096</v>
      </c>
      <c r="B175" s="77"/>
      <c r="C175" s="51">
        <f>'ODOMETERS Halba'!J171</f>
        <v>1574</v>
      </c>
      <c r="D175" s="52">
        <v>1.1878</v>
      </c>
      <c r="E175" s="53">
        <f>'Daily Halba'!$C175*'Daily Halba'!$D175</f>
        <v>1869.5971999999999</v>
      </c>
      <c r="F175" s="54">
        <f>'ODOMETERS Halba'!K171</f>
        <v>972</v>
      </c>
      <c r="G175" s="52">
        <v>1.1878</v>
      </c>
      <c r="H175" s="53">
        <f>'Daily Halba'!$F175*'Daily Halba'!$G175</f>
        <v>1154.5416</v>
      </c>
      <c r="I175" s="54">
        <f>'Daily Halba'!$C175+'Daily Halba'!$F175</f>
        <v>2546</v>
      </c>
      <c r="J175" s="55">
        <f>'Daily Halba'!$I175*'Daily Halba'!$G175</f>
        <v>3024.1387999999997</v>
      </c>
      <c r="K175" s="56">
        <f>'ODOMETERS Halba'!L171</f>
        <v>415</v>
      </c>
      <c r="L175" s="57">
        <v>1.1158999999999999</v>
      </c>
      <c r="M175" s="58">
        <f>'Daily Halba'!$K175*'Daily Halba'!$L175</f>
        <v>463.09849999999994</v>
      </c>
      <c r="N175" s="71">
        <v>9</v>
      </c>
      <c r="O175" s="71">
        <v>10</v>
      </c>
      <c r="P175" s="71">
        <v>114</v>
      </c>
      <c r="Q175" s="71"/>
      <c r="R175" s="71"/>
      <c r="S175" s="71">
        <v>64</v>
      </c>
      <c r="T175" s="71"/>
      <c r="U175" s="61">
        <f>SUM('Daily Halba'!$E175,'Daily Halba'!$H175,$M175:$T175)</f>
        <v>3684.2372999999998</v>
      </c>
      <c r="V175" s="22"/>
      <c r="W175" s="62">
        <v>263</v>
      </c>
      <c r="X175" s="62"/>
      <c r="Y175" s="62">
        <v>141.34</v>
      </c>
      <c r="Z175" s="79">
        <v>-30</v>
      </c>
      <c r="AA175" s="63"/>
      <c r="AB175" s="64"/>
      <c r="AC175" s="64"/>
      <c r="AD175" s="64"/>
      <c r="AE175" s="65">
        <f t="shared" si="0"/>
        <v>0</v>
      </c>
      <c r="AF175" s="66"/>
      <c r="AG175" s="66"/>
      <c r="AH175" s="66"/>
      <c r="AI175" s="66"/>
      <c r="AJ175" s="66"/>
      <c r="AK175" s="66"/>
      <c r="AL175" s="66"/>
      <c r="AM175" s="66"/>
      <c r="AN175" s="67">
        <f t="shared" si="1"/>
        <v>0</v>
      </c>
      <c r="AO175" s="66"/>
      <c r="AP175" s="68">
        <f t="shared" si="2"/>
        <v>374.34000000000003</v>
      </c>
      <c r="AQ175" s="69"/>
      <c r="AR175" s="22"/>
      <c r="AS175" s="70">
        <f>'Daily Halba'!$U175-'Daily Halba'!$AP175</f>
        <v>3309.8972999999996</v>
      </c>
      <c r="AT175" s="5"/>
      <c r="AU175" s="5"/>
      <c r="AV175" s="5"/>
    </row>
    <row r="176" spans="1:49" ht="12.75" customHeight="1" x14ac:dyDescent="0.3">
      <c r="A176" s="49">
        <v>46097</v>
      </c>
      <c r="B176" s="77"/>
      <c r="C176" s="51">
        <f>'ODOMETERS Halba'!J172</f>
        <v>2294</v>
      </c>
      <c r="D176" s="52">
        <v>1.1878</v>
      </c>
      <c r="E176" s="53">
        <f>'Daily Halba'!$C176*'Daily Halba'!$D176</f>
        <v>2724.8132000000001</v>
      </c>
      <c r="F176" s="54">
        <f>'ODOMETERS Halba'!K172</f>
        <v>3022</v>
      </c>
      <c r="G176" s="52">
        <v>1.1878</v>
      </c>
      <c r="H176" s="53">
        <f>'Daily Halba'!$F176*'Daily Halba'!$G176</f>
        <v>3589.5315999999998</v>
      </c>
      <c r="I176" s="54">
        <f>'Daily Halba'!$C176+'Daily Halba'!$F176</f>
        <v>5316</v>
      </c>
      <c r="J176" s="55">
        <f>'Daily Halba'!$I176*'Daily Halba'!$G176</f>
        <v>6314.3447999999999</v>
      </c>
      <c r="K176" s="56">
        <f>'ODOMETERS Halba'!L172</f>
        <v>638</v>
      </c>
      <c r="L176" s="57">
        <v>1.1158999999999999</v>
      </c>
      <c r="M176" s="58">
        <f>'Daily Halba'!$K176*'Daily Halba'!$L176</f>
        <v>711.94419999999991</v>
      </c>
      <c r="N176" s="71">
        <f>(250+300+600+300)/89.7</f>
        <v>16.164994425863991</v>
      </c>
      <c r="O176" s="71">
        <f>(300+200+200+300+400)/89.7+5</f>
        <v>20.607580824972128</v>
      </c>
      <c r="P176" s="71">
        <f>19*2</f>
        <v>38</v>
      </c>
      <c r="Q176" s="71"/>
      <c r="R176" s="71"/>
      <c r="S176" s="71"/>
      <c r="T176" s="71">
        <f>300/89.7</f>
        <v>3.3444816053511706</v>
      </c>
      <c r="U176" s="61">
        <f>SUM('Daily Halba'!$E176,'Daily Halba'!$H176,$M176:$T176)</f>
        <v>7104.4060568561881</v>
      </c>
      <c r="V176" s="22"/>
      <c r="W176" s="62">
        <f>10+20+40+10+40+18+5+1000/89.7+25+58+2</f>
        <v>239.14827201783723</v>
      </c>
      <c r="X176" s="79"/>
      <c r="Y176" s="62">
        <f>(19+20+20+173+19)*1.1878</f>
        <v>298.13779999999997</v>
      </c>
      <c r="Z176" s="79">
        <v>12</v>
      </c>
      <c r="AA176" s="63"/>
      <c r="AB176" s="64"/>
      <c r="AC176" s="64">
        <f>314</f>
        <v>314</v>
      </c>
      <c r="AD176" s="64"/>
      <c r="AE176" s="65">
        <f t="shared" si="0"/>
        <v>314</v>
      </c>
      <c r="AF176" s="66"/>
      <c r="AG176" s="66"/>
      <c r="AH176" s="66"/>
      <c r="AI176" s="66">
        <v>30</v>
      </c>
      <c r="AJ176" s="66"/>
      <c r="AK176" s="66"/>
      <c r="AL176" s="66"/>
      <c r="AM176" s="66"/>
      <c r="AN176" s="67">
        <f t="shared" si="1"/>
        <v>30</v>
      </c>
      <c r="AO176" s="66"/>
      <c r="AP176" s="68">
        <f t="shared" si="2"/>
        <v>893.28607201783723</v>
      </c>
      <c r="AQ176" s="69"/>
      <c r="AR176" s="22"/>
      <c r="AS176" s="70">
        <f>'Daily Halba'!$U176-'Daily Halba'!$AP176</f>
        <v>6211.1199848383512</v>
      </c>
      <c r="AT176" s="5"/>
      <c r="AU176" s="5"/>
      <c r="AV176" s="5"/>
    </row>
    <row r="177" spans="1:48" ht="12.75" customHeight="1" x14ac:dyDescent="0.3">
      <c r="A177" s="49">
        <v>46098</v>
      </c>
      <c r="B177" s="77" t="s">
        <v>24</v>
      </c>
      <c r="C177" s="51">
        <f>'ODOMETERS Halba'!J173</f>
        <v>1312</v>
      </c>
      <c r="D177" s="52">
        <v>1.1878</v>
      </c>
      <c r="E177" s="53">
        <f>'Daily Halba'!$C177*'Daily Halba'!$D177</f>
        <v>1558.3935999999999</v>
      </c>
      <c r="F177" s="54">
        <f>'ODOMETERS Halba'!K173</f>
        <v>726</v>
      </c>
      <c r="G177" s="52">
        <v>1.1878</v>
      </c>
      <c r="H177" s="53">
        <f>'Daily Halba'!$F177*'Daily Halba'!$G177</f>
        <v>862.34280000000001</v>
      </c>
      <c r="I177" s="54">
        <f>'Daily Halba'!$C177+'Daily Halba'!$F177</f>
        <v>2038</v>
      </c>
      <c r="J177" s="55">
        <f>'Daily Halba'!$I177*'Daily Halba'!$G177</f>
        <v>2420.7363999999998</v>
      </c>
      <c r="K177" s="56">
        <f>'ODOMETERS Halba'!L173</f>
        <v>406</v>
      </c>
      <c r="L177" s="57">
        <v>1.1158999999999999</v>
      </c>
      <c r="M177" s="58">
        <f>'Daily Halba'!$K177*'Daily Halba'!$L177</f>
        <v>453.05539999999996</v>
      </c>
      <c r="N177" s="71">
        <f>9+900/89.7</f>
        <v>19.03344481605351</v>
      </c>
      <c r="O177" s="71">
        <f>1000/89.7</f>
        <v>11.148272017837234</v>
      </c>
      <c r="P177" s="71"/>
      <c r="Q177" s="71">
        <v>4</v>
      </c>
      <c r="R177" s="71"/>
      <c r="S177" s="71">
        <v>30</v>
      </c>
      <c r="T177" s="71">
        <f>150/89.7</f>
        <v>1.6722408026755853</v>
      </c>
      <c r="U177" s="61">
        <f>SUM('Daily Halba'!$E177,'Daily Halba'!$H177,$M177:$T177)</f>
        <v>2939.6457576365665</v>
      </c>
      <c r="V177" s="22"/>
      <c r="W177" s="62">
        <f>30+10+30+146*1.1159+40+30+10</f>
        <v>312.92139999999995</v>
      </c>
      <c r="X177" s="62"/>
      <c r="Y177" s="62">
        <f>(37+18.5+20+18.5)*1.1878</f>
        <v>111.6532</v>
      </c>
      <c r="Z177" s="79"/>
      <c r="AA177" s="63"/>
      <c r="AB177" s="64"/>
      <c r="AC177" s="64"/>
      <c r="AD177" s="64"/>
      <c r="AE177" s="65">
        <f t="shared" si="0"/>
        <v>0</v>
      </c>
      <c r="AF177" s="66"/>
      <c r="AG177" s="66">
        <v>150</v>
      </c>
      <c r="AH177" s="66"/>
      <c r="AI177" s="66"/>
      <c r="AJ177" s="66"/>
      <c r="AK177" s="66"/>
      <c r="AL177" s="66"/>
      <c r="AM177" s="66"/>
      <c r="AN177" s="67">
        <f t="shared" si="1"/>
        <v>150</v>
      </c>
      <c r="AO177" s="66"/>
      <c r="AP177" s="68">
        <f t="shared" si="2"/>
        <v>574.57459999999992</v>
      </c>
      <c r="AQ177" s="69"/>
      <c r="AR177" s="22"/>
      <c r="AS177" s="70">
        <f>'Daily Halba'!$U177-'Daily Halba'!$AP177</f>
        <v>2365.0711576365666</v>
      </c>
      <c r="AT177" s="5"/>
      <c r="AU177" s="5"/>
      <c r="AV177" s="19"/>
    </row>
    <row r="178" spans="1:48" ht="12.75" customHeight="1" x14ac:dyDescent="0.3">
      <c r="A178" s="49">
        <v>46098</v>
      </c>
      <c r="B178" s="77" t="s">
        <v>25</v>
      </c>
      <c r="C178" s="51">
        <f>'ODOMETERS Halba'!J174</f>
        <v>926</v>
      </c>
      <c r="D178" s="52">
        <v>1.2352000000000001</v>
      </c>
      <c r="E178" s="53">
        <f>'Daily Halba'!$C178*'Daily Halba'!$D178</f>
        <v>1143.7952</v>
      </c>
      <c r="F178" s="54">
        <f>'ODOMETERS Halba'!K174</f>
        <v>749</v>
      </c>
      <c r="G178" s="52">
        <v>1.2352000000000001</v>
      </c>
      <c r="H178" s="53">
        <f>'Daily Halba'!$F178*'Daily Halba'!$G178</f>
        <v>925.16480000000001</v>
      </c>
      <c r="I178" s="54">
        <f>'Daily Halba'!$C178+'Daily Halba'!$F178</f>
        <v>1675</v>
      </c>
      <c r="J178" s="55">
        <f>'Daily Halba'!$I178*'Daily Halba'!$G178</f>
        <v>2068.96</v>
      </c>
      <c r="K178" s="56">
        <f>'ODOMETERS Halba'!L174</f>
        <v>817</v>
      </c>
      <c r="L178" s="57">
        <v>1.1433</v>
      </c>
      <c r="M178" s="58">
        <f>'Daily Halba'!$K178*'Daily Halba'!$L178</f>
        <v>934.0761</v>
      </c>
      <c r="N178" s="71">
        <f>250/89.7</f>
        <v>2.7870680044593086</v>
      </c>
      <c r="O178" s="71">
        <f>(3000/89.7+10)</f>
        <v>43.444816053511701</v>
      </c>
      <c r="P178" s="71">
        <f>19*2</f>
        <v>38</v>
      </c>
      <c r="Q178" s="71"/>
      <c r="R178" s="71"/>
      <c r="S178" s="71">
        <f>200+335+17+800/89.7</f>
        <v>560.91861761426981</v>
      </c>
      <c r="T178" s="71">
        <f>(200/89.7)</f>
        <v>2.229654403567447</v>
      </c>
      <c r="U178" s="61">
        <f>SUM('Daily Halba'!$E178,'Daily Halba'!$H178,$M178:$T178)</f>
        <v>3650.4162560758086</v>
      </c>
      <c r="V178" s="22"/>
      <c r="W178" s="62">
        <f>25+10+161*1.1433+437*1.1433+20+10+6</f>
        <v>754.6934</v>
      </c>
      <c r="X178" s="79"/>
      <c r="Y178" s="62">
        <f>(40*1.2352)+355</f>
        <v>404.40800000000002</v>
      </c>
      <c r="Z178" s="79"/>
      <c r="AA178" s="63"/>
      <c r="AB178" s="64"/>
      <c r="AC178" s="64"/>
      <c r="AD178" s="64"/>
      <c r="AE178" s="65">
        <f t="shared" si="0"/>
        <v>0</v>
      </c>
      <c r="AF178" s="66"/>
      <c r="AG178" s="66"/>
      <c r="AH178" s="66"/>
      <c r="AI178" s="66"/>
      <c r="AJ178" s="66"/>
      <c r="AK178" s="66"/>
      <c r="AL178" s="66"/>
      <c r="AM178" s="66"/>
      <c r="AN178" s="67">
        <f t="shared" si="1"/>
        <v>0</v>
      </c>
      <c r="AO178" s="66"/>
      <c r="AP178" s="68">
        <f t="shared" si="2"/>
        <v>1159.1014</v>
      </c>
      <c r="AQ178" s="69"/>
      <c r="AR178" s="22"/>
      <c r="AS178" s="70">
        <f>'Daily Halba'!$U178-'Daily Halba'!$AP178</f>
        <v>2491.3148560758086</v>
      </c>
      <c r="AT178" s="5"/>
      <c r="AU178" s="5"/>
      <c r="AV178" s="5"/>
    </row>
    <row r="179" spans="1:48" ht="12.75" customHeight="1" x14ac:dyDescent="0.3">
      <c r="A179" s="49">
        <v>46099</v>
      </c>
      <c r="B179" s="77"/>
      <c r="C179" s="51">
        <f>'ODOMETERS Halba'!J175</f>
        <v>2061</v>
      </c>
      <c r="D179" s="52">
        <v>1.2352000000000001</v>
      </c>
      <c r="E179" s="53">
        <f>'Daily Halba'!$C179*'Daily Halba'!$D179</f>
        <v>2545.7472000000002</v>
      </c>
      <c r="F179" s="54">
        <f>'ODOMETERS Halba'!K175</f>
        <v>1668</v>
      </c>
      <c r="G179" s="52">
        <v>1.2352000000000001</v>
      </c>
      <c r="H179" s="53">
        <f>'Daily Halba'!$F179*'Daily Halba'!$G179</f>
        <v>2060.3136</v>
      </c>
      <c r="I179" s="54">
        <f>'Daily Halba'!$C179+'Daily Halba'!$F179</f>
        <v>3729</v>
      </c>
      <c r="J179" s="55">
        <f>'Daily Halba'!$I179*'Daily Halba'!$G179</f>
        <v>4606.0608000000002</v>
      </c>
      <c r="K179" s="56">
        <f>'ODOMETERS Halba'!L175</f>
        <v>516</v>
      </c>
      <c r="L179" s="57">
        <v>1.1433</v>
      </c>
      <c r="M179" s="58">
        <f>'Daily Halba'!$K179*'Daily Halba'!$L179</f>
        <v>589.94280000000003</v>
      </c>
      <c r="N179" s="71">
        <f>1200/89.7</f>
        <v>13.377926421404682</v>
      </c>
      <c r="O179" s="71">
        <f>1500/89.7+800/89.7+5</f>
        <v>30.641025641025639</v>
      </c>
      <c r="P179" s="71">
        <v>19</v>
      </c>
      <c r="Q179" s="71"/>
      <c r="R179" s="71"/>
      <c r="S179" s="71"/>
      <c r="T179" s="71">
        <f>600/89.7</f>
        <v>6.6889632107023411</v>
      </c>
      <c r="U179" s="61">
        <f>SUM('Daily Halba'!$E179,'Daily Halba'!$H179,$M179:$T179)</f>
        <v>5265.7115152731321</v>
      </c>
      <c r="V179" s="22"/>
      <c r="W179" s="62">
        <f>10+20+10+70+11</f>
        <v>121</v>
      </c>
      <c r="X179" s="62"/>
      <c r="Y179" s="62">
        <f>(20+20+20+20)*1.2352</f>
        <v>98.816000000000003</v>
      </c>
      <c r="Z179" s="79"/>
      <c r="AA179" s="63"/>
      <c r="AB179" s="64"/>
      <c r="AC179" s="64"/>
      <c r="AD179" s="64"/>
      <c r="AE179" s="65">
        <f t="shared" si="0"/>
        <v>0</v>
      </c>
      <c r="AF179" s="66"/>
      <c r="AG179" s="66"/>
      <c r="AH179" s="66"/>
      <c r="AI179" s="66"/>
      <c r="AJ179" s="66"/>
      <c r="AK179" s="66"/>
      <c r="AL179" s="66"/>
      <c r="AM179" s="66"/>
      <c r="AN179" s="67">
        <f t="shared" si="1"/>
        <v>0</v>
      </c>
      <c r="AO179" s="66"/>
      <c r="AP179" s="68">
        <f t="shared" si="2"/>
        <v>219.816</v>
      </c>
      <c r="AQ179" s="69"/>
      <c r="AR179" s="22"/>
      <c r="AS179" s="70">
        <f>'Daily Halba'!$U179-'Daily Halba'!$AP179</f>
        <v>5045.8955152731323</v>
      </c>
      <c r="AT179" s="5"/>
      <c r="AU179" s="5"/>
      <c r="AV179" s="5"/>
    </row>
    <row r="180" spans="1:48" ht="12.75" customHeight="1" x14ac:dyDescent="0.3">
      <c r="A180" s="49">
        <v>46100</v>
      </c>
      <c r="B180" s="77" t="s">
        <v>24</v>
      </c>
      <c r="C180" s="51">
        <f>'ODOMETERS Halba'!J176</f>
        <v>1390</v>
      </c>
      <c r="D180" s="52">
        <v>1.2352000000000001</v>
      </c>
      <c r="E180" s="53">
        <f>'Daily Halba'!$C180*'Daily Halba'!$D180</f>
        <v>1716.9280000000001</v>
      </c>
      <c r="F180" s="54">
        <f>'ODOMETERS Halba'!K176</f>
        <v>926</v>
      </c>
      <c r="G180" s="52">
        <v>1.2352000000000001</v>
      </c>
      <c r="H180" s="53">
        <f>'Daily Halba'!$F180*'Daily Halba'!$G180</f>
        <v>1143.7952</v>
      </c>
      <c r="I180" s="54">
        <f>'Daily Halba'!$C180+'Daily Halba'!$F180</f>
        <v>2316</v>
      </c>
      <c r="J180" s="55">
        <f>'Daily Halba'!$I180*'Daily Halba'!$G180</f>
        <v>2860.7232000000004</v>
      </c>
      <c r="K180" s="56">
        <f>'ODOMETERS Halba'!L176</f>
        <v>206</v>
      </c>
      <c r="L180" s="57">
        <v>1.1433</v>
      </c>
      <c r="M180" s="58">
        <f>'Daily Halba'!$K180*'Daily Halba'!$L180</f>
        <v>235.5198</v>
      </c>
      <c r="N180" s="71">
        <f>6+6.5</f>
        <v>12.5</v>
      </c>
      <c r="O180" s="71">
        <f>4100/89.7</f>
        <v>45.707915273132663</v>
      </c>
      <c r="P180" s="71">
        <f>19+1750*2/89.7</f>
        <v>58.018952062430323</v>
      </c>
      <c r="Q180" s="71">
        <v>5</v>
      </c>
      <c r="R180" s="71"/>
      <c r="S180" s="71"/>
      <c r="T180" s="71">
        <f>300/89.7</f>
        <v>3.3444816053511706</v>
      </c>
      <c r="U180" s="61">
        <f>SUM('Daily Halba'!$E180,'Daily Halba'!$H180,$M180:$T180)</f>
        <v>3220.8143489409144</v>
      </c>
      <c r="V180" s="22"/>
      <c r="W180" s="62">
        <f>10+30+20+33+8+10</f>
        <v>111</v>
      </c>
      <c r="X180" s="62"/>
      <c r="Y180" s="62">
        <f>(30+20+47+20+27)*1.2352</f>
        <v>177.86880000000002</v>
      </c>
      <c r="Z180" s="79">
        <v>5</v>
      </c>
      <c r="AA180" s="63"/>
      <c r="AB180" s="64"/>
      <c r="AC180" s="64"/>
      <c r="AD180" s="64"/>
      <c r="AE180" s="65">
        <f t="shared" si="0"/>
        <v>0</v>
      </c>
      <c r="AF180" s="66"/>
      <c r="AG180" s="66"/>
      <c r="AH180" s="66"/>
      <c r="AI180" s="66">
        <v>8</v>
      </c>
      <c r="AJ180" s="66"/>
      <c r="AK180" s="66"/>
      <c r="AL180" s="66"/>
      <c r="AM180" s="66"/>
      <c r="AN180" s="67">
        <f t="shared" si="1"/>
        <v>8</v>
      </c>
      <c r="AO180" s="66"/>
      <c r="AP180" s="68">
        <f t="shared" si="2"/>
        <v>301.86880000000002</v>
      </c>
      <c r="AQ180" s="69"/>
      <c r="AR180" s="22"/>
      <c r="AS180" s="70">
        <f>'Daily Halba'!$U180-'Daily Halba'!$AP180</f>
        <v>2918.9455489409143</v>
      </c>
      <c r="AT180" s="5"/>
      <c r="AU180" s="5"/>
      <c r="AV180" s="5"/>
    </row>
    <row r="181" spans="1:48" ht="12.75" customHeight="1" x14ac:dyDescent="0.3">
      <c r="A181" s="49">
        <v>46100</v>
      </c>
      <c r="B181" s="77" t="s">
        <v>25</v>
      </c>
      <c r="C181" s="51">
        <f>'ODOMETERS Halba'!J177</f>
        <v>1191</v>
      </c>
      <c r="D181" s="52">
        <v>1.2759</v>
      </c>
      <c r="E181" s="53">
        <f>'Daily Halba'!$C181*'Daily Halba'!$D181</f>
        <v>1519.5969</v>
      </c>
      <c r="F181" s="54">
        <f>'ODOMETERS Halba'!K177</f>
        <v>1057</v>
      </c>
      <c r="G181" s="52">
        <v>1.2759</v>
      </c>
      <c r="H181" s="53">
        <f>'Daily Halba'!$F181*'Daily Halba'!$G181</f>
        <v>1348.6263000000001</v>
      </c>
      <c r="I181" s="54">
        <f>'Daily Halba'!$C181+'Daily Halba'!$F181</f>
        <v>2248</v>
      </c>
      <c r="J181" s="55">
        <f>'Daily Halba'!$I181*'Daily Halba'!$G181</f>
        <v>2868.2231999999999</v>
      </c>
      <c r="K181" s="56">
        <f>'ODOMETERS Halba'!L177</f>
        <v>386</v>
      </c>
      <c r="L181" s="57">
        <v>1.1828000000000001</v>
      </c>
      <c r="M181" s="58">
        <f>'Daily Halba'!$K181*'Daily Halba'!$L181</f>
        <v>456.56080000000003</v>
      </c>
      <c r="N181" s="71">
        <v>36</v>
      </c>
      <c r="O181" s="71">
        <v>8</v>
      </c>
      <c r="P181" s="71"/>
      <c r="Q181" s="71"/>
      <c r="R181" s="71"/>
      <c r="S181" s="71">
        <v>1670</v>
      </c>
      <c r="T181" s="71">
        <v>7.8</v>
      </c>
      <c r="U181" s="61">
        <f>SUM('Daily Halba'!$E181,'Daily Halba'!$H181,$M181:$T181)</f>
        <v>5046.5840000000007</v>
      </c>
      <c r="V181" s="22"/>
      <c r="W181" s="62">
        <f>397</f>
        <v>397</v>
      </c>
      <c r="X181" s="62"/>
      <c r="Y181" s="62">
        <f>195.85+189.24</f>
        <v>385.09000000000003</v>
      </c>
      <c r="Z181" s="79">
        <v>5</v>
      </c>
      <c r="AA181" s="63"/>
      <c r="AB181" s="64"/>
      <c r="AC181" s="64">
        <v>163</v>
      </c>
      <c r="AD181" s="64"/>
      <c r="AE181" s="65">
        <f t="shared" si="0"/>
        <v>163</v>
      </c>
      <c r="AF181" s="66"/>
      <c r="AG181" s="66"/>
      <c r="AH181" s="66"/>
      <c r="AI181" s="66"/>
      <c r="AJ181" s="66"/>
      <c r="AK181" s="66"/>
      <c r="AL181" s="66"/>
      <c r="AM181" s="66"/>
      <c r="AN181" s="67">
        <f t="shared" si="1"/>
        <v>0</v>
      </c>
      <c r="AO181" s="66"/>
      <c r="AP181" s="68">
        <f t="shared" si="2"/>
        <v>950.09</v>
      </c>
      <c r="AQ181" s="69"/>
      <c r="AR181" s="22"/>
      <c r="AS181" s="70">
        <f>'Daily Halba'!$U181-'Daily Halba'!$AP181</f>
        <v>4096.4940000000006</v>
      </c>
      <c r="AT181" s="5"/>
      <c r="AU181" s="5"/>
      <c r="AV181" s="5"/>
    </row>
    <row r="182" spans="1:48" ht="12.75" customHeight="1" x14ac:dyDescent="0.3">
      <c r="A182" s="49">
        <v>46101</v>
      </c>
      <c r="B182" s="77"/>
      <c r="C182" s="51">
        <f>'ODOMETERS Halba'!J178</f>
        <v>2217</v>
      </c>
      <c r="D182" s="52">
        <v>1.2759</v>
      </c>
      <c r="E182" s="53">
        <f>'Daily Halba'!$C182*'Daily Halba'!$D182</f>
        <v>2828.6703000000002</v>
      </c>
      <c r="F182" s="54">
        <f>'ODOMETERS Halba'!K178</f>
        <v>2174</v>
      </c>
      <c r="G182" s="52">
        <v>1.2759</v>
      </c>
      <c r="H182" s="53">
        <f>'Daily Halba'!$F182*'Daily Halba'!$G182</f>
        <v>2773.8065999999999</v>
      </c>
      <c r="I182" s="54">
        <f>'Daily Halba'!$C182+'Daily Halba'!$F182</f>
        <v>4391</v>
      </c>
      <c r="J182" s="55">
        <f>'Daily Halba'!$I182*'Daily Halba'!$G182</f>
        <v>5602.4769000000006</v>
      </c>
      <c r="K182" s="56">
        <f>'ODOMETERS Halba'!L178</f>
        <v>629</v>
      </c>
      <c r="L182" s="57">
        <v>1.1828000000000001</v>
      </c>
      <c r="M182" s="58">
        <f>'Daily Halba'!$K182*'Daily Halba'!$L182</f>
        <v>743.98120000000006</v>
      </c>
      <c r="N182" s="71">
        <v>58.77</v>
      </c>
      <c r="O182" s="71">
        <v>31.21</v>
      </c>
      <c r="P182" s="71">
        <v>240</v>
      </c>
      <c r="Q182" s="71"/>
      <c r="R182" s="71"/>
      <c r="S182" s="71">
        <v>14</v>
      </c>
      <c r="T182" s="71"/>
      <c r="U182" s="61">
        <f>SUM('Daily Halba'!$E182,'Daily Halba'!$H182,$M182:$T182)</f>
        <v>6690.4381000000003</v>
      </c>
      <c r="V182" s="22"/>
      <c r="W182" s="62">
        <v>224</v>
      </c>
      <c r="X182" s="62"/>
      <c r="Y182" s="62">
        <f>83</f>
        <v>83</v>
      </c>
      <c r="Z182" s="79">
        <v>10</v>
      </c>
      <c r="AA182" s="63"/>
      <c r="AB182" s="64"/>
      <c r="AC182" s="64"/>
      <c r="AD182" s="64"/>
      <c r="AE182" s="65">
        <f t="shared" si="0"/>
        <v>0</v>
      </c>
      <c r="AF182" s="66"/>
      <c r="AG182" s="66"/>
      <c r="AH182" s="66"/>
      <c r="AI182" s="66"/>
      <c r="AJ182" s="66"/>
      <c r="AK182" s="66"/>
      <c r="AL182" s="66"/>
      <c r="AM182" s="66"/>
      <c r="AN182" s="67">
        <f t="shared" si="1"/>
        <v>0</v>
      </c>
      <c r="AO182" s="66"/>
      <c r="AP182" s="68">
        <f t="shared" si="2"/>
        <v>317</v>
      </c>
      <c r="AQ182" s="69"/>
      <c r="AR182" s="22"/>
      <c r="AS182" s="70">
        <f>'Daily Halba'!$U182-'Daily Halba'!$AP182</f>
        <v>6373.4381000000003</v>
      </c>
      <c r="AT182" s="5"/>
      <c r="AU182" s="5"/>
      <c r="AV182" s="5"/>
    </row>
    <row r="183" spans="1:48" ht="12.75" customHeight="1" x14ac:dyDescent="0.3">
      <c r="A183" s="49">
        <v>46102</v>
      </c>
      <c r="B183" s="77"/>
      <c r="C183" s="51">
        <f>'ODOMETERS Halba'!J179</f>
        <v>2744</v>
      </c>
      <c r="D183" s="52">
        <v>1.2759</v>
      </c>
      <c r="E183" s="53">
        <f>'Daily Halba'!$C183*'Daily Halba'!$D183</f>
        <v>3501.0696000000003</v>
      </c>
      <c r="F183" s="54">
        <f>'ODOMETERS Halba'!K179</f>
        <v>1667</v>
      </c>
      <c r="G183" s="52">
        <v>1.2759</v>
      </c>
      <c r="H183" s="53">
        <f>'Daily Halba'!$F183*'Daily Halba'!$G183</f>
        <v>2126.9252999999999</v>
      </c>
      <c r="I183" s="54">
        <f>'Daily Halba'!$C183+'Daily Halba'!$F183</f>
        <v>4411</v>
      </c>
      <c r="J183" s="55">
        <f>'Daily Halba'!$I183*'Daily Halba'!$G183</f>
        <v>5627.9949000000006</v>
      </c>
      <c r="K183" s="56">
        <f>'ODOMETERS Halba'!L179</f>
        <v>624</v>
      </c>
      <c r="L183" s="57">
        <v>1.1828000000000001</v>
      </c>
      <c r="M183" s="58">
        <f>'Daily Halba'!$K183*'Daily Halba'!$L183</f>
        <v>738.06720000000007</v>
      </c>
      <c r="N183" s="71">
        <v>28.64</v>
      </c>
      <c r="O183" s="71">
        <v>37.44</v>
      </c>
      <c r="P183" s="71">
        <v>160</v>
      </c>
      <c r="Q183" s="71"/>
      <c r="R183" s="71"/>
      <c r="S183" s="71">
        <v>33</v>
      </c>
      <c r="T183" s="71">
        <v>6.45</v>
      </c>
      <c r="U183" s="61">
        <f>SUM('Daily Halba'!$E183,'Daily Halba'!$H183,$M183:$T183)</f>
        <v>6631.5920999999998</v>
      </c>
      <c r="V183" s="22"/>
      <c r="W183" s="62">
        <f>237+272</f>
        <v>509</v>
      </c>
      <c r="X183" s="62"/>
      <c r="Y183" s="62">
        <f>83+59</f>
        <v>142</v>
      </c>
      <c r="Z183" s="79">
        <v>53</v>
      </c>
      <c r="AA183" s="63"/>
      <c r="AB183" s="64"/>
      <c r="AC183" s="64"/>
      <c r="AD183" s="64"/>
      <c r="AE183" s="65">
        <f t="shared" si="0"/>
        <v>0</v>
      </c>
      <c r="AF183" s="66"/>
      <c r="AG183" s="66"/>
      <c r="AH183" s="66"/>
      <c r="AI183" s="66"/>
      <c r="AJ183" s="66"/>
      <c r="AK183" s="66"/>
      <c r="AL183" s="66"/>
      <c r="AM183" s="66"/>
      <c r="AN183" s="67">
        <f t="shared" si="1"/>
        <v>0</v>
      </c>
      <c r="AO183" s="66"/>
      <c r="AP183" s="68">
        <f t="shared" si="2"/>
        <v>704</v>
      </c>
      <c r="AQ183" s="69"/>
      <c r="AR183" s="22"/>
      <c r="AS183" s="70">
        <f>'Daily Halba'!$U183-'Daily Halba'!$AP183</f>
        <v>5927.5920999999998</v>
      </c>
      <c r="AT183" s="5"/>
      <c r="AU183" s="5"/>
      <c r="AV183" s="5"/>
    </row>
    <row r="184" spans="1:48" ht="12.75" customHeight="1" x14ac:dyDescent="0.3">
      <c r="A184" s="49">
        <v>46103</v>
      </c>
      <c r="B184" s="77"/>
      <c r="C184" s="51">
        <f>'ODOMETERS Halba'!J180</f>
        <v>2007</v>
      </c>
      <c r="D184" s="52">
        <v>1.2759</v>
      </c>
      <c r="E184" s="53">
        <f>'Daily Halba'!$C184*'Daily Halba'!$D184</f>
        <v>2560.7312999999999</v>
      </c>
      <c r="F184" s="54">
        <f>'ODOMETERS Halba'!K180</f>
        <v>1977</v>
      </c>
      <c r="G184" s="52">
        <v>1.2759</v>
      </c>
      <c r="H184" s="53">
        <f>'Daily Halba'!$F184*'Daily Halba'!$G184</f>
        <v>2522.4542999999999</v>
      </c>
      <c r="I184" s="54">
        <f>'Daily Halba'!$C184+'Daily Halba'!$F184</f>
        <v>3984</v>
      </c>
      <c r="J184" s="55">
        <f>'Daily Halba'!$I184*'Daily Halba'!$G184</f>
        <v>5083.1855999999998</v>
      </c>
      <c r="K184" s="56">
        <f>'ODOMETERS Halba'!L180</f>
        <v>487</v>
      </c>
      <c r="L184" s="57">
        <v>1.1828000000000001</v>
      </c>
      <c r="M184" s="58">
        <f>'Daily Halba'!$K184*'Daily Halba'!$L184</f>
        <v>576.02359999999999</v>
      </c>
      <c r="N184" s="71">
        <v>32.85</v>
      </c>
      <c r="O184" s="71">
        <v>55.74</v>
      </c>
      <c r="P184" s="71"/>
      <c r="Q184" s="71"/>
      <c r="R184" s="71"/>
      <c r="S184" s="71">
        <v>6</v>
      </c>
      <c r="T184" s="71">
        <v>3</v>
      </c>
      <c r="U184" s="61">
        <f>SUM('Daily Halba'!$E184,'Daily Halba'!$H184,$M184:$T184)</f>
        <v>5756.7991999999995</v>
      </c>
      <c r="V184" s="22"/>
      <c r="W184" s="62">
        <v>259</v>
      </c>
      <c r="X184" s="62"/>
      <c r="Y184" s="62">
        <f>74+23.65</f>
        <v>97.65</v>
      </c>
      <c r="Z184" s="79">
        <v>10</v>
      </c>
      <c r="AA184" s="63"/>
      <c r="AB184" s="64"/>
      <c r="AC184" s="64"/>
      <c r="AD184" s="64"/>
      <c r="AE184" s="65">
        <f t="shared" si="0"/>
        <v>0</v>
      </c>
      <c r="AF184" s="66"/>
      <c r="AG184" s="66"/>
      <c r="AH184" s="66"/>
      <c r="AI184" s="66"/>
      <c r="AJ184" s="66"/>
      <c r="AK184" s="66"/>
      <c r="AL184" s="66"/>
      <c r="AM184" s="66"/>
      <c r="AN184" s="67">
        <f t="shared" si="1"/>
        <v>0</v>
      </c>
      <c r="AO184" s="66"/>
      <c r="AP184" s="68">
        <f t="shared" si="2"/>
        <v>366.65</v>
      </c>
      <c r="AQ184" s="69"/>
      <c r="AR184" s="22"/>
      <c r="AS184" s="70">
        <f>'Daily Halba'!$U184-'Daily Halba'!$AP184</f>
        <v>5390.1491999999998</v>
      </c>
      <c r="AT184" s="5"/>
      <c r="AU184" s="5"/>
      <c r="AV184" s="19"/>
    </row>
    <row r="185" spans="1:48" ht="12.75" customHeight="1" x14ac:dyDescent="0.3">
      <c r="A185" s="49">
        <v>46104</v>
      </c>
      <c r="B185" s="77"/>
      <c r="C185" s="51">
        <f>'ODOMETERS Halba'!J181</f>
        <v>2130</v>
      </c>
      <c r="D185" s="52">
        <v>1.2759</v>
      </c>
      <c r="E185" s="53">
        <f>'Daily Halba'!$C185*'Daily Halba'!$D185</f>
        <v>2717.6669999999999</v>
      </c>
      <c r="F185" s="54">
        <f>'ODOMETERS Halba'!K181</f>
        <v>2019</v>
      </c>
      <c r="G185" s="52">
        <v>1.2759</v>
      </c>
      <c r="H185" s="53">
        <f>'Daily Halba'!$F185*'Daily Halba'!$G185</f>
        <v>2576.0421000000001</v>
      </c>
      <c r="I185" s="54">
        <f>'Daily Halba'!$C185+'Daily Halba'!$F185</f>
        <v>4149</v>
      </c>
      <c r="J185" s="55">
        <f>'Daily Halba'!$I185*'Daily Halba'!$G185</f>
        <v>5293.7091</v>
      </c>
      <c r="K185" s="56">
        <f>'ODOMETERS Halba'!L181</f>
        <v>534</v>
      </c>
      <c r="L185" s="57">
        <v>1.1828000000000001</v>
      </c>
      <c r="M185" s="58">
        <f>'Daily Halba'!$K185*'Daily Halba'!$L185</f>
        <v>631.61520000000007</v>
      </c>
      <c r="N185" s="71">
        <f>800/89.7+550/89.7</f>
        <v>15.050167224080267</v>
      </c>
      <c r="O185" s="71">
        <f>(300+400+400+400+200)/89.7</f>
        <v>18.952062430323299</v>
      </c>
      <c r="P185" s="71">
        <v>20</v>
      </c>
      <c r="Q185" s="71"/>
      <c r="R185" s="71"/>
      <c r="S185" s="71"/>
      <c r="T185" s="71">
        <f>(150+80+225+150)/89.7</f>
        <v>6.7447045707915274</v>
      </c>
      <c r="U185" s="61">
        <f>SUM('Daily Halba'!$E185,'Daily Halba'!$H185,$M185:$T185)</f>
        <v>5986.0712342251945</v>
      </c>
      <c r="V185" s="22"/>
      <c r="W185" s="62">
        <f>10+25</f>
        <v>35</v>
      </c>
      <c r="X185" s="62"/>
      <c r="Y185" s="62">
        <f>(20+10+9+18+30+27+20+18)*1.2759+213</f>
        <v>406.93680000000001</v>
      </c>
      <c r="Z185" s="79">
        <v>3</v>
      </c>
      <c r="AA185" s="63">
        <v>395</v>
      </c>
      <c r="AB185" s="64"/>
      <c r="AC185" s="64"/>
      <c r="AD185" s="64"/>
      <c r="AE185" s="65">
        <f t="shared" si="0"/>
        <v>395</v>
      </c>
      <c r="AF185" s="66"/>
      <c r="AG185" s="66"/>
      <c r="AH185" s="66"/>
      <c r="AI185" s="66">
        <v>16</v>
      </c>
      <c r="AJ185" s="66"/>
      <c r="AK185" s="66"/>
      <c r="AL185" s="66"/>
      <c r="AM185" s="66"/>
      <c r="AN185" s="67">
        <f t="shared" si="1"/>
        <v>16</v>
      </c>
      <c r="AO185" s="66"/>
      <c r="AP185" s="68">
        <f t="shared" si="2"/>
        <v>855.93679999999995</v>
      </c>
      <c r="AQ185" s="69"/>
      <c r="AR185" s="22"/>
      <c r="AS185" s="70">
        <f>'Daily Halba'!$U185-'Daily Halba'!$AP185</f>
        <v>5130.1344342251941</v>
      </c>
      <c r="AT185" s="5"/>
      <c r="AU185" s="5"/>
      <c r="AV185" s="5"/>
    </row>
    <row r="186" spans="1:48" ht="12.75" customHeight="1" x14ac:dyDescent="0.3">
      <c r="A186" s="49">
        <v>46105</v>
      </c>
      <c r="B186" s="77" t="s">
        <v>24</v>
      </c>
      <c r="C186" s="51">
        <f>'ODOMETERS Halba'!J182</f>
        <v>741</v>
      </c>
      <c r="D186" s="52">
        <v>1.2759</v>
      </c>
      <c r="E186" s="53">
        <f>'Daily Halba'!$C186*'Daily Halba'!$D186</f>
        <v>945.44190000000003</v>
      </c>
      <c r="F186" s="54">
        <f>'ODOMETERS Halba'!K182</f>
        <v>532</v>
      </c>
      <c r="G186" s="52">
        <v>1.2759</v>
      </c>
      <c r="H186" s="53">
        <f>'Daily Halba'!$F186*'Daily Halba'!$G186</f>
        <v>678.77880000000005</v>
      </c>
      <c r="I186" s="54">
        <f>'Daily Halba'!$C186+'Daily Halba'!$F186</f>
        <v>1273</v>
      </c>
      <c r="J186" s="55">
        <f>'Daily Halba'!$I186*'Daily Halba'!$G186</f>
        <v>1624.2207000000001</v>
      </c>
      <c r="K186" s="56">
        <f>'ODOMETERS Halba'!L182</f>
        <v>248</v>
      </c>
      <c r="L186" s="57">
        <v>1.1828000000000001</v>
      </c>
      <c r="M186" s="58">
        <f>'Daily Halba'!$K186*'Daily Halba'!$L186</f>
        <v>293.33440000000002</v>
      </c>
      <c r="N186" s="71"/>
      <c r="O186" s="71"/>
      <c r="P186" s="71">
        <v>20</v>
      </c>
      <c r="Q186" s="71"/>
      <c r="R186" s="71"/>
      <c r="S186" s="71"/>
      <c r="T186" s="71">
        <v>3</v>
      </c>
      <c r="U186" s="61">
        <f>SUM('Daily Halba'!$E186,'Daily Halba'!$H186,$M186:$T186)</f>
        <v>1940.5551</v>
      </c>
      <c r="V186" s="22"/>
      <c r="W186" s="62"/>
      <c r="X186" s="62"/>
      <c r="Y186" s="62">
        <v>51</v>
      </c>
      <c r="Z186" s="79">
        <v>2</v>
      </c>
      <c r="AA186" s="63"/>
      <c r="AB186" s="64"/>
      <c r="AC186" s="64"/>
      <c r="AD186" s="64"/>
      <c r="AE186" s="65">
        <f t="shared" si="0"/>
        <v>0</v>
      </c>
      <c r="AF186" s="66"/>
      <c r="AG186" s="66"/>
      <c r="AH186" s="66"/>
      <c r="AI186" s="66"/>
      <c r="AJ186" s="66"/>
      <c r="AK186" s="66"/>
      <c r="AL186" s="66"/>
      <c r="AM186" s="66"/>
      <c r="AN186" s="67">
        <f t="shared" si="1"/>
        <v>0</v>
      </c>
      <c r="AO186" s="66"/>
      <c r="AP186" s="68">
        <f t="shared" si="2"/>
        <v>53</v>
      </c>
      <c r="AQ186" s="69"/>
      <c r="AR186" s="22"/>
      <c r="AS186" s="70">
        <f>'Daily Halba'!$U186-'Daily Halba'!$AP186</f>
        <v>1887.5551</v>
      </c>
      <c r="AT186" s="5"/>
      <c r="AU186" s="5"/>
      <c r="AV186" s="5"/>
    </row>
    <row r="187" spans="1:48" ht="12.75" customHeight="1" x14ac:dyDescent="0.3">
      <c r="A187" s="49">
        <v>46105</v>
      </c>
      <c r="B187" s="77" t="s">
        <v>25</v>
      </c>
      <c r="C187" s="51">
        <f>'ODOMETERS Halba'!J183</f>
        <v>1053</v>
      </c>
      <c r="D187" s="52">
        <v>1.2899</v>
      </c>
      <c r="E187" s="53">
        <f>'Daily Halba'!$C187*'Daily Halba'!$D187</f>
        <v>1358.2646999999999</v>
      </c>
      <c r="F187" s="54">
        <f>'ODOMETERS Halba'!K183</f>
        <v>584</v>
      </c>
      <c r="G187" s="52">
        <v>1.2899</v>
      </c>
      <c r="H187" s="53">
        <f>'Daily Halba'!$F187*'Daily Halba'!$G187</f>
        <v>753.30160000000001</v>
      </c>
      <c r="I187" s="54">
        <f>'Daily Halba'!$C187+'Daily Halba'!$F187</f>
        <v>1637</v>
      </c>
      <c r="J187" s="55">
        <f>'Daily Halba'!$I187*'Daily Halba'!$G187</f>
        <v>2111.5663</v>
      </c>
      <c r="K187" s="56">
        <f>'ODOMETERS Halba'!L183</f>
        <v>418</v>
      </c>
      <c r="L187" s="57">
        <v>1.2230000000000001</v>
      </c>
      <c r="M187" s="58">
        <f>'Daily Halba'!$K187*'Daily Halba'!$L187</f>
        <v>511.21400000000006</v>
      </c>
      <c r="N187" s="71">
        <f>6</f>
        <v>6</v>
      </c>
      <c r="O187" s="71">
        <v>21</v>
      </c>
      <c r="P187" s="71">
        <v>41</v>
      </c>
      <c r="Q187" s="71"/>
      <c r="R187" s="71"/>
      <c r="S187" s="71"/>
      <c r="T187" s="71">
        <f>450/89.7</f>
        <v>5.0167224080267561</v>
      </c>
      <c r="U187" s="61">
        <f>SUM('Daily Halba'!$E187,'Daily Halba'!$H187,$M187:$T187)</f>
        <v>2695.7970224080268</v>
      </c>
      <c r="V187" s="22"/>
      <c r="W187" s="62">
        <f>37+24+30+174*1.1828+400/89.7+20</f>
        <v>321.26650880713493</v>
      </c>
      <c r="X187" s="62"/>
      <c r="Y187" s="62">
        <f>60*1.2759+240</f>
        <v>316.55399999999997</v>
      </c>
      <c r="Z187" s="79"/>
      <c r="AA187" s="63">
        <v>124</v>
      </c>
      <c r="AB187" s="64"/>
      <c r="AC187" s="64"/>
      <c r="AD187" s="64"/>
      <c r="AE187" s="65">
        <f t="shared" si="0"/>
        <v>124</v>
      </c>
      <c r="AF187" s="66"/>
      <c r="AG187" s="66"/>
      <c r="AH187" s="66"/>
      <c r="AI187" s="66"/>
      <c r="AJ187" s="66"/>
      <c r="AK187" s="66"/>
      <c r="AL187" s="66"/>
      <c r="AM187" s="66"/>
      <c r="AN187" s="67">
        <f t="shared" si="1"/>
        <v>0</v>
      </c>
      <c r="AO187" s="66"/>
      <c r="AP187" s="68">
        <f t="shared" si="2"/>
        <v>761.82050880713496</v>
      </c>
      <c r="AQ187" s="69"/>
      <c r="AR187" s="22"/>
      <c r="AS187" s="70">
        <f>'Daily Halba'!$U187-'Daily Halba'!$AP187</f>
        <v>1933.9765136008918</v>
      </c>
      <c r="AT187" s="5"/>
      <c r="AU187" s="5"/>
      <c r="AV187" s="19"/>
    </row>
    <row r="188" spans="1:48" ht="12.75" customHeight="1" x14ac:dyDescent="0.3">
      <c r="A188" s="49">
        <v>46106</v>
      </c>
      <c r="B188" s="77"/>
      <c r="C188" s="51">
        <f>'ODOMETERS Halba'!J184</f>
        <v>1392</v>
      </c>
      <c r="D188" s="52">
        <v>1.2899</v>
      </c>
      <c r="E188" s="53">
        <f>'Daily Halba'!$C188*'Daily Halba'!$D188</f>
        <v>1795.5408</v>
      </c>
      <c r="F188" s="54">
        <f>'ODOMETERS Halba'!K184</f>
        <v>1221</v>
      </c>
      <c r="G188" s="52">
        <v>1.2899</v>
      </c>
      <c r="H188" s="53">
        <f>'Daily Halba'!$F188*'Daily Halba'!$G188</f>
        <v>1574.9679000000001</v>
      </c>
      <c r="I188" s="54">
        <f>'Daily Halba'!$C188+'Daily Halba'!$F188</f>
        <v>2613</v>
      </c>
      <c r="J188" s="55">
        <f>'Daily Halba'!$I188*'Daily Halba'!$G188</f>
        <v>3370.5087000000003</v>
      </c>
      <c r="K188" s="56">
        <f>'ODOMETERS Halba'!L184</f>
        <v>504</v>
      </c>
      <c r="L188" s="57">
        <v>1.2230000000000001</v>
      </c>
      <c r="M188" s="58">
        <f>'Daily Halba'!$K188*'Daily Halba'!$L188</f>
        <v>616.39200000000005</v>
      </c>
      <c r="N188" s="71">
        <f>500/89.7+250/89.7+300/89.7+600/89.7</f>
        <v>18.394648829431436</v>
      </c>
      <c r="O188" s="71">
        <v>5</v>
      </c>
      <c r="P188" s="71">
        <f>20.5*3</f>
        <v>61.5</v>
      </c>
      <c r="Q188" s="71">
        <v>4</v>
      </c>
      <c r="R188" s="71"/>
      <c r="S188" s="71"/>
      <c r="T188" s="71">
        <f>(150+150+150+150+750)/89.7</f>
        <v>15.050167224080267</v>
      </c>
      <c r="U188" s="61">
        <f>SUM('Daily Halba'!$E188,'Daily Halba'!$H188,$M188:$T188)</f>
        <v>4090.8455160535118</v>
      </c>
      <c r="V188" s="22"/>
      <c r="W188" s="62">
        <f>20+10+42+20</f>
        <v>92</v>
      </c>
      <c r="X188" s="62"/>
      <c r="Y188" s="62">
        <f>100*1.223+(18+20+18+20+20+20)*1.2899</f>
        <v>271.92840000000001</v>
      </c>
      <c r="Z188" s="79"/>
      <c r="AA188" s="63"/>
      <c r="AB188" s="64"/>
      <c r="AC188" s="64"/>
      <c r="AD188" s="64"/>
      <c r="AE188" s="65">
        <f t="shared" si="0"/>
        <v>0</v>
      </c>
      <c r="AF188" s="66"/>
      <c r="AG188" s="66"/>
      <c r="AH188" s="66"/>
      <c r="AI188" s="66"/>
      <c r="AJ188" s="66"/>
      <c r="AK188" s="66"/>
      <c r="AL188" s="66"/>
      <c r="AM188" s="66"/>
      <c r="AN188" s="67">
        <f t="shared" si="1"/>
        <v>0</v>
      </c>
      <c r="AO188" s="66"/>
      <c r="AP188" s="68">
        <f t="shared" si="2"/>
        <v>363.92840000000001</v>
      </c>
      <c r="AQ188" s="69"/>
      <c r="AR188" s="22"/>
      <c r="AS188" s="70">
        <f>'Daily Halba'!$U188-'Daily Halba'!$AP188</f>
        <v>3726.9171160535116</v>
      </c>
      <c r="AT188" s="5"/>
      <c r="AU188" s="5"/>
      <c r="AV188" s="5"/>
    </row>
    <row r="189" spans="1:48" ht="12.75" customHeight="1" x14ac:dyDescent="0.3">
      <c r="A189" s="49">
        <v>46107</v>
      </c>
      <c r="B189" s="77"/>
      <c r="C189" s="51">
        <f>'ODOMETERS Halba'!J185</f>
        <v>1676</v>
      </c>
      <c r="D189" s="52">
        <v>1.2899</v>
      </c>
      <c r="E189" s="53">
        <f>'Daily Halba'!$C189*'Daily Halba'!$D189</f>
        <v>2161.8724000000002</v>
      </c>
      <c r="F189" s="54">
        <f>'ODOMETERS Halba'!K185</f>
        <v>961</v>
      </c>
      <c r="G189" s="52">
        <v>1.2899</v>
      </c>
      <c r="H189" s="53">
        <f>'Daily Halba'!$F189*'Daily Halba'!$G189</f>
        <v>1239.5939000000001</v>
      </c>
      <c r="I189" s="54">
        <f>'Daily Halba'!$C189+'Daily Halba'!$F189</f>
        <v>2637</v>
      </c>
      <c r="J189" s="55">
        <f>'Daily Halba'!$I189*'Daily Halba'!$G189</f>
        <v>3401.4663</v>
      </c>
      <c r="K189" s="56">
        <f>'ODOMETERS Halba'!L185</f>
        <v>1713</v>
      </c>
      <c r="L189" s="57">
        <v>1.2230000000000001</v>
      </c>
      <c r="M189" s="58">
        <f>'Daily Halba'!$K189*'Daily Halba'!$L189</f>
        <v>2094.9990000000003</v>
      </c>
      <c r="N189" s="71">
        <f>1950/89.7+14</f>
        <v>35.739130434782609</v>
      </c>
      <c r="O189" s="71">
        <f>600/89.7</f>
        <v>6.6889632107023411</v>
      </c>
      <c r="P189" s="71">
        <f>2*20.5</f>
        <v>41</v>
      </c>
      <c r="Q189" s="71"/>
      <c r="R189" s="71"/>
      <c r="S189" s="71">
        <v>1225</v>
      </c>
      <c r="T189" s="71">
        <f>(150+80+150)/89.7</f>
        <v>4.2363433667781489</v>
      </c>
      <c r="U189" s="61">
        <f>SUM('Daily Halba'!$E189,'Daily Halba'!$H189,$M189:$T189)</f>
        <v>6809.1297370122629</v>
      </c>
      <c r="V189" s="22"/>
      <c r="W189" s="62">
        <f>30+20+60+1000/89.7+1000*1.223+193*1.223+10+1400/89.7+1400/89.7</f>
        <v>1621.4024336677812</v>
      </c>
      <c r="X189" s="62"/>
      <c r="Y189" s="62">
        <f>(18+20+27+10+18+20+9+20)*1.2899</f>
        <v>183.16580000000002</v>
      </c>
      <c r="Z189" s="62">
        <v>11</v>
      </c>
      <c r="AA189" s="63"/>
      <c r="AB189" s="64"/>
      <c r="AC189" s="64"/>
      <c r="AD189" s="64"/>
      <c r="AE189" s="65">
        <f t="shared" si="0"/>
        <v>0</v>
      </c>
      <c r="AF189" s="66"/>
      <c r="AG189" s="66"/>
      <c r="AH189" s="66"/>
      <c r="AI189" s="66">
        <v>16</v>
      </c>
      <c r="AJ189" s="66"/>
      <c r="AK189" s="66"/>
      <c r="AL189" s="66"/>
      <c r="AM189" s="66"/>
      <c r="AN189" s="67">
        <f t="shared" si="1"/>
        <v>16</v>
      </c>
      <c r="AO189" s="66"/>
      <c r="AP189" s="68">
        <f>SUM(W189:Z189,AE189,AN189,AO189)</f>
        <v>1831.5682336677812</v>
      </c>
      <c r="AQ189" s="69"/>
      <c r="AR189" s="22"/>
      <c r="AS189" s="70">
        <f>'Daily Halba'!$U189-'Daily Halba'!$AP189</f>
        <v>4977.5615033444819</v>
      </c>
      <c r="AT189" s="5"/>
      <c r="AU189" s="5"/>
      <c r="AV189" s="19"/>
    </row>
    <row r="190" spans="1:48" ht="12.75" customHeight="1" x14ac:dyDescent="0.3">
      <c r="A190" s="49">
        <v>46108</v>
      </c>
      <c r="B190" s="77" t="s">
        <v>24</v>
      </c>
      <c r="C190" s="51">
        <f>'ODOMETERS Halba'!J186</f>
        <v>660</v>
      </c>
      <c r="D190" s="52">
        <v>1.2899</v>
      </c>
      <c r="E190" s="53">
        <f>'Daily Halba'!$C190*'Daily Halba'!$D190</f>
        <v>851.33400000000006</v>
      </c>
      <c r="F190" s="54">
        <f>'ODOMETERS Halba'!K186</f>
        <v>633</v>
      </c>
      <c r="G190" s="52">
        <v>1.2899</v>
      </c>
      <c r="H190" s="53">
        <f>'Daily Halba'!$F190*'Daily Halba'!$G190</f>
        <v>816.50670000000002</v>
      </c>
      <c r="I190" s="54">
        <f>'Daily Halba'!$C190+'Daily Halba'!$F190</f>
        <v>1293</v>
      </c>
      <c r="J190" s="55">
        <f>'Daily Halba'!$I190*'Daily Halba'!$G190</f>
        <v>1667.8407</v>
      </c>
      <c r="K190" s="56">
        <f>'ODOMETERS Halba'!L186</f>
        <v>3514</v>
      </c>
      <c r="L190" s="57">
        <v>1.2230000000000001</v>
      </c>
      <c r="M190" s="58">
        <f>'Daily Halba'!$K190*'Daily Halba'!$L190</f>
        <v>4297.6220000000003</v>
      </c>
      <c r="N190" s="71">
        <f>550/89.7</f>
        <v>6.1315496098104791</v>
      </c>
      <c r="O190" s="71"/>
      <c r="P190" s="71">
        <f>1850*2/89.7</f>
        <v>41.248606465997767</v>
      </c>
      <c r="Q190" s="71"/>
      <c r="R190" s="71"/>
      <c r="S190" s="71"/>
      <c r="T190" s="71">
        <f>400/89.7</f>
        <v>4.4593088071348941</v>
      </c>
      <c r="U190" s="61">
        <f>SUM('Daily Halba'!$E190,'Daily Halba'!$H190,$M190:$T190)</f>
        <v>6017.3021648829435</v>
      </c>
      <c r="V190" s="22"/>
      <c r="W190" s="62">
        <f>15+3340*1.223+10</f>
        <v>4109.82</v>
      </c>
      <c r="X190" s="62"/>
      <c r="Y190" s="62">
        <f>(20+9+10+20)*1.2899</f>
        <v>76.104100000000003</v>
      </c>
      <c r="Z190" s="79"/>
      <c r="AA190" s="63"/>
      <c r="AB190" s="64"/>
      <c r="AC190" s="64"/>
      <c r="AD190" s="64"/>
      <c r="AE190" s="65">
        <f t="shared" si="0"/>
        <v>0</v>
      </c>
      <c r="AF190" s="66"/>
      <c r="AG190" s="66"/>
      <c r="AH190" s="66"/>
      <c r="AI190" s="66"/>
      <c r="AJ190" s="66"/>
      <c r="AK190" s="66"/>
      <c r="AL190" s="66"/>
      <c r="AM190" s="66"/>
      <c r="AN190" s="67">
        <f t="shared" si="1"/>
        <v>0</v>
      </c>
      <c r="AO190" s="66"/>
      <c r="AP190" s="68">
        <f t="shared" si="2"/>
        <v>4185.9240999999993</v>
      </c>
      <c r="AQ190" s="69"/>
      <c r="AR190" s="22"/>
      <c r="AS190" s="70">
        <f>'Daily Halba'!$U190-'Daily Halba'!$AP190</f>
        <v>1831.3780648829443</v>
      </c>
      <c r="AT190" s="5"/>
      <c r="AU190" s="5"/>
      <c r="AV190" s="5"/>
    </row>
    <row r="191" spans="1:48" ht="12.75" customHeight="1" x14ac:dyDescent="0.3">
      <c r="A191" s="49">
        <v>46108</v>
      </c>
      <c r="B191" s="77" t="s">
        <v>25</v>
      </c>
      <c r="C191" s="51">
        <f>'ODOMETERS Halba'!J187</f>
        <v>878</v>
      </c>
      <c r="D191" s="52">
        <v>1.3177000000000001</v>
      </c>
      <c r="E191" s="53">
        <f>'Daily Halba'!$C191*'Daily Halba'!$D191</f>
        <v>1156.9406000000001</v>
      </c>
      <c r="F191" s="54">
        <f>'ODOMETERS Halba'!K187</f>
        <v>787</v>
      </c>
      <c r="G191" s="52">
        <v>1.3177000000000001</v>
      </c>
      <c r="H191" s="53">
        <f>'Daily Halba'!$F191*'Daily Halba'!$G191</f>
        <v>1037.0299</v>
      </c>
      <c r="I191" s="54">
        <f>'Daily Halba'!$C191+'Daily Halba'!$F191</f>
        <v>1665</v>
      </c>
      <c r="J191" s="55">
        <f>'Daily Halba'!$I191*'Daily Halba'!$G191</f>
        <v>2193.9705000000004</v>
      </c>
      <c r="K191" s="56">
        <f>'ODOMETERS Halba'!L187</f>
        <v>4437</v>
      </c>
      <c r="L191" s="57">
        <v>1.2793000000000001</v>
      </c>
      <c r="M191" s="58">
        <f>'Daily Halba'!$K191*'Daily Halba'!$L191</f>
        <v>5676.2541000000001</v>
      </c>
      <c r="N191" s="71">
        <f>300/89.7</f>
        <v>3.3444816053511706</v>
      </c>
      <c r="O191" s="71">
        <f>1200/89.7</f>
        <v>13.377926421404682</v>
      </c>
      <c r="P191" s="71">
        <f>21*5</f>
        <v>105</v>
      </c>
      <c r="Q191" s="71"/>
      <c r="R191" s="71"/>
      <c r="S191" s="71">
        <f>400/89.7+20</f>
        <v>24.459308807134896</v>
      </c>
      <c r="T191" s="71">
        <f>150/89.7</f>
        <v>1.6722408026755853</v>
      </c>
      <c r="U191" s="61">
        <f>SUM('Daily Halba'!$E191,'Daily Halba'!$H191,$M191:$T191)</f>
        <v>8018.078557636567</v>
      </c>
      <c r="V191" s="22"/>
      <c r="W191" s="62">
        <f>36+52+5+235*1.2793+25+10+10+4050*1.2793</f>
        <v>5619.8005000000012</v>
      </c>
      <c r="X191" s="62"/>
      <c r="Y191" s="62">
        <f>(20+9+18)*1.3177</f>
        <v>61.931900000000006</v>
      </c>
      <c r="Z191" s="79">
        <v>3</v>
      </c>
      <c r="AA191" s="63"/>
      <c r="AB191" s="64"/>
      <c r="AC191" s="64">
        <v>215</v>
      </c>
      <c r="AD191" s="64"/>
      <c r="AE191" s="65">
        <f t="shared" si="0"/>
        <v>215</v>
      </c>
      <c r="AF191" s="66"/>
      <c r="AG191" s="66"/>
      <c r="AH191" s="66"/>
      <c r="AI191" s="66">
        <f>20+2</f>
        <v>22</v>
      </c>
      <c r="AJ191" s="66"/>
      <c r="AK191" s="66">
        <v>10</v>
      </c>
      <c r="AL191" s="66"/>
      <c r="AM191" s="66"/>
      <c r="AN191" s="67">
        <f t="shared" si="1"/>
        <v>32</v>
      </c>
      <c r="AO191" s="66"/>
      <c r="AP191" s="68">
        <f t="shared" si="2"/>
        <v>5931.7324000000008</v>
      </c>
      <c r="AQ191" s="69"/>
      <c r="AR191" s="22"/>
      <c r="AS191" s="70">
        <f>'Daily Halba'!$U191-'Daily Halba'!$AP191</f>
        <v>2086.3461576365662</v>
      </c>
      <c r="AT191" s="5"/>
      <c r="AU191" s="5"/>
      <c r="AV191" s="19"/>
    </row>
    <row r="192" spans="1:48" ht="12.75" customHeight="1" x14ac:dyDescent="0.3">
      <c r="A192" s="49">
        <v>46109</v>
      </c>
      <c r="B192" s="77"/>
      <c r="C192" s="51">
        <f>'ODOMETERS Halba'!J188</f>
        <v>1895</v>
      </c>
      <c r="D192" s="52">
        <v>1.3177000000000001</v>
      </c>
      <c r="E192" s="53">
        <f>'Daily Halba'!$C192*'Daily Halba'!$D192</f>
        <v>2497.0415000000003</v>
      </c>
      <c r="F192" s="54">
        <f>'ODOMETERS Halba'!K188</f>
        <v>1309</v>
      </c>
      <c r="G192" s="52">
        <v>1.3177000000000001</v>
      </c>
      <c r="H192" s="53">
        <f>'Daily Halba'!$F192*'Daily Halba'!$G192</f>
        <v>1724.8693000000001</v>
      </c>
      <c r="I192" s="54">
        <f>'Daily Halba'!$C192+'Daily Halba'!$F192</f>
        <v>3204</v>
      </c>
      <c r="J192" s="55">
        <f>'Daily Halba'!$I192*'Daily Halba'!$G192</f>
        <v>4221.9108000000006</v>
      </c>
      <c r="K192" s="56">
        <f>'ODOMETERS Halba'!L188</f>
        <v>426</v>
      </c>
      <c r="L192" s="57">
        <v>1.2793000000000001</v>
      </c>
      <c r="M192" s="58">
        <f>'Daily Halba'!$K192*'Daily Halba'!$L192</f>
        <v>544.98180000000002</v>
      </c>
      <c r="N192" s="71">
        <v>6</v>
      </c>
      <c r="O192" s="71">
        <f>(300+400+400+400+600+400+400)/89.7</f>
        <v>32.329988851727983</v>
      </c>
      <c r="P192" s="71">
        <f>63+21+21+70</f>
        <v>175</v>
      </c>
      <c r="Q192" s="71">
        <v>10</v>
      </c>
      <c r="R192" s="71"/>
      <c r="S192" s="71"/>
      <c r="T192" s="71">
        <v>3</v>
      </c>
      <c r="U192" s="61">
        <f>SUM('Daily Halba'!$E192,'Daily Halba'!$H192,$M192:$T192)</f>
        <v>4993.2225888517287</v>
      </c>
      <c r="V192" s="22"/>
      <c r="W192" s="62">
        <f>5+20+33+48+25+10+10</f>
        <v>151</v>
      </c>
      <c r="X192" s="62"/>
      <c r="Y192" s="62">
        <f>(20+20+9)*1.3177</f>
        <v>64.567300000000003</v>
      </c>
      <c r="Z192" s="79">
        <v>3</v>
      </c>
      <c r="AA192" s="63"/>
      <c r="AB192" s="64"/>
      <c r="AC192" s="64"/>
      <c r="AD192" s="64"/>
      <c r="AE192" s="65">
        <f t="shared" si="0"/>
        <v>0</v>
      </c>
      <c r="AF192" s="66"/>
      <c r="AG192" s="66"/>
      <c r="AH192" s="66"/>
      <c r="AI192" s="66">
        <v>8</v>
      </c>
      <c r="AJ192" s="66"/>
      <c r="AK192" s="66"/>
      <c r="AL192" s="66"/>
      <c r="AM192" s="66"/>
      <c r="AN192" s="67">
        <f t="shared" si="1"/>
        <v>8</v>
      </c>
      <c r="AO192" s="66"/>
      <c r="AP192" s="68">
        <f t="shared" si="2"/>
        <v>226.56729999999999</v>
      </c>
      <c r="AQ192" s="69"/>
      <c r="AR192" s="22"/>
      <c r="AS192" s="70">
        <f>'Daily Halba'!$U192-'Daily Halba'!$AP192</f>
        <v>4766.655288851729</v>
      </c>
      <c r="AT192" s="5"/>
      <c r="AU192" s="5"/>
      <c r="AV192" s="5"/>
    </row>
    <row r="193" spans="1:48" ht="12.75" customHeight="1" x14ac:dyDescent="0.3">
      <c r="A193" s="49">
        <v>46110</v>
      </c>
      <c r="B193" s="77"/>
      <c r="C193" s="51">
        <f>'ODOMETERS Halba'!J189</f>
        <v>1392</v>
      </c>
      <c r="D193" s="52">
        <v>1.3177000000000001</v>
      </c>
      <c r="E193" s="53">
        <f>'Daily Halba'!$C193*'Daily Halba'!$D193</f>
        <v>1834.2384000000002</v>
      </c>
      <c r="F193" s="54">
        <f>'ODOMETERS Halba'!K189</f>
        <v>1751</v>
      </c>
      <c r="G193" s="52">
        <v>1.3177000000000001</v>
      </c>
      <c r="H193" s="53">
        <f>'Daily Halba'!$F193*'Daily Halba'!$G193</f>
        <v>2307.2927</v>
      </c>
      <c r="I193" s="54">
        <f>'Daily Halba'!$C193+'Daily Halba'!$F193</f>
        <v>3143</v>
      </c>
      <c r="J193" s="55">
        <f>'Daily Halba'!$I193*'Daily Halba'!$G193</f>
        <v>4141.5311000000002</v>
      </c>
      <c r="K193" s="56">
        <f>'ODOMETERS Halba'!L189</f>
        <v>244</v>
      </c>
      <c r="L193" s="57">
        <v>1.2793000000000001</v>
      </c>
      <c r="M193" s="58">
        <f>'Daily Halba'!$K193*'Daily Halba'!$L193</f>
        <v>312.14920000000001</v>
      </c>
      <c r="N193" s="71"/>
      <c r="O193" s="71"/>
      <c r="P193" s="71">
        <v>21</v>
      </c>
      <c r="Q193" s="71"/>
      <c r="R193" s="71"/>
      <c r="S193" s="71"/>
      <c r="T193" s="71">
        <f>200/89.7</f>
        <v>2.229654403567447</v>
      </c>
      <c r="U193" s="61">
        <f>SUM('Daily Halba'!$E193,'Daily Halba'!$H193,$M193:$T193)</f>
        <v>4476.9099544035671</v>
      </c>
      <c r="V193" s="22"/>
      <c r="W193" s="62">
        <f>1000*1.3177+15+30+10+50</f>
        <v>1422.7</v>
      </c>
      <c r="X193" s="62"/>
      <c r="Y193" s="62">
        <f>(30+10+10+9)*1.3177</f>
        <v>77.74430000000001</v>
      </c>
      <c r="Z193" s="79">
        <v>2</v>
      </c>
      <c r="AA193" s="63"/>
      <c r="AB193" s="64"/>
      <c r="AC193" s="64"/>
      <c r="AD193" s="64"/>
      <c r="AE193" s="65">
        <f t="shared" si="0"/>
        <v>0</v>
      </c>
      <c r="AF193" s="66"/>
      <c r="AG193" s="66"/>
      <c r="AH193" s="66"/>
      <c r="AI193" s="66"/>
      <c r="AJ193" s="66"/>
      <c r="AK193" s="66"/>
      <c r="AL193" s="66"/>
      <c r="AM193" s="66"/>
      <c r="AN193" s="67">
        <f t="shared" si="1"/>
        <v>0</v>
      </c>
      <c r="AO193" s="66"/>
      <c r="AP193" s="68">
        <f t="shared" si="2"/>
        <v>1502.4443000000001</v>
      </c>
      <c r="AQ193" s="69"/>
      <c r="AR193" s="22"/>
      <c r="AS193" s="70">
        <f>'Daily Halba'!$U193-'Daily Halba'!$AP193</f>
        <v>2974.465654403567</v>
      </c>
      <c r="AT193" s="5"/>
      <c r="AU193" s="5"/>
      <c r="AV193" s="5"/>
    </row>
    <row r="194" spans="1:48" ht="12.75" customHeight="1" x14ac:dyDescent="0.3">
      <c r="A194" s="49">
        <v>46111</v>
      </c>
      <c r="B194" s="77"/>
      <c r="C194" s="51">
        <f>'ODOMETERS Halba'!J190</f>
        <v>1528</v>
      </c>
      <c r="D194" s="52">
        <v>1.3177000000000001</v>
      </c>
      <c r="E194" s="53">
        <f>'Daily Halba'!$C194*'Daily Halba'!$D194</f>
        <v>2013.4456000000002</v>
      </c>
      <c r="F194" s="54">
        <f>'ODOMETERS Halba'!K190</f>
        <v>1446</v>
      </c>
      <c r="G194" s="52">
        <v>1.3177000000000001</v>
      </c>
      <c r="H194" s="53">
        <f>'Daily Halba'!$F194*'Daily Halba'!$G194</f>
        <v>1905.3942000000002</v>
      </c>
      <c r="I194" s="54">
        <f>'Daily Halba'!$C194+'Daily Halba'!$F194</f>
        <v>2974</v>
      </c>
      <c r="J194" s="55">
        <f>'Daily Halba'!$I194*'Daily Halba'!$G194</f>
        <v>3918.8398000000002</v>
      </c>
      <c r="K194" s="56">
        <f>'ODOMETERS Halba'!L190</f>
        <v>681</v>
      </c>
      <c r="L194" s="57">
        <v>1.2793000000000001</v>
      </c>
      <c r="M194" s="58">
        <f>'Daily Halba'!$K194*'Daily Halba'!$L194</f>
        <v>871.20330000000013</v>
      </c>
      <c r="N194" s="71">
        <v>6.67</v>
      </c>
      <c r="O194" s="71">
        <v>7</v>
      </c>
      <c r="P194" s="71">
        <v>84</v>
      </c>
      <c r="Q194" s="71"/>
      <c r="R194" s="71"/>
      <c r="S194" s="71">
        <v>25</v>
      </c>
      <c r="T194" s="71">
        <v>5.57</v>
      </c>
      <c r="U194" s="61">
        <f>SUM('Daily Halba'!$E194,'Daily Halba'!$H194,$M194:$T194)</f>
        <v>4918.2831000000006</v>
      </c>
      <c r="V194" s="22"/>
      <c r="W194" s="62">
        <f>20+1368+176.54-494</f>
        <v>1070.54</v>
      </c>
      <c r="X194" s="62"/>
      <c r="Y194" s="62">
        <f>187.77</f>
        <v>187.77</v>
      </c>
      <c r="Z194" s="79">
        <v>-16</v>
      </c>
      <c r="AA194" s="63"/>
      <c r="AB194" s="64"/>
      <c r="AC194" s="64">
        <v>293</v>
      </c>
      <c r="AD194" s="64"/>
      <c r="AE194" s="65">
        <f t="shared" si="0"/>
        <v>293</v>
      </c>
      <c r="AF194" s="66"/>
      <c r="AG194" s="66"/>
      <c r="AH194" s="66"/>
      <c r="AI194" s="66"/>
      <c r="AJ194" s="66">
        <v>201</v>
      </c>
      <c r="AK194" s="66"/>
      <c r="AL194" s="66"/>
      <c r="AM194" s="66"/>
      <c r="AN194" s="67">
        <f t="shared" si="1"/>
        <v>201</v>
      </c>
      <c r="AO194" s="66"/>
      <c r="AP194" s="68">
        <f t="shared" si="2"/>
        <v>1736.31</v>
      </c>
      <c r="AQ194" s="69" t="s">
        <v>196</v>
      </c>
      <c r="AR194" s="22"/>
      <c r="AS194" s="70">
        <f>'Daily Halba'!$U194-'Daily Halba'!$AP194</f>
        <v>3181.9731000000006</v>
      </c>
      <c r="AT194" s="5"/>
      <c r="AU194" s="5"/>
      <c r="AV194" s="5"/>
    </row>
    <row r="195" spans="1:48" ht="12.75" customHeight="1" x14ac:dyDescent="0.3">
      <c r="A195" s="49">
        <v>46112</v>
      </c>
      <c r="B195" s="77" t="s">
        <v>24</v>
      </c>
      <c r="C195" s="51">
        <f>'ODOMETERS Halba'!J191</f>
        <v>1029</v>
      </c>
      <c r="D195" s="52">
        <v>1.3177000000000001</v>
      </c>
      <c r="E195" s="53">
        <f>'Daily Halba'!$C195*'Daily Halba'!$D195</f>
        <v>1355.9133000000002</v>
      </c>
      <c r="F195" s="54">
        <f>'ODOMETERS Halba'!K191</f>
        <v>850</v>
      </c>
      <c r="G195" s="52">
        <v>1.3177000000000001</v>
      </c>
      <c r="H195" s="53">
        <f>'Daily Halba'!$F195*'Daily Halba'!$G195</f>
        <v>1120.0450000000001</v>
      </c>
      <c r="I195" s="54">
        <f>'Daily Halba'!$C195+'Daily Halba'!$F195</f>
        <v>1879</v>
      </c>
      <c r="J195" s="55">
        <f>'Daily Halba'!$I195*'Daily Halba'!$G195</f>
        <v>2475.9583000000002</v>
      </c>
      <c r="K195" s="56">
        <f>'ODOMETERS Halba'!L191</f>
        <v>321</v>
      </c>
      <c r="L195" s="57">
        <v>1.2793000000000001</v>
      </c>
      <c r="M195" s="58">
        <f>'Daily Halba'!$K195*'Daily Halba'!$L195</f>
        <v>410.65530000000001</v>
      </c>
      <c r="N195" s="71">
        <f>6+500/89.7</f>
        <v>11.574136008918618</v>
      </c>
      <c r="O195" s="71"/>
      <c r="P195" s="71">
        <v>21</v>
      </c>
      <c r="Q195" s="71"/>
      <c r="R195" s="71"/>
      <c r="S195" s="71"/>
      <c r="T195" s="71">
        <f>300/89.7</f>
        <v>3.3444816053511706</v>
      </c>
      <c r="U195" s="61">
        <f>SUM('Daily Halba'!$E195,'Daily Halba'!$H195,$M195:$T195)</f>
        <v>2922.5322176142699</v>
      </c>
      <c r="V195" s="22"/>
      <c r="W195" s="62">
        <f>2800/89.7+800/89.7+30+47+20+2950/89.7</f>
        <v>170.02118171683389</v>
      </c>
      <c r="X195" s="62"/>
      <c r="Y195" s="62">
        <f>213+(40+18)*1.3177</f>
        <v>289.42660000000001</v>
      </c>
      <c r="Z195" s="79"/>
      <c r="AA195" s="63"/>
      <c r="AB195" s="64"/>
      <c r="AC195" s="64"/>
      <c r="AD195" s="64"/>
      <c r="AE195" s="65">
        <f t="shared" si="0"/>
        <v>0</v>
      </c>
      <c r="AF195" s="66"/>
      <c r="AG195" s="66"/>
      <c r="AH195" s="66"/>
      <c r="AI195" s="66"/>
      <c r="AJ195" s="66"/>
      <c r="AK195" s="66"/>
      <c r="AL195" s="66"/>
      <c r="AM195" s="66"/>
      <c r="AN195" s="67">
        <f t="shared" si="1"/>
        <v>0</v>
      </c>
      <c r="AO195" s="66"/>
      <c r="AP195" s="68">
        <f t="shared" si="2"/>
        <v>459.4477817168339</v>
      </c>
      <c r="AQ195" s="69"/>
      <c r="AR195" s="22"/>
      <c r="AS195" s="70">
        <f>'Daily Halba'!$U195-'Daily Halba'!$AP195</f>
        <v>2463.0844358974359</v>
      </c>
      <c r="AT195" s="5"/>
      <c r="AU195" s="5"/>
      <c r="AV195" s="5"/>
    </row>
    <row r="196" spans="1:48" ht="12.75" customHeight="1" x14ac:dyDescent="0.3">
      <c r="A196" s="49">
        <v>46112</v>
      </c>
      <c r="B196" s="77" t="s">
        <v>25</v>
      </c>
      <c r="C196" s="51">
        <f>'ODOMETERS Halba'!J192</f>
        <v>1195</v>
      </c>
      <c r="D196" s="52">
        <v>1.3271999999999999</v>
      </c>
      <c r="E196" s="53">
        <f>'Daily Halba'!$C196*'Daily Halba'!$D196</f>
        <v>1586.0039999999999</v>
      </c>
      <c r="F196" s="54">
        <f>'ODOMETERS Halba'!K192</f>
        <v>1127</v>
      </c>
      <c r="G196" s="52">
        <v>1.3271999999999999</v>
      </c>
      <c r="H196" s="53">
        <f>'Daily Halba'!$F196*'Daily Halba'!$G196</f>
        <v>1495.7544</v>
      </c>
      <c r="I196" s="54">
        <f>'Daily Halba'!$C196+'Daily Halba'!$F196</f>
        <v>2322</v>
      </c>
      <c r="J196" s="55">
        <f>'Daily Halba'!$I196*'Daily Halba'!$G196</f>
        <v>3081.7583999999997</v>
      </c>
      <c r="K196" s="56">
        <f>'ODOMETERS Halba'!L192</f>
        <v>537</v>
      </c>
      <c r="L196" s="57">
        <v>1.3120000000000001</v>
      </c>
      <c r="M196" s="58">
        <f>'Daily Halba'!$K196*'Daily Halba'!$L196</f>
        <v>704.54399999999998</v>
      </c>
      <c r="N196" s="71">
        <v>6</v>
      </c>
      <c r="O196" s="71">
        <v>11</v>
      </c>
      <c r="P196" s="71">
        <v>21</v>
      </c>
      <c r="Q196" s="71"/>
      <c r="R196" s="71"/>
      <c r="S196" s="71">
        <v>493</v>
      </c>
      <c r="T196" s="71">
        <v>10</v>
      </c>
      <c r="U196" s="61">
        <f>SUM('Daily Halba'!$E196,'Daily Halba'!$H196,$M196:$T196)</f>
        <v>4327.3023999999996</v>
      </c>
      <c r="V196" s="22"/>
      <c r="W196" s="62">
        <v>1319</v>
      </c>
      <c r="X196" s="62"/>
      <c r="Y196" s="62">
        <f>132.72+393</f>
        <v>525.72</v>
      </c>
      <c r="Z196" s="79">
        <v>4</v>
      </c>
      <c r="AA196" s="63"/>
      <c r="AB196" s="64"/>
      <c r="AC196" s="64"/>
      <c r="AD196" s="64"/>
      <c r="AE196" s="65">
        <f t="shared" si="0"/>
        <v>0</v>
      </c>
      <c r="AF196" s="66"/>
      <c r="AG196" s="66"/>
      <c r="AH196" s="66"/>
      <c r="AI196" s="66"/>
      <c r="AJ196" s="66"/>
      <c r="AK196" s="66"/>
      <c r="AL196" s="66"/>
      <c r="AM196" s="66"/>
      <c r="AN196" s="67">
        <f t="shared" si="1"/>
        <v>0</v>
      </c>
      <c r="AO196" s="66"/>
      <c r="AP196" s="68">
        <f t="shared" si="2"/>
        <v>1848.72</v>
      </c>
      <c r="AQ196" s="69"/>
      <c r="AR196" s="22"/>
      <c r="AS196" s="70">
        <f>'Daily Halba'!$U196-'Daily Halba'!$AP196</f>
        <v>2478.5823999999993</v>
      </c>
      <c r="AT196" s="5"/>
      <c r="AU196" s="5"/>
      <c r="AV196" s="5"/>
    </row>
    <row r="197" spans="1:48" ht="12.75" customHeight="1" x14ac:dyDescent="0.3">
      <c r="A197" s="49">
        <v>46113</v>
      </c>
      <c r="B197" s="77"/>
      <c r="C197" s="51">
        <f>'ODOMETERS Halba'!J193</f>
        <v>1503</v>
      </c>
      <c r="D197" s="52">
        <v>1.3271999999999999</v>
      </c>
      <c r="E197" s="53">
        <f>'Daily Halba'!$C197*'Daily Halba'!$D197</f>
        <v>1994.7815999999998</v>
      </c>
      <c r="F197" s="54">
        <f>'ODOMETERS Halba'!K193</f>
        <v>1802</v>
      </c>
      <c r="G197" s="52">
        <v>1.3271999999999999</v>
      </c>
      <c r="H197" s="53">
        <f>'Daily Halba'!$F197*'Daily Halba'!$G197</f>
        <v>2391.6143999999999</v>
      </c>
      <c r="I197" s="54">
        <f>'Daily Halba'!$C197+'Daily Halba'!$F197</f>
        <v>3305</v>
      </c>
      <c r="J197" s="55">
        <f>'Daily Halba'!$I197*'Daily Halba'!$G197</f>
        <v>4386.3959999999997</v>
      </c>
      <c r="K197" s="56">
        <f>'ODOMETERS Halba'!L193</f>
        <v>620</v>
      </c>
      <c r="L197" s="57">
        <v>1.3120000000000001</v>
      </c>
      <c r="M197" s="58">
        <f>'Daily Halba'!$K197*'Daily Halba'!$L197</f>
        <v>813.44</v>
      </c>
      <c r="N197" s="71">
        <v>11</v>
      </c>
      <c r="O197" s="71">
        <v>22.29</v>
      </c>
      <c r="P197" s="71">
        <v>273</v>
      </c>
      <c r="Q197" s="71"/>
      <c r="R197" s="71"/>
      <c r="S197" s="71">
        <f>604+8449+1220</f>
        <v>10273</v>
      </c>
      <c r="T197" s="71">
        <v>8.91</v>
      </c>
      <c r="U197" s="61">
        <f>SUM('Daily Halba'!$E197,'Daily Halba'!$H197,$M197:$T197)</f>
        <v>15788.036</v>
      </c>
      <c r="V197" s="22"/>
      <c r="W197" s="62">
        <v>1758</v>
      </c>
      <c r="X197" s="62"/>
      <c r="Y197" s="62">
        <v>155.94</v>
      </c>
      <c r="Z197" s="79">
        <v>10</v>
      </c>
      <c r="AA197" s="63"/>
      <c r="AB197" s="64"/>
      <c r="AC197" s="64">
        <f>3571-595</f>
        <v>2976</v>
      </c>
      <c r="AD197" s="64"/>
      <c r="AE197" s="65">
        <f t="shared" si="0"/>
        <v>2976</v>
      </c>
      <c r="AF197" s="66"/>
      <c r="AG197" s="66"/>
      <c r="AH197" s="66"/>
      <c r="AI197" s="66"/>
      <c r="AJ197" s="66"/>
      <c r="AK197" s="66"/>
      <c r="AL197" s="66"/>
      <c r="AM197" s="66">
        <v>195</v>
      </c>
      <c r="AN197" s="67">
        <f t="shared" si="1"/>
        <v>195</v>
      </c>
      <c r="AO197" s="66"/>
      <c r="AP197" s="68">
        <f t="shared" si="2"/>
        <v>5094.9400000000005</v>
      </c>
      <c r="AQ197" s="69" t="s">
        <v>218</v>
      </c>
      <c r="AR197" s="22"/>
      <c r="AS197" s="70">
        <f>'Daily Halba'!$U197-'Daily Halba'!$AP197</f>
        <v>10693.096</v>
      </c>
      <c r="AT197" s="5"/>
      <c r="AU197" s="5"/>
      <c r="AV197" s="5"/>
    </row>
    <row r="198" spans="1:48" ht="12.75" customHeight="1" x14ac:dyDescent="0.3">
      <c r="A198" s="49">
        <v>46114</v>
      </c>
      <c r="B198" s="77" t="s">
        <v>24</v>
      </c>
      <c r="C198" s="51">
        <f>'ODOMETERS Halba'!J194</f>
        <v>776</v>
      </c>
      <c r="D198" s="52">
        <v>1.3271999999999999</v>
      </c>
      <c r="E198" s="53">
        <f>'Daily Halba'!$C198*'Daily Halba'!$D198</f>
        <v>1029.9071999999999</v>
      </c>
      <c r="F198" s="54">
        <f>'ODOMETERS Halba'!K194</f>
        <v>625</v>
      </c>
      <c r="G198" s="52">
        <v>1.3271999999999999</v>
      </c>
      <c r="H198" s="53">
        <f>'Daily Halba'!$F198*'Daily Halba'!$G198</f>
        <v>829.5</v>
      </c>
      <c r="I198" s="54">
        <f>'Daily Halba'!$C198+'Daily Halba'!$F198</f>
        <v>1401</v>
      </c>
      <c r="J198" s="55">
        <f>'Daily Halba'!$I198*'Daily Halba'!$G198</f>
        <v>1859.4071999999999</v>
      </c>
      <c r="K198" s="56">
        <f>'ODOMETERS Halba'!L194</f>
        <v>227</v>
      </c>
      <c r="L198" s="57">
        <v>1.3120000000000001</v>
      </c>
      <c r="M198" s="58">
        <f>'Daily Halba'!$K198*'Daily Halba'!$L198</f>
        <v>297.82400000000001</v>
      </c>
      <c r="N198" s="71">
        <v>5</v>
      </c>
      <c r="O198" s="71"/>
      <c r="P198" s="71"/>
      <c r="Q198" s="71"/>
      <c r="R198" s="71"/>
      <c r="S198" s="71">
        <v>200</v>
      </c>
      <c r="T198" s="71"/>
      <c r="U198" s="61">
        <f>SUM('Daily Halba'!$E198,'Daily Halba'!$H198,$M198:$T198)</f>
        <v>2362.2311999999997</v>
      </c>
      <c r="V198" s="22"/>
      <c r="W198" s="62">
        <v>30</v>
      </c>
      <c r="X198" s="62"/>
      <c r="Y198" s="62">
        <v>13.27</v>
      </c>
      <c r="Z198" s="79">
        <v>2</v>
      </c>
      <c r="AA198" s="63"/>
      <c r="AB198" s="64"/>
      <c r="AC198" s="64"/>
      <c r="AD198" s="64"/>
      <c r="AE198" s="65">
        <f t="shared" si="0"/>
        <v>0</v>
      </c>
      <c r="AF198" s="66"/>
      <c r="AG198" s="66"/>
      <c r="AH198" s="66"/>
      <c r="AI198" s="66"/>
      <c r="AJ198" s="66"/>
      <c r="AK198" s="66"/>
      <c r="AL198" s="66"/>
      <c r="AM198" s="66"/>
      <c r="AN198" s="67">
        <f t="shared" si="1"/>
        <v>0</v>
      </c>
      <c r="AO198" s="66"/>
      <c r="AP198" s="68">
        <f t="shared" si="2"/>
        <v>45.269999999999996</v>
      </c>
      <c r="AQ198" s="69"/>
      <c r="AR198" s="22"/>
      <c r="AS198" s="70">
        <f>'Daily Halba'!$U198-'Daily Halba'!$AP198</f>
        <v>2316.9611999999997</v>
      </c>
      <c r="AT198" s="5"/>
      <c r="AU198" s="5"/>
      <c r="AV198" s="5"/>
    </row>
    <row r="199" spans="1:48" ht="12.75" customHeight="1" x14ac:dyDescent="0.3">
      <c r="A199" s="49">
        <v>46114</v>
      </c>
      <c r="B199" s="77" t="s">
        <v>25</v>
      </c>
      <c r="C199" s="51">
        <f>'ODOMETERS Halba'!J195</f>
        <v>852</v>
      </c>
      <c r="D199" s="52">
        <v>1.3361000000000001</v>
      </c>
      <c r="E199" s="53">
        <f>'Daily Halba'!$C199*'Daily Halba'!$D199</f>
        <v>1138.3572000000001</v>
      </c>
      <c r="F199" s="54">
        <f>'ODOMETERS Halba'!K195</f>
        <v>949</v>
      </c>
      <c r="G199" s="52">
        <v>1.3361000000000001</v>
      </c>
      <c r="H199" s="53">
        <f>'Daily Halba'!$F199*'Daily Halba'!$G199</f>
        <v>1267.9589000000001</v>
      </c>
      <c r="I199" s="54">
        <f>'Daily Halba'!$C199+'Daily Halba'!$F199</f>
        <v>1801</v>
      </c>
      <c r="J199" s="55">
        <f>'Daily Halba'!$I199*'Daily Halba'!$G199</f>
        <v>2406.3161</v>
      </c>
      <c r="K199" s="56">
        <f>'ODOMETERS Halba'!L195</f>
        <v>429</v>
      </c>
      <c r="L199" s="57">
        <v>1.347</v>
      </c>
      <c r="M199" s="58">
        <f>'Daily Halba'!$K199*'Daily Halba'!$L199</f>
        <v>577.86299999999994</v>
      </c>
      <c r="N199" s="71">
        <v>10</v>
      </c>
      <c r="O199" s="71">
        <v>13.37</v>
      </c>
      <c r="P199" s="71">
        <v>21</v>
      </c>
      <c r="Q199" s="71"/>
      <c r="R199" s="71">
        <v>100</v>
      </c>
      <c r="S199" s="71"/>
      <c r="T199" s="71">
        <v>4.45</v>
      </c>
      <c r="U199" s="61">
        <f>SUM('Daily Halba'!$E199,'Daily Halba'!$H199,$M199:$T199)</f>
        <v>3132.9990999999995</v>
      </c>
      <c r="V199" s="22"/>
      <c r="W199" s="62">
        <f>1326-700</f>
        <v>626</v>
      </c>
      <c r="X199" s="62"/>
      <c r="Y199" s="62">
        <f>276+89.51</f>
        <v>365.51</v>
      </c>
      <c r="Z199" s="79"/>
      <c r="AA199" s="63"/>
      <c r="AB199" s="64"/>
      <c r="AC199" s="64"/>
      <c r="AD199" s="64"/>
      <c r="AE199" s="65">
        <f t="shared" si="0"/>
        <v>0</v>
      </c>
      <c r="AF199" s="66"/>
      <c r="AG199" s="66">
        <v>700</v>
      </c>
      <c r="AH199" s="66"/>
      <c r="AI199" s="66"/>
      <c r="AJ199" s="66"/>
      <c r="AK199" s="66"/>
      <c r="AL199" s="66"/>
      <c r="AM199" s="66"/>
      <c r="AN199" s="67">
        <f t="shared" si="1"/>
        <v>700</v>
      </c>
      <c r="AO199" s="66"/>
      <c r="AP199" s="68">
        <f t="shared" si="2"/>
        <v>1691.51</v>
      </c>
      <c r="AQ199" s="69"/>
      <c r="AR199" s="22"/>
      <c r="AS199" s="70">
        <f>'Daily Halba'!$U199-'Daily Halba'!$AP199</f>
        <v>1441.4890999999996</v>
      </c>
      <c r="AT199" s="5"/>
      <c r="AU199" s="5"/>
      <c r="AV199" s="5"/>
    </row>
    <row r="200" spans="1:48" ht="12.75" customHeight="1" x14ac:dyDescent="0.3">
      <c r="A200" s="49">
        <v>46115</v>
      </c>
      <c r="B200" s="77"/>
      <c r="C200" s="51">
        <f>'ODOMETERS Halba'!J196</f>
        <v>1339</v>
      </c>
      <c r="D200" s="52">
        <v>1.3361000000000001</v>
      </c>
      <c r="E200" s="53">
        <f>'Daily Halba'!$C200*'Daily Halba'!$D200</f>
        <v>1789.0379</v>
      </c>
      <c r="F200" s="54">
        <f>'ODOMETERS Halba'!K196</f>
        <v>1655</v>
      </c>
      <c r="G200" s="52">
        <v>1.3361000000000001</v>
      </c>
      <c r="H200" s="53">
        <f>'Daily Halba'!$F200*'Daily Halba'!$G200</f>
        <v>2211.2455</v>
      </c>
      <c r="I200" s="54">
        <f>'Daily Halba'!$C200+'Daily Halba'!$F200</f>
        <v>2994</v>
      </c>
      <c r="J200" s="55">
        <f>'Daily Halba'!$I200*'Daily Halba'!$G200</f>
        <v>4000.2834000000003</v>
      </c>
      <c r="K200" s="56">
        <f>'ODOMETERS Halba'!L196</f>
        <v>335</v>
      </c>
      <c r="L200" s="57">
        <v>1.3462000000000001</v>
      </c>
      <c r="M200" s="58">
        <f>'Daily Halba'!$K200*'Daily Halba'!$L200</f>
        <v>450.97700000000003</v>
      </c>
      <c r="N200" s="71">
        <f>600/89.7+6+300/89.7+150/89.7+6</f>
        <v>23.705685618729095</v>
      </c>
      <c r="O200" s="71">
        <f>2800/89</f>
        <v>31.460674157303369</v>
      </c>
      <c r="P200" s="71">
        <f>2*21</f>
        <v>42</v>
      </c>
      <c r="Q200" s="71"/>
      <c r="R200" s="71"/>
      <c r="S200" s="71">
        <f>2000</f>
        <v>2000</v>
      </c>
      <c r="T200" s="71">
        <v>8</v>
      </c>
      <c r="U200" s="61">
        <f>SUM('Daily Halba'!$E200,'Daily Halba'!$H200,$M200:$T200)</f>
        <v>6556.4267597760327</v>
      </c>
      <c r="V200" s="22"/>
      <c r="W200" s="62">
        <f>35+10+28+10</f>
        <v>83</v>
      </c>
      <c r="X200" s="62"/>
      <c r="Y200" s="62">
        <f>245+368+(10+20+20+20+18+20)*1.3361</f>
        <v>757.29880000000003</v>
      </c>
      <c r="Z200" s="79">
        <v>-10</v>
      </c>
      <c r="AA200" s="63"/>
      <c r="AB200" s="64"/>
      <c r="AC200" s="64"/>
      <c r="AD200" s="64"/>
      <c r="AE200" s="65">
        <f t="shared" si="0"/>
        <v>0</v>
      </c>
      <c r="AF200" s="66"/>
      <c r="AG200" s="66">
        <v>500</v>
      </c>
      <c r="AH200" s="66"/>
      <c r="AI200" s="66">
        <f>24+1500/89.7</f>
        <v>40.722408026755851</v>
      </c>
      <c r="AJ200" s="66"/>
      <c r="AK200" s="66"/>
      <c r="AL200" s="66"/>
      <c r="AM200" s="66"/>
      <c r="AN200" s="67">
        <f t="shared" si="1"/>
        <v>540.72240802675583</v>
      </c>
      <c r="AO200" s="66"/>
      <c r="AP200" s="68">
        <f t="shared" si="2"/>
        <v>1371.0212080267559</v>
      </c>
      <c r="AQ200" s="69"/>
      <c r="AR200" s="22"/>
      <c r="AS200" s="70">
        <f>'Daily Halba'!$U200-'Daily Halba'!$AP200</f>
        <v>5185.405551749277</v>
      </c>
      <c r="AT200" s="5"/>
      <c r="AU200" s="5"/>
      <c r="AV200" s="19"/>
    </row>
    <row r="201" spans="1:48" ht="12.75" customHeight="1" x14ac:dyDescent="0.3">
      <c r="A201" s="49">
        <v>46116</v>
      </c>
      <c r="B201" s="77"/>
      <c r="C201" s="51">
        <f>'ODOMETERS Halba'!J197</f>
        <v>442</v>
      </c>
      <c r="D201" s="52">
        <v>1.3361000000000001</v>
      </c>
      <c r="E201" s="53">
        <f>'Daily Halba'!$C201*'Daily Halba'!$D201</f>
        <v>590.55619999999999</v>
      </c>
      <c r="F201" s="54">
        <f>'ODOMETERS Halba'!K197</f>
        <v>2843</v>
      </c>
      <c r="G201" s="52">
        <v>1.3361000000000001</v>
      </c>
      <c r="H201" s="53">
        <f>'Daily Halba'!$F201*'Daily Halba'!$G201</f>
        <v>3798.5323000000003</v>
      </c>
      <c r="I201" s="54">
        <f>'Daily Halba'!$C201+'Daily Halba'!$F201</f>
        <v>3285</v>
      </c>
      <c r="J201" s="55">
        <f>'Daily Halba'!$I201*'Daily Halba'!$G201</f>
        <v>4389.0884999999998</v>
      </c>
      <c r="K201" s="56">
        <f>'ODOMETERS Halba'!L197</f>
        <v>734</v>
      </c>
      <c r="L201" s="57">
        <v>1.3462000000000001</v>
      </c>
      <c r="M201" s="58">
        <f>'Daily Halba'!$K201*'Daily Halba'!$L201</f>
        <v>988.11080000000004</v>
      </c>
      <c r="N201" s="71">
        <f>300/89.7+6.5+350/89.7+5+6+6+600/89.7+300/89.7</f>
        <v>40.779821627647713</v>
      </c>
      <c r="O201" s="71">
        <f>5+8+10+8+8+9+6+7</f>
        <v>61</v>
      </c>
      <c r="P201" s="71">
        <f>21</f>
        <v>21</v>
      </c>
      <c r="Q201" s="71"/>
      <c r="R201" s="71"/>
      <c r="S201" s="71"/>
      <c r="T201" s="71">
        <f>700/89.7+225/89.7</f>
        <v>10.312151616499442</v>
      </c>
      <c r="U201" s="61">
        <f>SUM('Daily Halba'!$E201,'Daily Halba'!$H201,$M201:$T201)</f>
        <v>5510.2912732441473</v>
      </c>
      <c r="V201" s="22"/>
      <c r="W201" s="62">
        <f>8+30+25+500+35+15+15+20+80+5+1000/89.7+30+240*1.3462</f>
        <v>1097.2362720178373</v>
      </c>
      <c r="X201" s="62"/>
      <c r="Y201" s="62">
        <f>(20+50+18+27.5+37+30+27.5+9)*1.3361</f>
        <v>292.60590000000002</v>
      </c>
      <c r="Z201" s="79">
        <v>-10</v>
      </c>
      <c r="AA201" s="63"/>
      <c r="AB201" s="64"/>
      <c r="AC201" s="64">
        <v>134</v>
      </c>
      <c r="AD201" s="64"/>
      <c r="AE201" s="65">
        <f t="shared" si="0"/>
        <v>134</v>
      </c>
      <c r="AF201" s="66"/>
      <c r="AG201" s="66"/>
      <c r="AH201" s="66"/>
      <c r="AI201" s="66"/>
      <c r="AJ201" s="66"/>
      <c r="AK201" s="66"/>
      <c r="AL201" s="66"/>
      <c r="AM201" s="66"/>
      <c r="AN201" s="67">
        <f t="shared" si="1"/>
        <v>0</v>
      </c>
      <c r="AO201" s="66">
        <v>3400</v>
      </c>
      <c r="AP201" s="68">
        <f t="shared" si="2"/>
        <v>4913.8421720178376</v>
      </c>
      <c r="AQ201" s="69"/>
      <c r="AR201" s="22"/>
      <c r="AS201" s="70">
        <f>'Daily Halba'!$U201-'Daily Halba'!$AP201</f>
        <v>596.44910122630972</v>
      </c>
      <c r="AT201" s="5"/>
      <c r="AU201" s="5"/>
      <c r="AV201" s="19"/>
    </row>
    <row r="202" spans="1:48" ht="12.75" customHeight="1" x14ac:dyDescent="0.3">
      <c r="A202" s="49">
        <v>46117</v>
      </c>
      <c r="B202" s="77"/>
      <c r="C202" s="51">
        <f>'ODOMETERS Halba'!J198</f>
        <v>343</v>
      </c>
      <c r="D202" s="52">
        <v>1.3361000000000001</v>
      </c>
      <c r="E202" s="53">
        <f>'Daily Halba'!$C202*'Daily Halba'!$D202</f>
        <v>458.28230000000002</v>
      </c>
      <c r="F202" s="54">
        <f>'ODOMETERS Halba'!K198</f>
        <v>3071</v>
      </c>
      <c r="G202" s="52">
        <v>1.3361000000000001</v>
      </c>
      <c r="H202" s="53">
        <f>'Daily Halba'!$F202*'Daily Halba'!$G202</f>
        <v>4103.1630999999998</v>
      </c>
      <c r="I202" s="54">
        <f>'Daily Halba'!$C202+'Daily Halba'!$F202</f>
        <v>3414</v>
      </c>
      <c r="J202" s="55">
        <f>'Daily Halba'!$I202*'Daily Halba'!$G202</f>
        <v>4561.4454000000005</v>
      </c>
      <c r="K202" s="56">
        <f>'ODOMETERS Halba'!L198</f>
        <v>205</v>
      </c>
      <c r="L202" s="57">
        <v>1.3462000000000001</v>
      </c>
      <c r="M202" s="58">
        <f>'Daily Halba'!$K202*'Daily Halba'!$L202</f>
        <v>275.971</v>
      </c>
      <c r="N202" s="71">
        <f>1200/89.7+600/89.7</f>
        <v>20.066889632107024</v>
      </c>
      <c r="O202" s="71">
        <f>5+4+4+3+4+5+5+4+4+5+3</f>
        <v>46</v>
      </c>
      <c r="P202" s="71">
        <v>21</v>
      </c>
      <c r="Q202" s="71"/>
      <c r="R202" s="71"/>
      <c r="S202" s="71"/>
      <c r="T202" s="71">
        <f>(150/89.7+150/89.7)</f>
        <v>3.3444816053511706</v>
      </c>
      <c r="U202" s="61">
        <f>SUM('Daily Halba'!$E202,'Daily Halba'!$H202,$M202:$T202)</f>
        <v>4927.8277712374584</v>
      </c>
      <c r="V202" s="22"/>
      <c r="W202" s="62">
        <f>95+20+20+20+42+60+50</f>
        <v>307</v>
      </c>
      <c r="X202" s="62"/>
      <c r="Y202" s="62">
        <f>(18+20+10+10+10+27.5+57+18.5)*1.3361</f>
        <v>228.47310000000002</v>
      </c>
      <c r="Z202" s="79">
        <v>-2</v>
      </c>
      <c r="AA202" s="63"/>
      <c r="AB202" s="64"/>
      <c r="AC202" s="64"/>
      <c r="AD202" s="64"/>
      <c r="AE202" s="65">
        <f t="shared" si="0"/>
        <v>0</v>
      </c>
      <c r="AF202" s="66"/>
      <c r="AG202" s="66"/>
      <c r="AH202" s="66"/>
      <c r="AI202" s="66">
        <v>8</v>
      </c>
      <c r="AJ202" s="66"/>
      <c r="AK202" s="66"/>
      <c r="AL202" s="66"/>
      <c r="AM202" s="66"/>
      <c r="AN202" s="67">
        <f t="shared" si="1"/>
        <v>8</v>
      </c>
      <c r="AO202" s="66">
        <v>1100</v>
      </c>
      <c r="AP202" s="68">
        <f t="shared" si="2"/>
        <v>1641.4731000000002</v>
      </c>
      <c r="AQ202" s="69"/>
      <c r="AR202" s="22"/>
      <c r="AS202" s="70">
        <f>'Daily Halba'!$U202-'Daily Halba'!$AP202</f>
        <v>3286.3546712374582</v>
      </c>
      <c r="AT202" s="5"/>
      <c r="AU202" s="5"/>
      <c r="AV202" s="5"/>
    </row>
    <row r="203" spans="1:48" ht="12.75" customHeight="1" x14ac:dyDescent="0.3">
      <c r="A203" s="49">
        <v>46118</v>
      </c>
      <c r="B203" s="77"/>
      <c r="C203" s="51">
        <f>'ODOMETERS Halba'!J199</f>
        <v>659</v>
      </c>
      <c r="D203" s="52">
        <v>1.3361000000000001</v>
      </c>
      <c r="E203" s="53">
        <f>'Daily Halba'!$C203*'Daily Halba'!$D203</f>
        <v>880.48990000000003</v>
      </c>
      <c r="F203" s="54">
        <f>'ODOMETERS Halba'!K199</f>
        <v>2568</v>
      </c>
      <c r="G203" s="52">
        <v>1.3361000000000001</v>
      </c>
      <c r="H203" s="53">
        <f>'Daily Halba'!$F203*'Daily Halba'!$G203</f>
        <v>3431.1048000000001</v>
      </c>
      <c r="I203" s="54">
        <f>'Daily Halba'!$C203+'Daily Halba'!$F203</f>
        <v>3227</v>
      </c>
      <c r="J203" s="55">
        <f>'Daily Halba'!$I203*'Daily Halba'!$G203</f>
        <v>4311.5947000000006</v>
      </c>
      <c r="K203" s="56">
        <f>'ODOMETERS Halba'!L199</f>
        <v>389</v>
      </c>
      <c r="L203" s="57">
        <v>1.3462000000000001</v>
      </c>
      <c r="M203" s="58">
        <f>'Daily Halba'!$K203*'Daily Halba'!$L203</f>
        <v>523.67180000000008</v>
      </c>
      <c r="N203" s="71">
        <v>21.9</v>
      </c>
      <c r="O203" s="71">
        <v>34</v>
      </c>
      <c r="P203" s="71">
        <v>21</v>
      </c>
      <c r="Q203" s="71"/>
      <c r="R203" s="71"/>
      <c r="S203" s="71">
        <f>50+1158</f>
        <v>1208</v>
      </c>
      <c r="T203" s="71">
        <v>10</v>
      </c>
      <c r="U203" s="61">
        <f>SUM('Daily Halba'!$E203,'Daily Halba'!$H203,$M203:$T203)</f>
        <v>6130.1664999999994</v>
      </c>
      <c r="V203" s="22"/>
      <c r="W203" s="62">
        <v>374</v>
      </c>
      <c r="X203" s="62"/>
      <c r="Y203" s="62">
        <f>233.14+26.92</f>
        <v>260.06</v>
      </c>
      <c r="Z203" s="79">
        <v>53</v>
      </c>
      <c r="AA203" s="63"/>
      <c r="AB203" s="64"/>
      <c r="AC203" s="64"/>
      <c r="AD203" s="64"/>
      <c r="AE203" s="65">
        <f t="shared" si="0"/>
        <v>0</v>
      </c>
      <c r="AF203" s="66"/>
      <c r="AG203" s="66"/>
      <c r="AH203" s="66"/>
      <c r="AI203" s="66"/>
      <c r="AJ203" s="66"/>
      <c r="AK203" s="66"/>
      <c r="AL203" s="66"/>
      <c r="AM203" s="66"/>
      <c r="AN203" s="67">
        <f t="shared" si="1"/>
        <v>0</v>
      </c>
      <c r="AO203" s="66"/>
      <c r="AP203" s="68">
        <f t="shared" si="2"/>
        <v>687.06</v>
      </c>
      <c r="AQ203" s="69"/>
      <c r="AR203" s="22"/>
      <c r="AS203" s="70">
        <f>'Daily Halba'!$U203-'Daily Halba'!$AP203</f>
        <v>5443.1064999999999</v>
      </c>
      <c r="AT203" s="5"/>
      <c r="AU203" s="5"/>
      <c r="AV203" s="5"/>
    </row>
    <row r="204" spans="1:48" ht="12.75" customHeight="1" x14ac:dyDescent="0.3">
      <c r="A204" s="49">
        <v>46088</v>
      </c>
      <c r="B204" s="77" t="s">
        <v>24</v>
      </c>
      <c r="C204" s="51">
        <f>'ODOMETERS Halba'!J200</f>
        <v>900</v>
      </c>
      <c r="D204" s="52">
        <v>1.3361000000000001</v>
      </c>
      <c r="E204" s="53">
        <f>'Daily Halba'!$C204*'Daily Halba'!$D204</f>
        <v>1202.49</v>
      </c>
      <c r="F204" s="54">
        <f>'ODOMETERS Halba'!K200</f>
        <v>587</v>
      </c>
      <c r="G204" s="52">
        <v>1.3361000000000001</v>
      </c>
      <c r="H204" s="53">
        <f>'Daily Halba'!$F204*'Daily Halba'!$G204</f>
        <v>784.29070000000002</v>
      </c>
      <c r="I204" s="54">
        <f>'Daily Halba'!$C204+'Daily Halba'!$F204</f>
        <v>1487</v>
      </c>
      <c r="J204" s="55">
        <f>'Daily Halba'!$I204*'Daily Halba'!$G204</f>
        <v>1986.7807</v>
      </c>
      <c r="K204" s="56">
        <f>'ODOMETERS Halba'!L200</f>
        <v>326</v>
      </c>
      <c r="L204" s="57">
        <v>1.3462000000000001</v>
      </c>
      <c r="M204" s="58">
        <f>'Daily Halba'!$K204*'Daily Halba'!$L204</f>
        <v>438.8612</v>
      </c>
      <c r="N204" s="71">
        <f>200/89.7</f>
        <v>2.229654403567447</v>
      </c>
      <c r="O204" s="71">
        <f>5+400/89.7</f>
        <v>9.4593088071348941</v>
      </c>
      <c r="P204" s="71"/>
      <c r="Q204" s="71"/>
      <c r="R204" s="71"/>
      <c r="S204" s="71">
        <f>97</f>
        <v>97</v>
      </c>
      <c r="T204" s="71">
        <f>350/89.7</f>
        <v>3.9018952062430321</v>
      </c>
      <c r="U204" s="61">
        <f>SUM('Daily Halba'!$E204,'Daily Halba'!$H204,$M204:$T204)</f>
        <v>2538.2327584169452</v>
      </c>
      <c r="V204" s="22"/>
      <c r="W204" s="62">
        <f>10+15+6</f>
        <v>31</v>
      </c>
      <c r="X204" s="62"/>
      <c r="Y204" s="62">
        <f>(20+20)*1.3361</f>
        <v>53.444000000000003</v>
      </c>
      <c r="Z204" s="79"/>
      <c r="AA204" s="63"/>
      <c r="AB204" s="64"/>
      <c r="AC204" s="64"/>
      <c r="AD204" s="64"/>
      <c r="AE204" s="65">
        <f t="shared" si="0"/>
        <v>0</v>
      </c>
      <c r="AF204" s="66"/>
      <c r="AG204" s="66"/>
      <c r="AH204" s="66"/>
      <c r="AI204" s="66"/>
      <c r="AJ204" s="66"/>
      <c r="AK204" s="66"/>
      <c r="AL204" s="66"/>
      <c r="AM204" s="66"/>
      <c r="AN204" s="67">
        <f t="shared" si="1"/>
        <v>0</v>
      </c>
      <c r="AO204" s="66"/>
      <c r="AP204" s="68">
        <f t="shared" si="2"/>
        <v>84.444000000000003</v>
      </c>
      <c r="AQ204" s="69"/>
      <c r="AR204" s="22"/>
      <c r="AS204" s="70">
        <f>'Daily Halba'!$U204-'Daily Halba'!$AP204</f>
        <v>2453.7887584169453</v>
      </c>
      <c r="AT204" s="5"/>
      <c r="AU204" s="5"/>
      <c r="AV204" s="5"/>
    </row>
    <row r="205" spans="1:48" ht="12.75" customHeight="1" x14ac:dyDescent="0.3">
      <c r="A205" s="49">
        <v>46119</v>
      </c>
      <c r="B205" s="77" t="s">
        <v>25</v>
      </c>
      <c r="C205" s="51">
        <f>'ODOMETERS Halba'!J201</f>
        <v>845</v>
      </c>
      <c r="D205" s="52">
        <v>1.3244</v>
      </c>
      <c r="E205" s="53">
        <f>'Daily Halba'!$C205*'Daily Halba'!$D205</f>
        <v>1119.1179999999999</v>
      </c>
      <c r="F205" s="54">
        <f>'ODOMETERS Halba'!K201</f>
        <v>803</v>
      </c>
      <c r="G205" s="52">
        <v>1.3244</v>
      </c>
      <c r="H205" s="53">
        <f>'Daily Halba'!$F205*'Daily Halba'!$G205</f>
        <v>1063.4932000000001</v>
      </c>
      <c r="I205" s="54">
        <f>'Daily Halba'!$C205+'Daily Halba'!$F205</f>
        <v>1648</v>
      </c>
      <c r="J205" s="55">
        <f>'Daily Halba'!$I205*'Daily Halba'!$G205</f>
        <v>2182.6111999999998</v>
      </c>
      <c r="K205" s="56">
        <f>'ODOMETERS Halba'!L201</f>
        <v>663</v>
      </c>
      <c r="L205" s="57">
        <v>1.3612</v>
      </c>
      <c r="M205" s="58">
        <f>'Daily Halba'!$K205*'Daily Halba'!$L205</f>
        <v>902.47559999999999</v>
      </c>
      <c r="N205" s="71">
        <f>300/89.7+350/89.7+300/89.7</f>
        <v>10.590858416945373</v>
      </c>
      <c r="O205" s="71">
        <f>(800+400+300)/89.7</f>
        <v>16.722408026755851</v>
      </c>
      <c r="P205" s="71">
        <v>42</v>
      </c>
      <c r="Q205" s="71"/>
      <c r="R205" s="71"/>
      <c r="S205" s="71">
        <f>508+90</f>
        <v>598</v>
      </c>
      <c r="T205" s="71"/>
      <c r="U205" s="61">
        <f>SUM('Daily Halba'!$E205,'Daily Halba'!$H205,$M205:$T205)</f>
        <v>3752.4000664437017</v>
      </c>
      <c r="V205" s="22"/>
      <c r="W205" s="62">
        <f>30+55+20+30+5+500*1.3612+22+120</f>
        <v>962.6</v>
      </c>
      <c r="X205" s="62"/>
      <c r="Y205" s="62"/>
      <c r="Z205" s="79"/>
      <c r="AA205" s="63"/>
      <c r="AB205" s="64"/>
      <c r="AC205" s="64"/>
      <c r="AD205" s="64"/>
      <c r="AE205" s="65">
        <f t="shared" si="0"/>
        <v>0</v>
      </c>
      <c r="AF205" s="66"/>
      <c r="AG205" s="66"/>
      <c r="AH205" s="66"/>
      <c r="AI205" s="66">
        <f>23</f>
        <v>23</v>
      </c>
      <c r="AJ205" s="66"/>
      <c r="AK205" s="66">
        <f>600/89.7</f>
        <v>6.6889632107023411</v>
      </c>
      <c r="AL205" s="66"/>
      <c r="AM205" s="66"/>
      <c r="AN205" s="67">
        <f t="shared" si="1"/>
        <v>29.68896321070234</v>
      </c>
      <c r="AO205" s="66"/>
      <c r="AP205" s="68">
        <f t="shared" si="2"/>
        <v>992.28896321070238</v>
      </c>
      <c r="AQ205" s="69"/>
      <c r="AR205" s="22"/>
      <c r="AS205" s="70">
        <f>'Daily Halba'!$U205-'Daily Halba'!$AP205</f>
        <v>2760.1111032329991</v>
      </c>
      <c r="AT205" s="5"/>
      <c r="AU205" s="5"/>
      <c r="AV205" s="5"/>
    </row>
    <row r="206" spans="1:48" ht="12.75" customHeight="1" x14ac:dyDescent="0.3">
      <c r="A206" s="49">
        <v>46120</v>
      </c>
      <c r="B206" s="77"/>
      <c r="C206" s="51">
        <f>'ODOMETERS Halba'!J202</f>
        <v>1436</v>
      </c>
      <c r="D206" s="52">
        <v>1.3244</v>
      </c>
      <c r="E206" s="53">
        <f>'Daily Halba'!$C206*'Daily Halba'!$D206</f>
        <v>1901.8384000000001</v>
      </c>
      <c r="F206" s="54">
        <f>'ODOMETERS Halba'!K202</f>
        <v>4546</v>
      </c>
      <c r="G206" s="52">
        <v>1.3244</v>
      </c>
      <c r="H206" s="53">
        <f>'Daily Halba'!$F206*'Daily Halba'!$G206</f>
        <v>6020.7223999999997</v>
      </c>
      <c r="I206" s="54">
        <f>'Daily Halba'!$C206+'Daily Halba'!$F206</f>
        <v>5982</v>
      </c>
      <c r="J206" s="55">
        <f>'Daily Halba'!$I206*'Daily Halba'!$G206</f>
        <v>7922.5608000000002</v>
      </c>
      <c r="K206" s="56">
        <f>'ODOMETERS Halba'!L202</f>
        <v>528</v>
      </c>
      <c r="L206" s="57">
        <v>1.3612</v>
      </c>
      <c r="M206" s="58">
        <f>'Daily Halba'!$K206*'Daily Halba'!$L206</f>
        <v>718.71359999999993</v>
      </c>
      <c r="N206" s="71">
        <v>66.900000000000006</v>
      </c>
      <c r="O206" s="71">
        <v>15.6</v>
      </c>
      <c r="P206" s="71">
        <v>20</v>
      </c>
      <c r="Q206" s="71"/>
      <c r="R206" s="71"/>
      <c r="S206" s="71"/>
      <c r="T206" s="71">
        <v>5.57</v>
      </c>
      <c r="U206" s="61">
        <f>SUM('Daily Halba'!$E206,'Daily Halba'!$H206,$M206:$T206)</f>
        <v>8749.3443999999981</v>
      </c>
      <c r="V206" s="22"/>
      <c r="W206" s="62">
        <f>206+326.68</f>
        <v>532.68000000000006</v>
      </c>
      <c r="X206" s="62">
        <f>3000*1.3244</f>
        <v>3973.2000000000003</v>
      </c>
      <c r="Y206" s="62">
        <v>179</v>
      </c>
      <c r="Z206" s="79">
        <v>98</v>
      </c>
      <c r="AA206" s="63"/>
      <c r="AB206" s="64"/>
      <c r="AC206" s="64"/>
      <c r="AD206" s="64"/>
      <c r="AE206" s="65">
        <f t="shared" si="0"/>
        <v>0</v>
      </c>
      <c r="AF206" s="66"/>
      <c r="AG206" s="66"/>
      <c r="AH206" s="66"/>
      <c r="AI206" s="66"/>
      <c r="AJ206" s="66"/>
      <c r="AK206" s="66"/>
      <c r="AL206" s="66"/>
      <c r="AM206" s="66"/>
      <c r="AN206" s="67">
        <f t="shared" si="1"/>
        <v>0</v>
      </c>
      <c r="AO206" s="66"/>
      <c r="AP206" s="68">
        <f t="shared" si="2"/>
        <v>4782.88</v>
      </c>
      <c r="AQ206" s="69"/>
      <c r="AR206" s="22"/>
      <c r="AS206" s="70">
        <f>'Daily Halba'!$U206-'Daily Halba'!$AP206</f>
        <v>3966.464399999998</v>
      </c>
      <c r="AT206" s="5"/>
      <c r="AU206" s="5"/>
      <c r="AV206" s="5"/>
    </row>
    <row r="207" spans="1:48" ht="12.75" customHeight="1" x14ac:dyDescent="0.3">
      <c r="A207" s="49">
        <v>46121</v>
      </c>
      <c r="B207" s="77"/>
      <c r="C207" s="51">
        <f>'ODOMETERS Halba'!J203</f>
        <v>2044</v>
      </c>
      <c r="D207" s="52">
        <v>1.3244</v>
      </c>
      <c r="E207" s="53">
        <f>'Daily Halba'!$C207*'Daily Halba'!$D207</f>
        <v>2707.0736000000002</v>
      </c>
      <c r="F207" s="54">
        <f>'ODOMETERS Halba'!K203</f>
        <v>2571</v>
      </c>
      <c r="G207" s="52">
        <v>1.3244</v>
      </c>
      <c r="H207" s="53">
        <f>'Daily Halba'!$F207*'Daily Halba'!$G207</f>
        <v>3405.0324000000001</v>
      </c>
      <c r="I207" s="54">
        <f>'Daily Halba'!$C207+'Daily Halba'!$F207</f>
        <v>4615</v>
      </c>
      <c r="J207" s="55">
        <f>'Daily Halba'!$I207*'Daily Halba'!$G207</f>
        <v>6112.1059999999998</v>
      </c>
      <c r="K207" s="56">
        <f>'ODOMETERS Halba'!L203</f>
        <v>212</v>
      </c>
      <c r="L207" s="57">
        <v>1.3612</v>
      </c>
      <c r="M207" s="58">
        <f>'Daily Halba'!$K207*'Daily Halba'!$L207</f>
        <v>288.57439999999997</v>
      </c>
      <c r="N207" s="71">
        <f>6+350/89.7</f>
        <v>9.901895206243033</v>
      </c>
      <c r="O207" s="71">
        <f>5+400/89.7+1600/89.7</f>
        <v>27.296544035674472</v>
      </c>
      <c r="P207" s="71">
        <v>20</v>
      </c>
      <c r="Q207" s="71"/>
      <c r="R207" s="71"/>
      <c r="S207" s="71">
        <f>500+3380*26.03/20+1500*24.5/20</f>
        <v>6736.5700000000006</v>
      </c>
      <c r="T207" s="71">
        <f>925/89.7+250/89.7</f>
        <v>13.099219620958751</v>
      </c>
      <c r="U207" s="61">
        <f>SUM('Daily Halba'!$E207,'Daily Halba'!$H207,$M207:$T207)</f>
        <v>13207.548058862878</v>
      </c>
      <c r="V207" s="22"/>
      <c r="W207" s="62">
        <f>27+35+10+10+25+1500*1.3244+70+25+20</f>
        <v>2208.6000000000004</v>
      </c>
      <c r="X207" s="62"/>
      <c r="Y207" s="62">
        <f>(40+18+20+10+20+20+30)*1.3244+205+15000/89.7+4000/89.7</f>
        <v>626.07236833890749</v>
      </c>
      <c r="Z207" s="79"/>
      <c r="AA207" s="63"/>
      <c r="AB207" s="64"/>
      <c r="AC207" s="64"/>
      <c r="AD207" s="64"/>
      <c r="AE207" s="65">
        <f t="shared" si="0"/>
        <v>0</v>
      </c>
      <c r="AF207" s="66"/>
      <c r="AG207" s="66"/>
      <c r="AH207" s="66"/>
      <c r="AI207" s="66"/>
      <c r="AJ207" s="66"/>
      <c r="AK207" s="66"/>
      <c r="AL207" s="66"/>
      <c r="AM207" s="66"/>
      <c r="AN207" s="67">
        <f t="shared" si="1"/>
        <v>0</v>
      </c>
      <c r="AO207" s="66"/>
      <c r="AP207" s="68">
        <f t="shared" si="2"/>
        <v>2834.6723683389077</v>
      </c>
      <c r="AQ207" s="69"/>
      <c r="AR207" s="22"/>
      <c r="AS207" s="70">
        <f>'Daily Halba'!$U207-'Daily Halba'!$AP207</f>
        <v>10372.87569052397</v>
      </c>
      <c r="AT207" s="5"/>
      <c r="AU207" s="5"/>
      <c r="AV207" s="19"/>
    </row>
    <row r="208" spans="1:48" ht="12.75" customHeight="1" x14ac:dyDescent="0.3">
      <c r="A208" s="49">
        <v>46122</v>
      </c>
      <c r="B208" s="77"/>
      <c r="C208" s="51">
        <f>'ODOMETERS Halba'!J204</f>
        <v>3023</v>
      </c>
      <c r="D208" s="52">
        <v>1.3244</v>
      </c>
      <c r="E208" s="53">
        <f>'Daily Halba'!$C208*'Daily Halba'!$D208</f>
        <v>4003.6612</v>
      </c>
      <c r="F208" s="54">
        <f>'ODOMETERS Halba'!K204</f>
        <v>1632</v>
      </c>
      <c r="G208" s="52">
        <v>1.3244</v>
      </c>
      <c r="H208" s="53">
        <f>'Daily Halba'!$F208*'Daily Halba'!$G208</f>
        <v>2161.4207999999999</v>
      </c>
      <c r="I208" s="54">
        <f>'Daily Halba'!$C208+'Daily Halba'!$F208</f>
        <v>4655</v>
      </c>
      <c r="J208" s="55">
        <f>'Daily Halba'!$I208*'Daily Halba'!$G208</f>
        <v>6165.0820000000003</v>
      </c>
      <c r="K208" s="56">
        <f>'ODOMETERS Halba'!L204</f>
        <v>580</v>
      </c>
      <c r="L208" s="57">
        <v>1.3612</v>
      </c>
      <c r="M208" s="58">
        <f>'Daily Halba'!$K208*'Daily Halba'!$L208</f>
        <v>789.49599999999998</v>
      </c>
      <c r="N208" s="71">
        <f>(350+400+300+350)/89.7+12+5</f>
        <v>32.607580824972132</v>
      </c>
      <c r="O208" s="71">
        <f>(400+400+700+400+100+300+400)/89.7</f>
        <v>30.100334448160535</v>
      </c>
      <c r="P208" s="71">
        <v>20</v>
      </c>
      <c r="Q208" s="71"/>
      <c r="R208" s="71"/>
      <c r="S208" s="71"/>
      <c r="T208" s="71">
        <f>(300+300+100+500+200)/89.7</f>
        <v>15.607580824972128</v>
      </c>
      <c r="U208" s="61">
        <f>SUM('Daily Halba'!$E208,'Daily Halba'!$H208,$M208:$T208)</f>
        <v>7052.893496098106</v>
      </c>
      <c r="V208" s="22"/>
      <c r="W208" s="62">
        <f>10+30+32+10+2450/89.7+200*1.3612+50+10+50</f>
        <v>491.5532664437012</v>
      </c>
      <c r="X208" s="62">
        <f>1500*1.3244</f>
        <v>1986.6000000000001</v>
      </c>
      <c r="Y208" s="62">
        <f>(27+10+45+50+20+18+40+40+18.5+10)*1.3244</f>
        <v>368.84539999999998</v>
      </c>
      <c r="Z208" s="79"/>
      <c r="AA208" s="63"/>
      <c r="AB208" s="64"/>
      <c r="AC208" s="64"/>
      <c r="AD208" s="64"/>
      <c r="AE208" s="65">
        <f t="shared" si="0"/>
        <v>0</v>
      </c>
      <c r="AF208" s="66"/>
      <c r="AG208" s="66"/>
      <c r="AH208" s="66"/>
      <c r="AI208" s="66">
        <v>20</v>
      </c>
      <c r="AJ208" s="66"/>
      <c r="AK208" s="66">
        <f>10+15</f>
        <v>25</v>
      </c>
      <c r="AL208" s="66"/>
      <c r="AM208" s="66"/>
      <c r="AN208" s="67">
        <f t="shared" si="1"/>
        <v>45</v>
      </c>
      <c r="AO208" s="66"/>
      <c r="AP208" s="68">
        <f t="shared" si="2"/>
        <v>2891.9986664437015</v>
      </c>
      <c r="AQ208" s="69"/>
      <c r="AR208" s="22"/>
      <c r="AS208" s="70">
        <f>'Daily Halba'!$U208-'Daily Halba'!$AP208</f>
        <v>4160.894829654404</v>
      </c>
      <c r="AT208" s="5"/>
      <c r="AU208" s="5"/>
      <c r="AV208" s="19"/>
    </row>
    <row r="209" spans="1:48" ht="12.75" customHeight="1" x14ac:dyDescent="0.3">
      <c r="A209" s="49">
        <v>46123</v>
      </c>
      <c r="B209" s="77"/>
      <c r="C209" s="51">
        <f>'ODOMETERS Halba'!J205</f>
        <v>1916</v>
      </c>
      <c r="D209" s="52">
        <v>1.3244</v>
      </c>
      <c r="E209" s="53">
        <f>'Daily Halba'!$C209*'Daily Halba'!$D209</f>
        <v>2537.5504000000001</v>
      </c>
      <c r="F209" s="54">
        <f>'ODOMETERS Halba'!K205</f>
        <v>1386</v>
      </c>
      <c r="G209" s="52">
        <v>1.3244</v>
      </c>
      <c r="H209" s="53">
        <f>'Daily Halba'!$F209*'Daily Halba'!$G209</f>
        <v>1835.6184000000001</v>
      </c>
      <c r="I209" s="54">
        <f>'Daily Halba'!$C209+'Daily Halba'!$F209</f>
        <v>3302</v>
      </c>
      <c r="J209" s="55">
        <f>'Daily Halba'!$I209*'Daily Halba'!$G209</f>
        <v>4373.1688000000004</v>
      </c>
      <c r="K209" s="56">
        <f>'ODOMETERS Halba'!L205</f>
        <v>3224</v>
      </c>
      <c r="L209" s="57">
        <v>1.3612</v>
      </c>
      <c r="M209" s="58">
        <f>'Daily Halba'!$K209*'Daily Halba'!$L209</f>
        <v>4388.5087999999996</v>
      </c>
      <c r="N209" s="71">
        <v>12</v>
      </c>
      <c r="O209" s="71">
        <f>400/89.7+5+300/89.7+5+400/89.7+700/89.7+300/89.7</f>
        <v>33.411371237458198</v>
      </c>
      <c r="P209" s="71">
        <v>40</v>
      </c>
      <c r="Q209" s="71"/>
      <c r="R209" s="71"/>
      <c r="S209" s="71">
        <f>10+3000*26.02/20</f>
        <v>3913</v>
      </c>
      <c r="T209" s="71">
        <f>450/89.7</f>
        <v>5.0167224080267561</v>
      </c>
      <c r="U209" s="61">
        <f>SUM('Daily Halba'!$E209,'Daily Halba'!$H209,$M209:$T209)</f>
        <v>12765.105693645484</v>
      </c>
      <c r="V209" s="22"/>
      <c r="W209" s="62">
        <f>3000*1.3612+10+10+50+20+25+30+25+20+47+10+25</f>
        <v>4355.6000000000004</v>
      </c>
      <c r="X209" s="62"/>
      <c r="Y209" s="62">
        <f>(27.5+20+20+10+20)*1.3244</f>
        <v>129.12899999999999</v>
      </c>
      <c r="Z209" s="79">
        <v>-12</v>
      </c>
      <c r="AA209" s="63">
        <v>147</v>
      </c>
      <c r="AB209" s="64"/>
      <c r="AC209" s="64"/>
      <c r="AD209" s="64"/>
      <c r="AE209" s="65">
        <f t="shared" si="0"/>
        <v>147</v>
      </c>
      <c r="AF209" s="66"/>
      <c r="AG209" s="66">
        <v>100</v>
      </c>
      <c r="AH209" s="66"/>
      <c r="AI209" s="66">
        <v>11</v>
      </c>
      <c r="AJ209" s="66"/>
      <c r="AK209" s="66"/>
      <c r="AL209" s="66"/>
      <c r="AM209" s="66"/>
      <c r="AN209" s="67">
        <f t="shared" si="1"/>
        <v>111</v>
      </c>
      <c r="AO209" s="66"/>
      <c r="AP209" s="68">
        <f t="shared" si="2"/>
        <v>4730.7290000000003</v>
      </c>
      <c r="AQ209" s="69"/>
      <c r="AR209" s="22"/>
      <c r="AS209" s="70">
        <f>'Daily Halba'!$U209-'Daily Halba'!$AP209</f>
        <v>8034.376693645484</v>
      </c>
      <c r="AT209" s="5"/>
      <c r="AU209" s="5"/>
      <c r="AV209" s="19"/>
    </row>
    <row r="210" spans="1:48" ht="12.75" customHeight="1" x14ac:dyDescent="0.3">
      <c r="A210" s="49">
        <v>46124</v>
      </c>
      <c r="B210" s="77"/>
      <c r="C210" s="51">
        <f>'ODOMETERS Halba'!J206</f>
        <v>1729</v>
      </c>
      <c r="D210" s="52">
        <v>1.3244</v>
      </c>
      <c r="E210" s="53">
        <f>'Daily Halba'!$C210*'Daily Halba'!$D210</f>
        <v>2289.8876</v>
      </c>
      <c r="F210" s="54">
        <f>'ODOMETERS Halba'!K206</f>
        <v>1211</v>
      </c>
      <c r="G210" s="52">
        <v>1.3244</v>
      </c>
      <c r="H210" s="53">
        <f>'Daily Halba'!$F210*'Daily Halba'!$G210</f>
        <v>1603.8484000000001</v>
      </c>
      <c r="I210" s="54">
        <f>'Daily Halba'!$C210+'Daily Halba'!$F210</f>
        <v>2940</v>
      </c>
      <c r="J210" s="55">
        <f>'Daily Halba'!$I210*'Daily Halba'!$G210</f>
        <v>3893.7359999999999</v>
      </c>
      <c r="K210" s="56">
        <f>'ODOMETERS Halba'!L206</f>
        <v>218</v>
      </c>
      <c r="L210" s="57">
        <v>1.3612</v>
      </c>
      <c r="M210" s="58">
        <f>'Daily Halba'!$K210*'Daily Halba'!$L210</f>
        <v>296.74160000000001</v>
      </c>
      <c r="N210" s="71">
        <f>700/89.7+350/89.7+300/89.7+350/89.7+12+700/89.7</f>
        <v>38.755852842809361</v>
      </c>
      <c r="O210" s="71">
        <f>(300+400+300+300+300+200)/89.7+5</f>
        <v>25.066889632107024</v>
      </c>
      <c r="P210" s="71">
        <v>100</v>
      </c>
      <c r="Q210" s="71"/>
      <c r="R210" s="71">
        <v>300</v>
      </c>
      <c r="S210" s="71">
        <v>40</v>
      </c>
      <c r="T210" s="71">
        <f>(150+150+150+250+150)/89.7</f>
        <v>9.4760312151616493</v>
      </c>
      <c r="U210" s="61">
        <f>SUM('Daily Halba'!$E210,'Daily Halba'!$H210,$M210:$T210)</f>
        <v>4703.7763736900779</v>
      </c>
      <c r="V210" s="22"/>
      <c r="W210" s="62">
        <f>10+20+48+13+35+29+40+15+40+35</f>
        <v>285</v>
      </c>
      <c r="X210" s="62"/>
      <c r="Y210" s="62">
        <f>(20+27.5+20+20+30+20)*1.3244</f>
        <v>182.10499999999999</v>
      </c>
      <c r="Z210" s="79">
        <v>-1</v>
      </c>
      <c r="AA210" s="63"/>
      <c r="AB210" s="64"/>
      <c r="AC210" s="64"/>
      <c r="AD210" s="64"/>
      <c r="AE210" s="65">
        <f t="shared" si="0"/>
        <v>0</v>
      </c>
      <c r="AF210" s="66"/>
      <c r="AG210" s="66"/>
      <c r="AH210" s="66"/>
      <c r="AI210" s="66"/>
      <c r="AJ210" s="66"/>
      <c r="AK210" s="66"/>
      <c r="AL210" s="66"/>
      <c r="AM210" s="66"/>
      <c r="AN210" s="67">
        <f t="shared" si="1"/>
        <v>0</v>
      </c>
      <c r="AO210" s="66"/>
      <c r="AP210" s="68">
        <f t="shared" si="2"/>
        <v>466.10500000000002</v>
      </c>
      <c r="AQ210" s="69"/>
      <c r="AR210" s="22"/>
      <c r="AS210" s="70">
        <f>'Daily Halba'!$U210-'Daily Halba'!$AP210</f>
        <v>4237.6713736900783</v>
      </c>
      <c r="AT210" s="5"/>
      <c r="AU210" s="5"/>
      <c r="AV210" s="19"/>
    </row>
    <row r="211" spans="1:48" ht="12.75" customHeight="1" x14ac:dyDescent="0.3">
      <c r="A211" s="49">
        <v>46125</v>
      </c>
      <c r="B211" s="77"/>
      <c r="C211" s="51">
        <f>'ODOMETERS Halba'!J207</f>
        <v>1809</v>
      </c>
      <c r="D211" s="52">
        <v>1.3244</v>
      </c>
      <c r="E211" s="53">
        <f>'Daily Halba'!$C211*'Daily Halba'!$D211</f>
        <v>2395.8396000000002</v>
      </c>
      <c r="F211" s="54">
        <f>'ODOMETERS Halba'!K207</f>
        <v>1636</v>
      </c>
      <c r="G211" s="52">
        <v>1.3244</v>
      </c>
      <c r="H211" s="53">
        <f>'Daily Halba'!$F211*'Daily Halba'!$G211</f>
        <v>2166.7184000000002</v>
      </c>
      <c r="I211" s="54">
        <f>'Daily Halba'!$C211+'Daily Halba'!$F211</f>
        <v>3445</v>
      </c>
      <c r="J211" s="55">
        <f>'Daily Halba'!$I211*'Daily Halba'!$G211</f>
        <v>4562.558</v>
      </c>
      <c r="K211" s="56">
        <f>'ODOMETERS Halba'!L207</f>
        <v>1539</v>
      </c>
      <c r="L211" s="57">
        <v>1.3612</v>
      </c>
      <c r="M211" s="58">
        <f>'Daily Halba'!$K211*'Daily Halba'!$L211</f>
        <v>2094.8867999999998</v>
      </c>
      <c r="N211" s="71">
        <v>17.7</v>
      </c>
      <c r="O211" s="71">
        <v>27.83</v>
      </c>
      <c r="P211" s="71">
        <v>40</v>
      </c>
      <c r="Q211" s="71"/>
      <c r="R211" s="71"/>
      <c r="S211" s="71">
        <v>1432</v>
      </c>
      <c r="T211" s="71">
        <v>7.8</v>
      </c>
      <c r="U211" s="61">
        <f>SUM('Daily Halba'!$E211,'Daily Halba'!$H211,$M211:$T211)</f>
        <v>8182.7748000000011</v>
      </c>
      <c r="V211" s="22"/>
      <c r="W211" s="62">
        <f>594+1100*1.3612</f>
        <v>2091.3199999999997</v>
      </c>
      <c r="X211" s="62"/>
      <c r="Y211" s="62">
        <v>143.69</v>
      </c>
      <c r="Z211" s="79">
        <v>-6</v>
      </c>
      <c r="AA211" s="63"/>
      <c r="AB211" s="64"/>
      <c r="AC211" s="64"/>
      <c r="AD211" s="64"/>
      <c r="AE211" s="65">
        <f t="shared" si="0"/>
        <v>0</v>
      </c>
      <c r="AF211" s="66"/>
      <c r="AG211" s="66"/>
      <c r="AH211" s="66"/>
      <c r="AI211" s="66"/>
      <c r="AJ211" s="66"/>
      <c r="AK211" s="66"/>
      <c r="AL211" s="66"/>
      <c r="AM211" s="66"/>
      <c r="AN211" s="67">
        <f t="shared" si="1"/>
        <v>0</v>
      </c>
      <c r="AO211" s="66"/>
      <c r="AP211" s="68">
        <f t="shared" si="2"/>
        <v>2229.0099999999998</v>
      </c>
      <c r="AQ211" s="69"/>
      <c r="AR211" s="22"/>
      <c r="AS211" s="70">
        <f>'Daily Halba'!$U211-'Daily Halba'!$AP211</f>
        <v>5953.7648000000008</v>
      </c>
      <c r="AT211" s="5"/>
      <c r="AU211" s="5"/>
      <c r="AV211" s="5"/>
    </row>
    <row r="212" spans="1:48" ht="12.75" customHeight="1" x14ac:dyDescent="0.3">
      <c r="A212" s="49">
        <v>46126</v>
      </c>
      <c r="B212" s="77" t="s">
        <v>24</v>
      </c>
      <c r="C212" s="51">
        <f>'ODOMETERS Halba'!J208</f>
        <v>904</v>
      </c>
      <c r="D212" s="52">
        <v>1.3244</v>
      </c>
      <c r="E212" s="53">
        <f>'Daily Halba'!$C212*'Daily Halba'!$D212</f>
        <v>1197.2575999999999</v>
      </c>
      <c r="F212" s="54">
        <f>'ODOMETERS Halba'!K208</f>
        <v>563</v>
      </c>
      <c r="G212" s="52">
        <v>1.3244</v>
      </c>
      <c r="H212" s="53">
        <f>'Daily Halba'!$F212*'Daily Halba'!$G212</f>
        <v>745.63720000000001</v>
      </c>
      <c r="I212" s="54">
        <f>'Daily Halba'!$C212+'Daily Halba'!$F212</f>
        <v>1467</v>
      </c>
      <c r="J212" s="55">
        <f>'Daily Halba'!$I212*'Daily Halba'!$G212</f>
        <v>1942.8948</v>
      </c>
      <c r="K212" s="56">
        <f>'ODOMETERS Halba'!L208</f>
        <v>185</v>
      </c>
      <c r="L212" s="57">
        <v>1.3612</v>
      </c>
      <c r="M212" s="58">
        <f>'Daily Halba'!$K212*'Daily Halba'!$L212</f>
        <v>251.822</v>
      </c>
      <c r="N212" s="71">
        <f>(300+350+300+300)/89.7</f>
        <v>13.935340022296543</v>
      </c>
      <c r="O212" s="71">
        <f>400/89.7</f>
        <v>4.4593088071348941</v>
      </c>
      <c r="P212" s="71"/>
      <c r="Q212" s="71"/>
      <c r="R212" s="71"/>
      <c r="S212" s="71"/>
      <c r="T212" s="71">
        <f>(150+150+100+150)/89.7</f>
        <v>6.1315496098104791</v>
      </c>
      <c r="U212" s="61">
        <f>SUM('Daily Halba'!$E212,'Daily Halba'!$H212,$M212:$T212)</f>
        <v>2219.242998439242</v>
      </c>
      <c r="V212" s="22"/>
      <c r="W212" s="62"/>
      <c r="X212" s="62"/>
      <c r="Y212" s="62">
        <f>(20+20+10+20)*1.3244</f>
        <v>92.707999999999998</v>
      </c>
      <c r="Z212" s="79"/>
      <c r="AA212" s="63"/>
      <c r="AB212" s="64"/>
      <c r="AC212" s="64"/>
      <c r="AD212" s="64"/>
      <c r="AE212" s="65">
        <f t="shared" si="0"/>
        <v>0</v>
      </c>
      <c r="AF212" s="66"/>
      <c r="AG212" s="66"/>
      <c r="AH212" s="66"/>
      <c r="AI212" s="66">
        <v>8</v>
      </c>
      <c r="AJ212" s="66"/>
      <c r="AK212" s="66"/>
      <c r="AL212" s="66"/>
      <c r="AM212" s="66"/>
      <c r="AN212" s="67">
        <f t="shared" si="1"/>
        <v>8</v>
      </c>
      <c r="AO212" s="66"/>
      <c r="AP212" s="68">
        <f t="shared" si="2"/>
        <v>100.708</v>
      </c>
      <c r="AQ212" s="69"/>
      <c r="AR212" s="22"/>
      <c r="AS212" s="70">
        <f>'Daily Halba'!$U212-'Daily Halba'!$AP212</f>
        <v>2118.5349984392419</v>
      </c>
      <c r="AT212" s="5"/>
      <c r="AU212" s="5"/>
      <c r="AV212" s="19"/>
    </row>
    <row r="213" spans="1:48" ht="12.75" customHeight="1" x14ac:dyDescent="0.3">
      <c r="A213" s="49">
        <v>46126</v>
      </c>
      <c r="B213" s="77" t="s">
        <v>25</v>
      </c>
      <c r="C213" s="51">
        <f>'ODOMETERS Halba'!J209</f>
        <v>878</v>
      </c>
      <c r="D213" s="52">
        <v>1.33</v>
      </c>
      <c r="E213" s="53">
        <f>'Daily Halba'!$C213*'Daily Halba'!$D213</f>
        <v>1167.74</v>
      </c>
      <c r="F213" s="54">
        <f>'ODOMETERS Halba'!K209</f>
        <v>787</v>
      </c>
      <c r="G213" s="52">
        <v>1.33</v>
      </c>
      <c r="H213" s="53">
        <f>'Daily Halba'!$F213*'Daily Halba'!$G213</f>
        <v>1046.71</v>
      </c>
      <c r="I213" s="54">
        <f>'Daily Halba'!$C213+'Daily Halba'!$F213</f>
        <v>1665</v>
      </c>
      <c r="J213" s="55">
        <f>'Daily Halba'!$I213*'Daily Halba'!$G213</f>
        <v>2214.4500000000003</v>
      </c>
      <c r="K213" s="56">
        <f>'ODOMETERS Halba'!L209</f>
        <v>567</v>
      </c>
      <c r="L213" s="57">
        <v>1.3907</v>
      </c>
      <c r="M213" s="58">
        <f>'Daily Halba'!$K213*'Daily Halba'!$L213</f>
        <v>788.52690000000007</v>
      </c>
      <c r="N213" s="71"/>
      <c r="O213" s="71">
        <f>(700+400+300+400)/89.7</f>
        <v>20.066889632107024</v>
      </c>
      <c r="P213" s="71"/>
      <c r="Q213" s="71"/>
      <c r="R213" s="71"/>
      <c r="S213" s="71">
        <f>278+45</f>
        <v>323</v>
      </c>
      <c r="T213" s="71">
        <f>1200/89.7</f>
        <v>13.377926421404682</v>
      </c>
      <c r="U213" s="61">
        <f>SUM('Daily Halba'!$E213,'Daily Halba'!$H213,$M213:$T213)</f>
        <v>3359.4217160535113</v>
      </c>
      <c r="V213" s="22"/>
      <c r="W213" s="62">
        <f>15+8+1000/89.7+30+50+220*1.3907+200*1.3907</f>
        <v>698.24227201783719</v>
      </c>
      <c r="X213" s="62"/>
      <c r="Y213" s="62">
        <f>306+360+(20+9+20+50+18+40+20+20)*1.33</f>
        <v>928.01</v>
      </c>
      <c r="Z213" s="79"/>
      <c r="AA213" s="63"/>
      <c r="AB213" s="64"/>
      <c r="AC213" s="64">
        <v>164</v>
      </c>
      <c r="AD213" s="64"/>
      <c r="AE213" s="65">
        <f t="shared" si="0"/>
        <v>164</v>
      </c>
      <c r="AF213" s="66"/>
      <c r="AG213" s="66"/>
      <c r="AH213" s="66"/>
      <c r="AI213" s="66"/>
      <c r="AJ213" s="66"/>
      <c r="AK213" s="66"/>
      <c r="AL213" s="66"/>
      <c r="AM213" s="66"/>
      <c r="AN213" s="67">
        <f t="shared" si="1"/>
        <v>0</v>
      </c>
      <c r="AO213" s="66"/>
      <c r="AP213" s="68">
        <f t="shared" si="2"/>
        <v>1790.2522720178372</v>
      </c>
      <c r="AQ213" s="69"/>
      <c r="AR213" s="22"/>
      <c r="AS213" s="70">
        <f>'Daily Halba'!$U213-'Daily Halba'!$AP213</f>
        <v>1569.1694440356741</v>
      </c>
      <c r="AT213" s="5"/>
      <c r="AU213" s="5"/>
      <c r="AV213" s="5"/>
    </row>
    <row r="214" spans="1:48" ht="12.75" customHeight="1" x14ac:dyDescent="0.3">
      <c r="A214" s="49">
        <v>46127</v>
      </c>
      <c r="B214" s="77"/>
      <c r="C214" s="51">
        <f>'ODOMETERS Halba'!J210</f>
        <v>1652</v>
      </c>
      <c r="D214" s="52">
        <v>1.33</v>
      </c>
      <c r="E214" s="53">
        <f>'Daily Halba'!$C214*'Daily Halba'!$D214</f>
        <v>2197.1600000000003</v>
      </c>
      <c r="F214" s="54">
        <f>'ODOMETERS Halba'!K210</f>
        <v>1378</v>
      </c>
      <c r="G214" s="52">
        <v>1.33</v>
      </c>
      <c r="H214" s="53">
        <f>'Daily Halba'!$F214*'Daily Halba'!$G214</f>
        <v>1832.74</v>
      </c>
      <c r="I214" s="54">
        <f>'Daily Halba'!$C214+'Daily Halba'!$F214</f>
        <v>3030</v>
      </c>
      <c r="J214" s="55">
        <f>'Daily Halba'!$I214*'Daily Halba'!$G214</f>
        <v>4029.9</v>
      </c>
      <c r="K214" s="56">
        <f>'ODOMETERS Halba'!L210</f>
        <v>320</v>
      </c>
      <c r="L214" s="57">
        <v>1.3907</v>
      </c>
      <c r="M214" s="58">
        <f>'Daily Halba'!$K214*'Daily Halba'!$L214</f>
        <v>445.024</v>
      </c>
      <c r="N214" s="71">
        <f>6</f>
        <v>6</v>
      </c>
      <c r="O214" s="71">
        <f>1400/89.7+5</f>
        <v>20.607580824972128</v>
      </c>
      <c r="P214" s="71">
        <v>80</v>
      </c>
      <c r="Q214" s="71"/>
      <c r="R214" s="71"/>
      <c r="S214" s="71"/>
      <c r="T214" s="71">
        <f>1100/89.7</f>
        <v>12.263099219620958</v>
      </c>
      <c r="U214" s="61">
        <f>SUM('Daily Halba'!$E214,'Daily Halba'!$H214,$M214:$T214)</f>
        <v>4593.7946800445943</v>
      </c>
      <c r="V214" s="22"/>
      <c r="W214" s="62">
        <f>10+130+20+10+30+50</f>
        <v>250</v>
      </c>
      <c r="X214" s="62"/>
      <c r="Y214" s="62">
        <f>(20+30+10+20+30+20+27.5+20+75+9+20+18)*1.33+17.11*1.3907</f>
        <v>422.12987700000002</v>
      </c>
      <c r="Z214" s="79">
        <v>-6</v>
      </c>
      <c r="AA214" s="63"/>
      <c r="AB214" s="64"/>
      <c r="AC214" s="64"/>
      <c r="AD214" s="64"/>
      <c r="AE214" s="65">
        <f t="shared" si="0"/>
        <v>0</v>
      </c>
      <c r="AF214" s="66"/>
      <c r="AG214" s="66">
        <v>450</v>
      </c>
      <c r="AH214" s="66"/>
      <c r="AI214" s="66">
        <f>25+13</f>
        <v>38</v>
      </c>
      <c r="AJ214" s="66"/>
      <c r="AK214" s="66"/>
      <c r="AL214" s="66"/>
      <c r="AM214" s="66"/>
      <c r="AN214" s="67">
        <f t="shared" si="1"/>
        <v>488</v>
      </c>
      <c r="AO214" s="66"/>
      <c r="AP214" s="68">
        <f t="shared" si="2"/>
        <v>1154.1298770000001</v>
      </c>
      <c r="AQ214" s="69"/>
      <c r="AR214" s="22"/>
      <c r="AS214" s="70">
        <f>'Daily Halba'!$U214-'Daily Halba'!$AP214</f>
        <v>3439.664803044594</v>
      </c>
      <c r="AT214" s="5"/>
      <c r="AU214" s="5"/>
      <c r="AV214" s="19"/>
    </row>
    <row r="215" spans="1:48" ht="12.75" customHeight="1" x14ac:dyDescent="0.3">
      <c r="A215" s="49">
        <v>46128</v>
      </c>
      <c r="B215" s="77"/>
      <c r="C215" s="51">
        <f>'ODOMETERS Halba'!J211</f>
        <v>1607</v>
      </c>
      <c r="D215" s="52">
        <v>1.33</v>
      </c>
      <c r="E215" s="53">
        <f>'Daily Halba'!$C215*'Daily Halba'!$D215</f>
        <v>2137.31</v>
      </c>
      <c r="F215" s="54">
        <f>'ODOMETERS Halba'!K211</f>
        <v>3216</v>
      </c>
      <c r="G215" s="52">
        <v>1.33</v>
      </c>
      <c r="H215" s="53">
        <f>'Daily Halba'!$F215*'Daily Halba'!$G215</f>
        <v>4277.2800000000007</v>
      </c>
      <c r="I215" s="54">
        <f>'Daily Halba'!$C215+'Daily Halba'!$F215</f>
        <v>4823</v>
      </c>
      <c r="J215" s="55">
        <f>'Daily Halba'!$I215*'Daily Halba'!$G215</f>
        <v>6414.59</v>
      </c>
      <c r="K215" s="56">
        <f>'ODOMETERS Halba'!L211</f>
        <v>863</v>
      </c>
      <c r="L215" s="57">
        <v>1.3907</v>
      </c>
      <c r="M215" s="58">
        <f>'Daily Halba'!$K215*'Daily Halba'!$L215</f>
        <v>1200.1741</v>
      </c>
      <c r="N215" s="71">
        <v>13.8</v>
      </c>
      <c r="O215" s="71">
        <v>12.26</v>
      </c>
      <c r="P215" s="71">
        <v>20</v>
      </c>
      <c r="Q215" s="71"/>
      <c r="R215" s="71"/>
      <c r="S215" s="71"/>
      <c r="T215" s="71">
        <v>8.36</v>
      </c>
      <c r="U215" s="61">
        <f>SUM('Daily Halba'!$E215,'Daily Halba'!$H215,$M215:$T215)</f>
        <v>7669.1841000000004</v>
      </c>
      <c r="V215" s="22"/>
      <c r="W215" s="62">
        <f>140+496.47+2000*1.33</f>
        <v>3296.4700000000003</v>
      </c>
      <c r="X215" s="62"/>
      <c r="Y215" s="62">
        <v>205.48</v>
      </c>
      <c r="Z215" s="79">
        <v>12</v>
      </c>
      <c r="AA215" s="63"/>
      <c r="AB215" s="64"/>
      <c r="AC215" s="64"/>
      <c r="AD215" s="64"/>
      <c r="AE215" s="65">
        <f t="shared" si="0"/>
        <v>0</v>
      </c>
      <c r="AF215" s="66"/>
      <c r="AG215" s="66"/>
      <c r="AH215" s="66">
        <v>73</v>
      </c>
      <c r="AI215" s="66"/>
      <c r="AJ215" s="66"/>
      <c r="AK215" s="66">
        <v>13</v>
      </c>
      <c r="AL215" s="66"/>
      <c r="AM215" s="66"/>
      <c r="AN215" s="67">
        <f t="shared" si="1"/>
        <v>86</v>
      </c>
      <c r="AO215" s="66"/>
      <c r="AP215" s="68">
        <f t="shared" si="2"/>
        <v>3599.9500000000003</v>
      </c>
      <c r="AQ215" s="69" t="s">
        <v>197</v>
      </c>
      <c r="AR215" s="22"/>
      <c r="AS215" s="70">
        <f>'Daily Halba'!$U215-'Daily Halba'!$AP215</f>
        <v>4069.2341000000001</v>
      </c>
      <c r="AT215" s="5"/>
      <c r="AU215" s="5"/>
      <c r="AV215" s="5"/>
    </row>
    <row r="216" spans="1:48" ht="12.75" customHeight="1" x14ac:dyDescent="0.3">
      <c r="A216" s="49">
        <v>46129</v>
      </c>
      <c r="B216" s="77" t="s">
        <v>24</v>
      </c>
      <c r="C216" s="51">
        <f>'ODOMETERS Halba'!J212</f>
        <v>533</v>
      </c>
      <c r="D216" s="52">
        <v>1.33</v>
      </c>
      <c r="E216" s="53">
        <f>'Daily Halba'!$C216*'Daily Halba'!$D216</f>
        <v>708.89</v>
      </c>
      <c r="F216" s="54">
        <f>'ODOMETERS Halba'!K212</f>
        <v>900</v>
      </c>
      <c r="G216" s="52">
        <v>1.33</v>
      </c>
      <c r="H216" s="53">
        <f>'Daily Halba'!$F216*'Daily Halba'!$G216</f>
        <v>1197</v>
      </c>
      <c r="I216" s="54">
        <f>'Daily Halba'!$C216+'Daily Halba'!$F216</f>
        <v>1433</v>
      </c>
      <c r="J216" s="55">
        <f>'Daily Halba'!$I216*'Daily Halba'!$G216</f>
        <v>1905.89</v>
      </c>
      <c r="K216" s="56">
        <f>'ODOMETERS Halba'!L212</f>
        <v>188</v>
      </c>
      <c r="L216" s="57">
        <v>1.3907</v>
      </c>
      <c r="M216" s="58">
        <f>'Daily Halba'!$K216*'Daily Halba'!$L216</f>
        <v>261.45159999999998</v>
      </c>
      <c r="N216" s="71"/>
      <c r="O216" s="71"/>
      <c r="P216" s="71"/>
      <c r="Q216" s="71"/>
      <c r="R216" s="71"/>
      <c r="S216" s="71"/>
      <c r="T216" s="71">
        <f>(250+150+75)/89.7</f>
        <v>5.2954292084726866</v>
      </c>
      <c r="U216" s="61">
        <f>SUM('Daily Halba'!$E216,'Daily Halba'!$H216,$M216:$T216)</f>
        <v>2172.6370292084725</v>
      </c>
      <c r="V216" s="22"/>
      <c r="W216" s="62">
        <f>20+20+10+10</f>
        <v>60</v>
      </c>
      <c r="X216" s="62"/>
      <c r="Y216" s="62">
        <f>(30+20+10)*1.33+24</f>
        <v>103.80000000000001</v>
      </c>
      <c r="Z216" s="79">
        <v>1</v>
      </c>
      <c r="AA216" s="63"/>
      <c r="AB216" s="64"/>
      <c r="AC216" s="64"/>
      <c r="AD216" s="64"/>
      <c r="AE216" s="65">
        <f t="shared" si="0"/>
        <v>0</v>
      </c>
      <c r="AF216" s="66"/>
      <c r="AG216" s="66"/>
      <c r="AH216" s="66"/>
      <c r="AI216" s="66">
        <v>8</v>
      </c>
      <c r="AJ216" s="66"/>
      <c r="AK216" s="66"/>
      <c r="AL216" s="66"/>
      <c r="AM216" s="66"/>
      <c r="AN216" s="67">
        <f t="shared" si="1"/>
        <v>8</v>
      </c>
      <c r="AO216" s="66"/>
      <c r="AP216" s="68">
        <f t="shared" si="2"/>
        <v>172.8</v>
      </c>
      <c r="AQ216" s="69"/>
      <c r="AR216" s="22"/>
      <c r="AS216" s="70">
        <f>'Daily Halba'!$U216-'Daily Halba'!$AP216</f>
        <v>1999.8370292084726</v>
      </c>
      <c r="AT216" s="5"/>
      <c r="AU216" s="5"/>
      <c r="AV216" s="5"/>
    </row>
    <row r="217" spans="1:48" ht="12.75" customHeight="1" x14ac:dyDescent="0.3">
      <c r="A217" s="49">
        <v>46129</v>
      </c>
      <c r="B217" s="77" t="s">
        <v>25</v>
      </c>
      <c r="C217" s="51">
        <f>'ODOMETERS Halba'!J213</f>
        <v>565</v>
      </c>
      <c r="D217" s="52">
        <v>1.3322000000000001</v>
      </c>
      <c r="E217" s="53">
        <f>'Daily Halba'!$C217*'Daily Halba'!$D217</f>
        <v>752.69299999999998</v>
      </c>
      <c r="F217" s="54">
        <f>'ODOMETERS Halba'!K213</f>
        <v>1269</v>
      </c>
      <c r="G217" s="52">
        <v>1.3322000000000001</v>
      </c>
      <c r="H217" s="53">
        <f>'Daily Halba'!$F217*'Daily Halba'!$G217</f>
        <v>1690.5618000000002</v>
      </c>
      <c r="I217" s="54">
        <f>'Daily Halba'!$C217+'Daily Halba'!$F217</f>
        <v>1834</v>
      </c>
      <c r="J217" s="55">
        <f>'Daily Halba'!$I217*'Daily Halba'!$G217</f>
        <v>2443.2548000000002</v>
      </c>
      <c r="K217" s="56">
        <f>'ODOMETERS Halba'!L213</f>
        <v>159</v>
      </c>
      <c r="L217" s="57">
        <v>1.3918999999999999</v>
      </c>
      <c r="M217" s="58">
        <f>'Daily Halba'!$K217*'Daily Halba'!$L217</f>
        <v>221.31209999999999</v>
      </c>
      <c r="N217" s="71">
        <v>35</v>
      </c>
      <c r="O217" s="71">
        <v>12.26</v>
      </c>
      <c r="P217" s="71">
        <v>40</v>
      </c>
      <c r="Q217" s="71"/>
      <c r="R217" s="71"/>
      <c r="S217" s="71">
        <v>126</v>
      </c>
      <c r="T217" s="71">
        <v>5</v>
      </c>
      <c r="U217" s="61">
        <f>SUM('Daily Halba'!$E217,'Daily Halba'!$H217,$M217:$T217)</f>
        <v>2882.8269000000005</v>
      </c>
      <c r="V217" s="22"/>
      <c r="W217" s="62">
        <v>257</v>
      </c>
      <c r="X217" s="62"/>
      <c r="Y217" s="62">
        <v>141</v>
      </c>
      <c r="Z217" s="79">
        <v>-5</v>
      </c>
      <c r="AA217" s="63"/>
      <c r="AB217" s="64"/>
      <c r="AC217" s="64"/>
      <c r="AD217" s="64"/>
      <c r="AE217" s="65">
        <f t="shared" si="0"/>
        <v>0</v>
      </c>
      <c r="AF217" s="66"/>
      <c r="AG217" s="66"/>
      <c r="AH217" s="66"/>
      <c r="AI217" s="66"/>
      <c r="AJ217" s="66"/>
      <c r="AK217" s="66"/>
      <c r="AL217" s="66"/>
      <c r="AM217" s="66"/>
      <c r="AN217" s="67">
        <f t="shared" si="1"/>
        <v>0</v>
      </c>
      <c r="AO217" s="66"/>
      <c r="AP217" s="68">
        <f t="shared" si="2"/>
        <v>393</v>
      </c>
      <c r="AQ217" s="69"/>
      <c r="AR217" s="22"/>
      <c r="AS217" s="70">
        <f>'Daily Halba'!$U217-'Daily Halba'!$AP217</f>
        <v>2489.8269000000005</v>
      </c>
      <c r="AT217" s="5"/>
      <c r="AU217" s="5"/>
      <c r="AV217" s="5"/>
    </row>
    <row r="218" spans="1:48" ht="12.75" customHeight="1" x14ac:dyDescent="0.3">
      <c r="A218" s="49">
        <v>46130</v>
      </c>
      <c r="B218" s="77"/>
      <c r="C218" s="51">
        <f>'ODOMETERS Halba'!J214</f>
        <v>1269</v>
      </c>
      <c r="D218" s="52">
        <v>1.3322000000000001</v>
      </c>
      <c r="E218" s="53">
        <f>'Daily Halba'!$C218*'Daily Halba'!$D218</f>
        <v>1690.5618000000002</v>
      </c>
      <c r="F218" s="54">
        <f>'ODOMETERS Halba'!K214</f>
        <v>6242</v>
      </c>
      <c r="G218" s="52">
        <v>1.3322000000000001</v>
      </c>
      <c r="H218" s="53">
        <f>'Daily Halba'!$F218*'Daily Halba'!$G218</f>
        <v>8315.5923999999995</v>
      </c>
      <c r="I218" s="54">
        <f>'Daily Halba'!$C218+'Daily Halba'!$F218</f>
        <v>7511</v>
      </c>
      <c r="J218" s="55">
        <f>'Daily Halba'!$I218*'Daily Halba'!$G218</f>
        <v>10006.154200000001</v>
      </c>
      <c r="K218" s="56">
        <f>'ODOMETERS Halba'!L214</f>
        <v>355</v>
      </c>
      <c r="L218" s="57">
        <v>1.3918999999999999</v>
      </c>
      <c r="M218" s="58">
        <f>'Daily Halba'!$K218*'Daily Halba'!$L218</f>
        <v>494.12449999999995</v>
      </c>
      <c r="N218" s="71"/>
      <c r="O218" s="71">
        <f>800/89.7</f>
        <v>8.9186176142697882</v>
      </c>
      <c r="P218" s="71"/>
      <c r="Q218" s="71"/>
      <c r="R218" s="71"/>
      <c r="S218" s="71">
        <f>3500*24.65/20</f>
        <v>4313.75</v>
      </c>
      <c r="T218" s="71">
        <f>(225+150+150+250+150+300)/89.7</f>
        <v>13.656633221850612</v>
      </c>
      <c r="U218" s="61">
        <f>SUM('Daily Halba'!$E218,'Daily Halba'!$H218,$M218:$T218)</f>
        <v>14836.603950836119</v>
      </c>
      <c r="V218" s="22"/>
      <c r="W218" s="62">
        <f>3005*1.3322+63+50+20+30+86*1.3919+50+15+92+44+22</f>
        <v>4508.9644000000008</v>
      </c>
      <c r="X218" s="62">
        <f>995*1.3322</f>
        <v>1325.539</v>
      </c>
      <c r="Y218" s="62">
        <f>24+(27.5+20+9+20+30+20+18+40+30+20)*1.3322</f>
        <v>336.40090000000004</v>
      </c>
      <c r="Z218" s="79">
        <v>2</v>
      </c>
      <c r="AA218" s="63">
        <v>145</v>
      </c>
      <c r="AB218" s="64"/>
      <c r="AC218" s="64"/>
      <c r="AD218" s="64"/>
      <c r="AE218" s="65">
        <f t="shared" si="0"/>
        <v>145</v>
      </c>
      <c r="AF218" s="66"/>
      <c r="AG218" s="66"/>
      <c r="AH218" s="66"/>
      <c r="AI218" s="66">
        <v>28</v>
      </c>
      <c r="AJ218" s="66"/>
      <c r="AK218" s="66"/>
      <c r="AL218" s="66"/>
      <c r="AM218" s="66"/>
      <c r="AN218" s="67">
        <f t="shared" si="1"/>
        <v>28</v>
      </c>
      <c r="AO218" s="66"/>
      <c r="AP218" s="68">
        <f t="shared" si="2"/>
        <v>6345.9043000000001</v>
      </c>
      <c r="AQ218" s="69"/>
      <c r="AR218" s="22"/>
      <c r="AS218" s="70">
        <f>'Daily Halba'!$U218-'Daily Halba'!$AP218</f>
        <v>8490.699650836119</v>
      </c>
      <c r="AT218" s="5"/>
      <c r="AU218" s="5"/>
      <c r="AV218" s="19"/>
    </row>
    <row r="219" spans="1:48" ht="12.75" customHeight="1" x14ac:dyDescent="0.3">
      <c r="A219" s="49">
        <v>46131</v>
      </c>
      <c r="B219" s="77"/>
      <c r="C219" s="51">
        <f>'ODOMETERS Halba'!J215</f>
        <v>362</v>
      </c>
      <c r="D219" s="52">
        <v>1.3322000000000001</v>
      </c>
      <c r="E219" s="53">
        <f>'Daily Halba'!$C219*'Daily Halba'!$D219</f>
        <v>482.25640000000004</v>
      </c>
      <c r="F219" s="54">
        <f>'ODOMETERS Halba'!K215</f>
        <v>2734</v>
      </c>
      <c r="G219" s="52">
        <v>1.3322000000000001</v>
      </c>
      <c r="H219" s="53">
        <f>'Daily Halba'!$F219*'Daily Halba'!$G219</f>
        <v>3642.2348000000002</v>
      </c>
      <c r="I219" s="54">
        <f>'Daily Halba'!$C219+'Daily Halba'!$F219</f>
        <v>3096</v>
      </c>
      <c r="J219" s="55">
        <f>'Daily Halba'!$I219*'Daily Halba'!$G219</f>
        <v>4124.4912000000004</v>
      </c>
      <c r="K219" s="56">
        <f>'ODOMETERS Halba'!L215</f>
        <v>245</v>
      </c>
      <c r="L219" s="57">
        <v>1.3918999999999999</v>
      </c>
      <c r="M219" s="58">
        <f>'Daily Halba'!$K219*'Daily Halba'!$L219</f>
        <v>341.01549999999997</v>
      </c>
      <c r="N219" s="71">
        <f>600/89.7+4+5</f>
        <v>15.68896321070234</v>
      </c>
      <c r="O219" s="71">
        <f>(400+400+400+400+400+400)/89.7</f>
        <v>26.755852842809364</v>
      </c>
      <c r="P219" s="71">
        <v>80</v>
      </c>
      <c r="Q219" s="71"/>
      <c r="R219" s="71"/>
      <c r="S219" s="71"/>
      <c r="T219" s="71">
        <v>7</v>
      </c>
      <c r="U219" s="61">
        <f>SUM('Daily Halba'!$E219,'Daily Halba'!$H219,$M219:$T219)</f>
        <v>4594.9515160535111</v>
      </c>
      <c r="V219" s="22"/>
      <c r="W219" s="62">
        <f>239-77</f>
        <v>162</v>
      </c>
      <c r="X219" s="62"/>
      <c r="Y219" s="62">
        <f>77+(98*1.3322)</f>
        <v>207.5556</v>
      </c>
      <c r="Z219" s="79">
        <v>15</v>
      </c>
      <c r="AA219" s="63"/>
      <c r="AB219" s="64"/>
      <c r="AC219" s="64"/>
      <c r="AD219" s="64"/>
      <c r="AE219" s="65">
        <f t="shared" si="0"/>
        <v>0</v>
      </c>
      <c r="AF219" s="66"/>
      <c r="AG219" s="66"/>
      <c r="AH219" s="66"/>
      <c r="AI219" s="66"/>
      <c r="AJ219" s="66"/>
      <c r="AK219" s="66"/>
      <c r="AL219" s="66"/>
      <c r="AM219" s="66"/>
      <c r="AN219" s="67">
        <f t="shared" si="1"/>
        <v>0</v>
      </c>
      <c r="AO219" s="66"/>
      <c r="AP219" s="68">
        <f t="shared" si="2"/>
        <v>384.55560000000003</v>
      </c>
      <c r="AQ219" s="69"/>
      <c r="AR219" s="22"/>
      <c r="AS219" s="70">
        <f>'Daily Halba'!$U219-'Daily Halba'!$AP219</f>
        <v>4210.3959160535114</v>
      </c>
      <c r="AT219" s="5"/>
      <c r="AU219" s="5"/>
      <c r="AV219" s="5"/>
    </row>
    <row r="220" spans="1:48" ht="12.75" customHeight="1" x14ac:dyDescent="0.3">
      <c r="A220" s="49">
        <v>46132</v>
      </c>
      <c r="B220" s="77"/>
      <c r="C220" s="51">
        <f>'ODOMETERS Halba'!J216</f>
        <v>754</v>
      </c>
      <c r="D220" s="52">
        <v>1.3322000000000001</v>
      </c>
      <c r="E220" s="53">
        <f>'Daily Halba'!$C220*'Daily Halba'!$D220</f>
        <v>1004.4788000000001</v>
      </c>
      <c r="F220" s="54">
        <f>'ODOMETERS Halba'!K216</f>
        <v>3678</v>
      </c>
      <c r="G220" s="52">
        <v>1.3322000000000001</v>
      </c>
      <c r="H220" s="53">
        <f>'Daily Halba'!$F220*'Daily Halba'!$G220</f>
        <v>4899.8316000000004</v>
      </c>
      <c r="I220" s="54">
        <f>'Daily Halba'!$C220+'Daily Halba'!$F220</f>
        <v>4432</v>
      </c>
      <c r="J220" s="55">
        <f>'Daily Halba'!$I220*'Daily Halba'!$G220</f>
        <v>5904.3104000000003</v>
      </c>
      <c r="K220" s="56">
        <f>'ODOMETERS Halba'!L216</f>
        <v>270</v>
      </c>
      <c r="L220" s="57">
        <v>1.3918999999999999</v>
      </c>
      <c r="M220" s="58">
        <f>'Daily Halba'!$K220*'Daily Halba'!$L220</f>
        <v>375.81299999999999</v>
      </c>
      <c r="N220" s="71">
        <f>600/89.7+7</f>
        <v>13.68896321070234</v>
      </c>
      <c r="O220" s="71"/>
      <c r="P220" s="71"/>
      <c r="Q220" s="71"/>
      <c r="R220" s="71"/>
      <c r="S220" s="71">
        <f>1500*24.65/20</f>
        <v>1848.75</v>
      </c>
      <c r="T220" s="71">
        <f>150/89.7</f>
        <v>1.6722408026755853</v>
      </c>
      <c r="U220" s="61">
        <f>SUM('Daily Halba'!$E220,'Daily Halba'!$H220,$M220:$T220)</f>
        <v>8144.234604013378</v>
      </c>
      <c r="V220" s="22"/>
      <c r="W220" s="62">
        <f>20+20+20+15+10+70+21+15+40+10+15+1500*1.3322</f>
        <v>2254.3000000000002</v>
      </c>
      <c r="X220" s="62"/>
      <c r="Y220" s="62">
        <f>(20+27.5)*1.3322+24</f>
        <v>87.279500000000013</v>
      </c>
      <c r="Z220" s="79">
        <v>6</v>
      </c>
      <c r="AA220" s="63"/>
      <c r="AB220" s="64"/>
      <c r="AC220" s="64"/>
      <c r="AD220" s="64"/>
      <c r="AE220" s="65">
        <f t="shared" si="0"/>
        <v>0</v>
      </c>
      <c r="AF220" s="66"/>
      <c r="AG220" s="66"/>
      <c r="AH220" s="66"/>
      <c r="AI220" s="66">
        <v>10</v>
      </c>
      <c r="AJ220" s="66"/>
      <c r="AK220" s="66"/>
      <c r="AL220" s="66"/>
      <c r="AM220" s="66"/>
      <c r="AN220" s="67">
        <f t="shared" si="1"/>
        <v>10</v>
      </c>
      <c r="AO220" s="66"/>
      <c r="AP220" s="68">
        <f t="shared" si="2"/>
        <v>2357.5795000000003</v>
      </c>
      <c r="AQ220" s="69"/>
      <c r="AR220" s="22"/>
      <c r="AS220" s="70">
        <f>'Daily Halba'!$U220-'Daily Halba'!$AP220</f>
        <v>5786.6551040133781</v>
      </c>
      <c r="AT220" s="5"/>
      <c r="AU220" s="5"/>
      <c r="AV220" s="19"/>
    </row>
    <row r="221" spans="1:48" ht="12.75" customHeight="1" x14ac:dyDescent="0.3">
      <c r="A221" s="49">
        <v>46133</v>
      </c>
      <c r="B221" s="77" t="s">
        <v>24</v>
      </c>
      <c r="C221" s="51">
        <f>'ODOMETERS Halba'!J217</f>
        <v>434</v>
      </c>
      <c r="D221" s="52">
        <v>1.3322000000000001</v>
      </c>
      <c r="E221" s="53">
        <f>'Daily Halba'!$C221*'Daily Halba'!$D221</f>
        <v>578.1748</v>
      </c>
      <c r="F221" s="54">
        <f>'ODOMETERS Halba'!K217</f>
        <v>1192</v>
      </c>
      <c r="G221" s="52">
        <v>1.3322000000000001</v>
      </c>
      <c r="H221" s="53">
        <f>'Daily Halba'!$F221*'Daily Halba'!$G221</f>
        <v>1587.9824000000001</v>
      </c>
      <c r="I221" s="54">
        <f>'Daily Halba'!$C221+'Daily Halba'!$F221</f>
        <v>1626</v>
      </c>
      <c r="J221" s="55">
        <f>'Daily Halba'!$I221*'Daily Halba'!$G221</f>
        <v>2166.1572000000001</v>
      </c>
      <c r="K221" s="56">
        <f>'ODOMETERS Halba'!L217</f>
        <v>68</v>
      </c>
      <c r="L221" s="57">
        <v>1.3918999999999999</v>
      </c>
      <c r="M221" s="58">
        <f>'Daily Halba'!$K221*'Daily Halba'!$L221</f>
        <v>94.649199999999993</v>
      </c>
      <c r="N221" s="71">
        <f>300/89.7</f>
        <v>3.3444816053511706</v>
      </c>
      <c r="O221" s="71"/>
      <c r="P221" s="71"/>
      <c r="Q221" s="71"/>
      <c r="R221" s="71"/>
      <c r="S221" s="71"/>
      <c r="T221" s="71">
        <f>(150+250+250)/89.7</f>
        <v>7.2463768115942031</v>
      </c>
      <c r="U221" s="61">
        <f>SUM('Daily Halba'!$E221,'Daily Halba'!$H221,$M221:$T221)</f>
        <v>2271.3972584169451</v>
      </c>
      <c r="V221" s="22"/>
      <c r="W221" s="62">
        <f>20+6+39+30+20+10+44+20</f>
        <v>189</v>
      </c>
      <c r="X221" s="62"/>
      <c r="Y221" s="62">
        <f>(30+20+30+27.5)*1.3322</f>
        <v>143.2115</v>
      </c>
      <c r="Z221" s="79">
        <v>2</v>
      </c>
      <c r="AA221" s="63"/>
      <c r="AB221" s="64"/>
      <c r="AC221" s="64"/>
      <c r="AD221" s="64"/>
      <c r="AE221" s="65">
        <f t="shared" si="0"/>
        <v>0</v>
      </c>
      <c r="AF221" s="66"/>
      <c r="AG221" s="66"/>
      <c r="AH221" s="66"/>
      <c r="AI221" s="66">
        <v>8</v>
      </c>
      <c r="AJ221" s="66"/>
      <c r="AK221" s="66"/>
      <c r="AL221" s="66"/>
      <c r="AM221" s="66"/>
      <c r="AN221" s="67">
        <f t="shared" si="1"/>
        <v>8</v>
      </c>
      <c r="AO221" s="66"/>
      <c r="AP221" s="68">
        <f t="shared" si="2"/>
        <v>342.2115</v>
      </c>
      <c r="AQ221" s="69"/>
      <c r="AR221" s="22"/>
      <c r="AS221" s="70">
        <f>'Daily Halba'!$U221-'Daily Halba'!$AP221</f>
        <v>1929.1857584169452</v>
      </c>
      <c r="AT221" s="5"/>
      <c r="AU221" s="5"/>
      <c r="AV221" s="5"/>
    </row>
    <row r="222" spans="1:48" ht="12.75" customHeight="1" x14ac:dyDescent="0.3">
      <c r="A222" s="49">
        <v>46133</v>
      </c>
      <c r="B222" s="77" t="s">
        <v>25</v>
      </c>
      <c r="C222" s="51">
        <f>'ODOMETERS Halba'!J218</f>
        <v>521</v>
      </c>
      <c r="D222" s="52">
        <v>1.3278000000000001</v>
      </c>
      <c r="E222" s="53">
        <f>'Daily Halba'!$C222*'Daily Halba'!$D222</f>
        <v>691.78380000000004</v>
      </c>
      <c r="F222" s="54">
        <f>'ODOMETERS Halba'!K218</f>
        <v>707</v>
      </c>
      <c r="G222" s="52">
        <v>1.3278000000000001</v>
      </c>
      <c r="H222" s="53">
        <f>'Daily Halba'!$F222*'Daily Halba'!$G222</f>
        <v>938.7546000000001</v>
      </c>
      <c r="I222" s="54">
        <f>'Daily Halba'!$C222+'Daily Halba'!$F222</f>
        <v>1228</v>
      </c>
      <c r="J222" s="55">
        <f>'Daily Halba'!$I222*'Daily Halba'!$G222</f>
        <v>1630.5384000000001</v>
      </c>
      <c r="K222" s="56">
        <f>'ODOMETERS Halba'!L218</f>
        <v>450</v>
      </c>
      <c r="L222" s="57">
        <v>1.3746</v>
      </c>
      <c r="M222" s="58">
        <f>'Daily Halba'!$K222*'Daily Halba'!$L222</f>
        <v>618.57000000000005</v>
      </c>
      <c r="N222" s="71">
        <f>40+700/89.7+300/89.7</f>
        <v>51.148272017837236</v>
      </c>
      <c r="O222" s="71">
        <v>17</v>
      </c>
      <c r="P222" s="71"/>
      <c r="Q222" s="71"/>
      <c r="R222" s="71"/>
      <c r="S222" s="71">
        <v>30</v>
      </c>
      <c r="T222" s="71">
        <f>400/89.7</f>
        <v>4.4593088071348941</v>
      </c>
      <c r="U222" s="61">
        <f>SUM('Daily Halba'!$E222,'Daily Halba'!$H222,$M222:$T222)</f>
        <v>2351.7159808249721</v>
      </c>
      <c r="V222" s="22"/>
      <c r="W222" s="62">
        <f>170*1.3746</f>
        <v>233.68200000000002</v>
      </c>
      <c r="X222" s="62"/>
      <c r="Y222" s="62">
        <f>(30+20+37)*1.3278</f>
        <v>115.51860000000001</v>
      </c>
      <c r="Z222" s="79">
        <v>-1</v>
      </c>
      <c r="AA222" s="63">
        <v>72</v>
      </c>
      <c r="AB222" s="64"/>
      <c r="AC222" s="64"/>
      <c r="AD222" s="64"/>
      <c r="AE222" s="65">
        <f t="shared" si="0"/>
        <v>72</v>
      </c>
      <c r="AF222" s="66"/>
      <c r="AG222" s="66"/>
      <c r="AH222" s="66"/>
      <c r="AI222" s="66"/>
      <c r="AJ222" s="66"/>
      <c r="AK222" s="66">
        <f>400/89.7</f>
        <v>4.4593088071348941</v>
      </c>
      <c r="AL222" s="66"/>
      <c r="AM222" s="66"/>
      <c r="AN222" s="67">
        <f t="shared" si="1"/>
        <v>4.4593088071348941</v>
      </c>
      <c r="AO222" s="66"/>
      <c r="AP222" s="68">
        <f>SUM(W222:Z222,AE222,AN222,AO222)</f>
        <v>424.65990880713491</v>
      </c>
      <c r="AQ222" s="69"/>
      <c r="AR222" s="22"/>
      <c r="AS222" s="70">
        <f>'Daily Halba'!$U222-'Daily Halba'!$AP222</f>
        <v>1927.0560720178373</v>
      </c>
      <c r="AT222" s="5"/>
      <c r="AU222" s="5"/>
      <c r="AV222" s="19"/>
    </row>
    <row r="223" spans="1:48" ht="12.75" customHeight="1" x14ac:dyDescent="0.3">
      <c r="A223" s="49">
        <v>46134</v>
      </c>
      <c r="B223" s="77"/>
      <c r="C223" s="51">
        <f>'ODOMETERS Halba'!J219</f>
        <v>1098</v>
      </c>
      <c r="D223" s="52">
        <v>1.3278000000000001</v>
      </c>
      <c r="E223" s="53">
        <f>'Daily Halba'!$C223*'Daily Halba'!$D223</f>
        <v>1457.9244000000001</v>
      </c>
      <c r="F223" s="54">
        <f>'ODOMETERS Halba'!K219</f>
        <v>1885</v>
      </c>
      <c r="G223" s="52">
        <v>1.3278000000000001</v>
      </c>
      <c r="H223" s="53">
        <f>'Daily Halba'!$F223*'Daily Halba'!$G223</f>
        <v>2502.9030000000002</v>
      </c>
      <c r="I223" s="54">
        <f>'Daily Halba'!$C223+'Daily Halba'!$F223</f>
        <v>2983</v>
      </c>
      <c r="J223" s="55">
        <f>'Daily Halba'!$I223*'Daily Halba'!$G223</f>
        <v>3960.8274000000001</v>
      </c>
      <c r="K223" s="56">
        <f>'ODOMETERS Halba'!L219</f>
        <v>488</v>
      </c>
      <c r="L223" s="57">
        <v>1.3746</v>
      </c>
      <c r="M223" s="58">
        <f>'Daily Halba'!$K223*'Daily Halba'!$L223</f>
        <v>670.8048</v>
      </c>
      <c r="N223" s="71">
        <f>700/89.7</f>
        <v>7.8037904124860642</v>
      </c>
      <c r="O223" s="71">
        <f>5+5+5+5+5+14</f>
        <v>39</v>
      </c>
      <c r="P223" s="71">
        <v>20</v>
      </c>
      <c r="Q223" s="71"/>
      <c r="R223" s="71"/>
      <c r="S223" s="71"/>
      <c r="T223" s="71">
        <f>(150+150+250+150+100+150)/89.7</f>
        <v>10.590858416945373</v>
      </c>
      <c r="U223" s="61">
        <f>SUM('Daily Halba'!$E223,'Daily Halba'!$H223,$M223:$T223)</f>
        <v>4709.0268488294314</v>
      </c>
      <c r="V223" s="22"/>
      <c r="W223" s="62">
        <f>46*1.3278+10+20+5+15+20+40+35+5+110*1.3746+5</f>
        <v>367.28480000000002</v>
      </c>
      <c r="X223" s="62"/>
      <c r="Y223" s="62">
        <f>(30+20+20+20+10+20+27)*1.3278</f>
        <v>195.18660000000003</v>
      </c>
      <c r="Z223" s="79"/>
      <c r="AA223" s="63"/>
      <c r="AB223" s="64"/>
      <c r="AC223" s="64"/>
      <c r="AD223" s="64"/>
      <c r="AE223" s="65">
        <f t="shared" si="0"/>
        <v>0</v>
      </c>
      <c r="AF223" s="66"/>
      <c r="AG223" s="66"/>
      <c r="AH223" s="66"/>
      <c r="AI223" s="66">
        <f>400/89.7</f>
        <v>4.4593088071348941</v>
      </c>
      <c r="AJ223" s="66"/>
      <c r="AK223" s="66"/>
      <c r="AL223" s="66"/>
      <c r="AM223" s="66"/>
      <c r="AN223" s="67">
        <f t="shared" si="1"/>
        <v>4.4593088071348941</v>
      </c>
      <c r="AO223" s="66"/>
      <c r="AP223" s="68">
        <f t="shared" si="2"/>
        <v>566.93070880713492</v>
      </c>
      <c r="AQ223" s="69"/>
      <c r="AR223" s="22"/>
      <c r="AS223" s="70">
        <f>'Daily Halba'!$U223-'Daily Halba'!$AP223</f>
        <v>4142.0961400222968</v>
      </c>
      <c r="AT223" s="5"/>
      <c r="AU223" s="5"/>
      <c r="AV223" s="19"/>
    </row>
    <row r="224" spans="1:48" ht="12.75" customHeight="1" x14ac:dyDescent="0.3">
      <c r="A224" s="49">
        <v>46135</v>
      </c>
      <c r="B224" s="77"/>
      <c r="C224" s="51">
        <f>'ODOMETERS Halba'!J220</f>
        <v>1581</v>
      </c>
      <c r="D224" s="52">
        <v>1.3278000000000001</v>
      </c>
      <c r="E224" s="53">
        <f>'Daily Halba'!$C224*'Daily Halba'!$D224</f>
        <v>2099.2518</v>
      </c>
      <c r="F224" s="54">
        <f>'ODOMETERS Halba'!K220</f>
        <v>1445</v>
      </c>
      <c r="G224" s="52">
        <v>1.3278000000000001</v>
      </c>
      <c r="H224" s="53">
        <f>'Daily Halba'!$F224*'Daily Halba'!$G224</f>
        <v>1918.671</v>
      </c>
      <c r="I224" s="54">
        <f>'Daily Halba'!$C224+'Daily Halba'!$F224</f>
        <v>3026</v>
      </c>
      <c r="J224" s="55">
        <f>'Daily Halba'!$I224*'Daily Halba'!$G224</f>
        <v>4017.9228000000003</v>
      </c>
      <c r="K224" s="56">
        <f>'ODOMETERS Halba'!L220</f>
        <v>224</v>
      </c>
      <c r="L224" s="57">
        <v>1.3746</v>
      </c>
      <c r="M224" s="58">
        <f>'Daily Halba'!$K224*'Daily Halba'!$L224</f>
        <v>307.91039999999998</v>
      </c>
      <c r="N224" s="71">
        <f>(350+300+350+350+350)/89.7</f>
        <v>18.952062430323299</v>
      </c>
      <c r="O224" s="71">
        <f>700/89.7</f>
        <v>7.8037904124860642</v>
      </c>
      <c r="P224" s="71">
        <f>19*3</f>
        <v>57</v>
      </c>
      <c r="Q224" s="71"/>
      <c r="R224" s="71"/>
      <c r="S224" s="71">
        <f>1500/89.7</f>
        <v>16.722408026755851</v>
      </c>
      <c r="T224" s="71">
        <f>550/89.7</f>
        <v>6.1315496098104791</v>
      </c>
      <c r="U224" s="61">
        <f>SUM('Daily Halba'!$E224,'Daily Halba'!$H224,$M224:$T224)</f>
        <v>4432.4430104793755</v>
      </c>
      <c r="V224" s="22"/>
      <c r="W224" s="62">
        <f>40+30+20+50+30+10+20+10+10</f>
        <v>220</v>
      </c>
      <c r="X224" s="62"/>
      <c r="Y224" s="62">
        <f>235+(20+18+40+10)*1.3278</f>
        <v>351.84640000000002</v>
      </c>
      <c r="Z224" s="79"/>
      <c r="AA224" s="63"/>
      <c r="AB224" s="64"/>
      <c r="AC224" s="64"/>
      <c r="AD224" s="64"/>
      <c r="AE224" s="65">
        <f t="shared" si="0"/>
        <v>0</v>
      </c>
      <c r="AF224" s="66"/>
      <c r="AG224" s="66"/>
      <c r="AH224" s="66"/>
      <c r="AI224" s="66">
        <f>235+25+8</f>
        <v>268</v>
      </c>
      <c r="AJ224" s="66"/>
      <c r="AK224" s="66"/>
      <c r="AL224" s="66"/>
      <c r="AM224" s="66"/>
      <c r="AN224" s="67">
        <f t="shared" si="1"/>
        <v>268</v>
      </c>
      <c r="AO224" s="66"/>
      <c r="AP224" s="68">
        <f t="shared" si="2"/>
        <v>839.84640000000002</v>
      </c>
      <c r="AQ224" s="69" t="s">
        <v>227</v>
      </c>
      <c r="AR224" s="22"/>
      <c r="AS224" s="70">
        <f>'Daily Halba'!$U224-'Daily Halba'!$AP224</f>
        <v>3592.5966104793756</v>
      </c>
      <c r="AT224" s="5"/>
      <c r="AU224" s="5"/>
      <c r="AV224" s="19"/>
    </row>
    <row r="225" spans="1:48" ht="12.75" customHeight="1" x14ac:dyDescent="0.3">
      <c r="A225" s="49">
        <v>46136</v>
      </c>
      <c r="B225" s="77" t="s">
        <v>24</v>
      </c>
      <c r="C225" s="51">
        <f>'ODOMETERS Halba'!J221</f>
        <v>1549</v>
      </c>
      <c r="D225" s="52">
        <v>1.3278000000000001</v>
      </c>
      <c r="E225" s="53">
        <f>'Daily Halba'!$C225*'Daily Halba'!$D225</f>
        <v>2056.7622000000001</v>
      </c>
      <c r="F225" s="54">
        <f>'ODOMETERS Halba'!K221</f>
        <v>414</v>
      </c>
      <c r="G225" s="52">
        <v>1.3278000000000001</v>
      </c>
      <c r="H225" s="53">
        <f>'Daily Halba'!$F225*'Daily Halba'!$G225</f>
        <v>549.70920000000001</v>
      </c>
      <c r="I225" s="54">
        <f>'Daily Halba'!$C225+'Daily Halba'!$F225</f>
        <v>1963</v>
      </c>
      <c r="J225" s="55">
        <f>'Daily Halba'!$I225*'Daily Halba'!$G225</f>
        <v>2606.4714000000004</v>
      </c>
      <c r="K225" s="56">
        <f>'ODOMETERS Halba'!L221</f>
        <v>221</v>
      </c>
      <c r="L225" s="57">
        <v>1.3746</v>
      </c>
      <c r="M225" s="58">
        <f>'Daily Halba'!$K225*'Daily Halba'!$L225</f>
        <v>303.78660000000002</v>
      </c>
      <c r="N225" s="71">
        <f>(350+350+350+350+700)/89.7+16</f>
        <v>39.411371237458198</v>
      </c>
      <c r="O225" s="71">
        <f>600/89.7</f>
        <v>6.6889632107023411</v>
      </c>
      <c r="P225" s="71">
        <f>19*2</f>
        <v>38</v>
      </c>
      <c r="Q225" s="71"/>
      <c r="R225" s="71"/>
      <c r="S225" s="71"/>
      <c r="T225" s="71">
        <f>500/89.7</f>
        <v>5.5741360089186172</v>
      </c>
      <c r="U225" s="61">
        <f>SUM('Daily Halba'!$E225,'Daily Halba'!$H225,$M225:$T225)</f>
        <v>2999.9324704570795</v>
      </c>
      <c r="V225" s="22"/>
      <c r="W225" s="62">
        <f>20+24+52+15</f>
        <v>111</v>
      </c>
      <c r="X225" s="62"/>
      <c r="Y225" s="62">
        <f>60*1.3278</f>
        <v>79.668000000000006</v>
      </c>
      <c r="Z225" s="79"/>
      <c r="AA225" s="63"/>
      <c r="AB225" s="64"/>
      <c r="AC225" s="64"/>
      <c r="AD225" s="64"/>
      <c r="AE225" s="65">
        <f t="shared" si="0"/>
        <v>0</v>
      </c>
      <c r="AF225" s="66"/>
      <c r="AG225" s="66"/>
      <c r="AH225" s="66"/>
      <c r="AI225" s="66"/>
      <c r="AJ225" s="66"/>
      <c r="AK225" s="66"/>
      <c r="AL225" s="66"/>
      <c r="AM225" s="66"/>
      <c r="AN225" s="67">
        <f t="shared" si="1"/>
        <v>0</v>
      </c>
      <c r="AO225" s="66"/>
      <c r="AP225" s="68">
        <f t="shared" si="2"/>
        <v>190.66800000000001</v>
      </c>
      <c r="AQ225" s="69"/>
      <c r="AR225" s="22"/>
      <c r="AS225" s="70">
        <f>'Daily Halba'!$U225-'Daily Halba'!$AP225</f>
        <v>2809.2644704570794</v>
      </c>
      <c r="AT225" s="5"/>
      <c r="AU225" s="5"/>
      <c r="AV225" s="19"/>
    </row>
    <row r="226" spans="1:48" ht="12.75" customHeight="1" x14ac:dyDescent="0.3">
      <c r="A226" s="49">
        <v>46136</v>
      </c>
      <c r="B226" s="77" t="s">
        <v>25</v>
      </c>
      <c r="C226" s="51">
        <f>'ODOMETERS Halba'!J222</f>
        <v>1258</v>
      </c>
      <c r="D226" s="52">
        <v>1.3254999999999999</v>
      </c>
      <c r="E226" s="53">
        <f>'Daily Halba'!$C226*'Daily Halba'!$D226</f>
        <v>1667.4789999999998</v>
      </c>
      <c r="F226" s="54">
        <f>'ODOMETERS Halba'!K222</f>
        <v>140</v>
      </c>
      <c r="G226" s="52">
        <v>1.3254999999999999</v>
      </c>
      <c r="H226" s="53">
        <f>'Daily Halba'!$F226*'Daily Halba'!$G226</f>
        <v>185.57</v>
      </c>
      <c r="I226" s="54">
        <f>'Daily Halba'!$C226+'Daily Halba'!$F226</f>
        <v>1398</v>
      </c>
      <c r="J226" s="55">
        <f>'Daily Halba'!$I226*'Daily Halba'!$G226</f>
        <v>1853.0489999999998</v>
      </c>
      <c r="K226" s="56">
        <f>'ODOMETERS Halba'!L222</f>
        <v>126</v>
      </c>
      <c r="L226" s="57">
        <v>1.3416999999999999</v>
      </c>
      <c r="M226" s="58">
        <f>'Daily Halba'!$K226*'Daily Halba'!$L226</f>
        <v>169.05419999999998</v>
      </c>
      <c r="N226" s="71">
        <v>5</v>
      </c>
      <c r="O226" s="71">
        <v>4</v>
      </c>
      <c r="P226" s="71">
        <v>19</v>
      </c>
      <c r="Q226" s="71"/>
      <c r="R226" s="71"/>
      <c r="S226" s="71"/>
      <c r="T226" s="71">
        <f>450/89.7</f>
        <v>5.0167224080267561</v>
      </c>
      <c r="U226" s="61">
        <f>SUM('Daily Halba'!$E226,'Daily Halba'!$H226,$M226:$T226)</f>
        <v>2055.1199224080265</v>
      </c>
      <c r="V226" s="22"/>
      <c r="W226" s="62">
        <f>20+10+30+25+10</f>
        <v>95</v>
      </c>
      <c r="X226" s="62"/>
      <c r="Y226" s="62">
        <f>(18+20+20+20+27)*1.3255</f>
        <v>139.17749999999998</v>
      </c>
      <c r="Z226" s="79"/>
      <c r="AA226" s="63"/>
      <c r="AB226" s="64"/>
      <c r="AC226" s="64"/>
      <c r="AD226" s="64"/>
      <c r="AE226" s="65">
        <f t="shared" si="0"/>
        <v>0</v>
      </c>
      <c r="AF226" s="66"/>
      <c r="AG226" s="66"/>
      <c r="AH226" s="66"/>
      <c r="AI226" s="66"/>
      <c r="AJ226" s="66"/>
      <c r="AK226" s="66"/>
      <c r="AL226" s="66"/>
      <c r="AM226" s="66"/>
      <c r="AN226" s="67">
        <f t="shared" si="1"/>
        <v>0</v>
      </c>
      <c r="AO226" s="66"/>
      <c r="AP226" s="68">
        <f t="shared" si="2"/>
        <v>234.17749999999998</v>
      </c>
      <c r="AQ226" s="69"/>
      <c r="AR226" s="22"/>
      <c r="AS226" s="70">
        <f>'Daily Halba'!$U226-'Daily Halba'!$AP226</f>
        <v>1820.9424224080265</v>
      </c>
      <c r="AT226" s="5"/>
      <c r="AU226" s="5"/>
      <c r="AV226" s="5"/>
    </row>
    <row r="227" spans="1:48" ht="12.75" customHeight="1" x14ac:dyDescent="0.3">
      <c r="A227" s="49">
        <v>46137</v>
      </c>
      <c r="B227" s="77"/>
      <c r="C227" s="51">
        <f>'ODOMETERS Halba'!J223</f>
        <v>2373</v>
      </c>
      <c r="D227" s="52">
        <v>1.3254999999999999</v>
      </c>
      <c r="E227" s="53">
        <f>'Daily Halba'!$C227*'Daily Halba'!$D227</f>
        <v>3145.4114999999997</v>
      </c>
      <c r="F227" s="54">
        <f>'ODOMETERS Halba'!K223</f>
        <v>966</v>
      </c>
      <c r="G227" s="52">
        <v>1.3254999999999999</v>
      </c>
      <c r="H227" s="53">
        <f>'Daily Halba'!$F227*'Daily Halba'!$G227</f>
        <v>1280.433</v>
      </c>
      <c r="I227" s="54">
        <f>'Daily Halba'!$C227+'Daily Halba'!$F227</f>
        <v>3339</v>
      </c>
      <c r="J227" s="55">
        <f>'Daily Halba'!$I227*'Daily Halba'!$G227</f>
        <v>4425.8444999999992</v>
      </c>
      <c r="K227" s="56">
        <f>'ODOMETERS Halba'!L223</f>
        <v>471</v>
      </c>
      <c r="L227" s="57">
        <v>1.3416999999999999</v>
      </c>
      <c r="M227" s="58">
        <f>'Daily Halba'!$K227*'Daily Halba'!$L227</f>
        <v>631.94069999999999</v>
      </c>
      <c r="N227" s="71">
        <f>350/89.7</f>
        <v>3.9018952062430321</v>
      </c>
      <c r="O227" s="71">
        <f>(600+400+400+400+200)/89.7</f>
        <v>22.296544035674469</v>
      </c>
      <c r="P227" s="71"/>
      <c r="Q227" s="71"/>
      <c r="R227" s="71"/>
      <c r="S227" s="71">
        <v>111</v>
      </c>
      <c r="T227" s="71">
        <f>250/89.7</f>
        <v>2.7870680044593086</v>
      </c>
      <c r="U227" s="61">
        <f>SUM('Daily Halba'!$E227,'Daily Halba'!$H227,$M227:$T227)</f>
        <v>5197.7707072463763</v>
      </c>
      <c r="V227" s="22"/>
      <c r="W227" s="62">
        <f>19+40+20+20+40+10+20+87+30+20+20+25+20</f>
        <v>371</v>
      </c>
      <c r="X227" s="62"/>
      <c r="Y227" s="62">
        <f>(10+20)*1.3255</f>
        <v>39.765000000000001</v>
      </c>
      <c r="Z227" s="79"/>
      <c r="AA227" s="63"/>
      <c r="AB227" s="64"/>
      <c r="AC227" s="64">
        <v>230</v>
      </c>
      <c r="AD227" s="64"/>
      <c r="AE227" s="65">
        <f t="shared" si="0"/>
        <v>230</v>
      </c>
      <c r="AF227" s="66"/>
      <c r="AG227" s="66"/>
      <c r="AH227" s="66"/>
      <c r="AI227" s="66"/>
      <c r="AJ227" s="66"/>
      <c r="AK227" s="66"/>
      <c r="AL227" s="66"/>
      <c r="AM227" s="66"/>
      <c r="AN227" s="67">
        <f t="shared" si="1"/>
        <v>0</v>
      </c>
      <c r="AO227" s="66"/>
      <c r="AP227" s="68">
        <f t="shared" si="2"/>
        <v>640.76499999999999</v>
      </c>
      <c r="AQ227" s="69"/>
      <c r="AR227" s="22"/>
      <c r="AS227" s="70">
        <f>'Daily Halba'!$U227-'Daily Halba'!$AP227</f>
        <v>4557.005707246376</v>
      </c>
      <c r="AT227" s="5"/>
      <c r="AU227" s="5"/>
      <c r="AV227" s="19"/>
    </row>
    <row r="228" spans="1:48" ht="12.75" customHeight="1" x14ac:dyDescent="0.3">
      <c r="A228" s="49">
        <v>46138</v>
      </c>
      <c r="B228" s="77"/>
      <c r="C228" s="51">
        <f>'ODOMETERS Halba'!J224</f>
        <v>2496</v>
      </c>
      <c r="D228" s="52">
        <v>1.3254999999999999</v>
      </c>
      <c r="E228" s="53">
        <f>'Daily Halba'!$C228*'Daily Halba'!$D228</f>
        <v>3308.4479999999999</v>
      </c>
      <c r="F228" s="54">
        <f>'ODOMETERS Halba'!K224</f>
        <v>470</v>
      </c>
      <c r="G228" s="52">
        <v>1.3254999999999999</v>
      </c>
      <c r="H228" s="53">
        <f>'Daily Halba'!$F228*'Daily Halba'!$G228</f>
        <v>622.9849999999999</v>
      </c>
      <c r="I228" s="54">
        <f>'Daily Halba'!$C228+'Daily Halba'!$F228</f>
        <v>2966</v>
      </c>
      <c r="J228" s="55">
        <f>'Daily Halba'!$I228*'Daily Halba'!$G228</f>
        <v>3931.4329999999995</v>
      </c>
      <c r="K228" s="56">
        <f>'ODOMETERS Halba'!L224</f>
        <v>180</v>
      </c>
      <c r="L228" s="57">
        <v>1.3416999999999999</v>
      </c>
      <c r="M228" s="58">
        <f>'Daily Halba'!$K228*'Daily Halba'!$L228</f>
        <v>241.50599999999997</v>
      </c>
      <c r="N228" s="71">
        <f>5+350/89.7+10</f>
        <v>18.901895206243033</v>
      </c>
      <c r="O228" s="71">
        <f>(400+400+400+800+300)/89.7</f>
        <v>25.641025641025639</v>
      </c>
      <c r="P228" s="71">
        <v>57</v>
      </c>
      <c r="Q228" s="71"/>
      <c r="R228" s="71"/>
      <c r="S228" s="71">
        <v>20</v>
      </c>
      <c r="T228" s="71">
        <v>3</v>
      </c>
      <c r="U228" s="61">
        <f>SUM('Daily Halba'!$E228,'Daily Halba'!$H228,$M228:$T228)</f>
        <v>4297.4819208472691</v>
      </c>
      <c r="V228" s="22"/>
      <c r="W228" s="62">
        <f>47+58+20+15+30+76</f>
        <v>246</v>
      </c>
      <c r="X228" s="62"/>
      <c r="Y228" s="62">
        <f>50*1.3255</f>
        <v>66.274999999999991</v>
      </c>
      <c r="Z228" s="79">
        <v>12</v>
      </c>
      <c r="AA228" s="63"/>
      <c r="AB228" s="64"/>
      <c r="AC228" s="64"/>
      <c r="AD228" s="64"/>
      <c r="AE228" s="65">
        <f t="shared" si="0"/>
        <v>0</v>
      </c>
      <c r="AF228" s="66"/>
      <c r="AG228" s="66"/>
      <c r="AH228" s="66"/>
      <c r="AI228" s="66"/>
      <c r="AJ228" s="66"/>
      <c r="AK228" s="66"/>
      <c r="AL228" s="66"/>
      <c r="AM228" s="66"/>
      <c r="AN228" s="67">
        <f t="shared" si="1"/>
        <v>0</v>
      </c>
      <c r="AO228" s="66"/>
      <c r="AP228" s="68">
        <f t="shared" si="2"/>
        <v>324.27499999999998</v>
      </c>
      <c r="AQ228" s="69"/>
      <c r="AR228" s="22"/>
      <c r="AS228" s="70">
        <f>'Daily Halba'!$U228-'Daily Halba'!$AP228</f>
        <v>3973.206920847269</v>
      </c>
      <c r="AT228" s="5"/>
      <c r="AU228" s="5"/>
      <c r="AV228" s="19"/>
    </row>
    <row r="229" spans="1:48" ht="12.75" customHeight="1" x14ac:dyDescent="0.3">
      <c r="A229" s="49">
        <v>46139</v>
      </c>
      <c r="B229" s="77"/>
      <c r="C229" s="51">
        <f>'ODOMETERS Halba'!J225</f>
        <v>3232</v>
      </c>
      <c r="D229" s="52">
        <v>1.3254999999999999</v>
      </c>
      <c r="E229" s="53">
        <f>'Daily Halba'!$C229*'Daily Halba'!$D229</f>
        <v>4284.0159999999996</v>
      </c>
      <c r="F229" s="54">
        <f>'ODOMETERS Halba'!K225</f>
        <v>799</v>
      </c>
      <c r="G229" s="52">
        <v>1.3254999999999999</v>
      </c>
      <c r="H229" s="53">
        <f>'Daily Halba'!$F229*'Daily Halba'!$G229</f>
        <v>1059.0744999999999</v>
      </c>
      <c r="I229" s="54">
        <f>'Daily Halba'!$C229+'Daily Halba'!$F229</f>
        <v>4031</v>
      </c>
      <c r="J229" s="55">
        <f>'Daily Halba'!$I229*'Daily Halba'!$G229</f>
        <v>5343.0904999999993</v>
      </c>
      <c r="K229" s="56">
        <f>'ODOMETERS Halba'!L225</f>
        <v>873</v>
      </c>
      <c r="L229" s="57">
        <v>1.3416999999999999</v>
      </c>
      <c r="M229" s="58">
        <f>'Daily Halba'!$K229*'Daily Halba'!$L229</f>
        <v>1171.3040999999998</v>
      </c>
      <c r="N229" s="71">
        <f>14+700/89.7+350/89.7+350/89.7+350/89.7</f>
        <v>33.509476031215165</v>
      </c>
      <c r="O229" s="71">
        <f>700/89.7</f>
        <v>7.8037904124860642</v>
      </c>
      <c r="P229" s="71"/>
      <c r="Q229" s="71"/>
      <c r="R229" s="71"/>
      <c r="S229" s="71">
        <f>1000*24.51/20+2000</f>
        <v>3225.5</v>
      </c>
      <c r="T229" s="71">
        <f>400/89.7</f>
        <v>4.4593088071348941</v>
      </c>
      <c r="U229" s="61">
        <f>SUM('Daily Halba'!$E229,'Daily Halba'!$H229,$M229:$T229)</f>
        <v>9785.6671752508337</v>
      </c>
      <c r="V229" s="22"/>
      <c r="W229" s="62">
        <f>15+35+10+45+20+1000*1.3255+1000/89.7+180+236*1.3417</f>
        <v>1958.2894720178372</v>
      </c>
      <c r="X229" s="62"/>
      <c r="Y229" s="62">
        <f>(20+18+10+20)*1.3255</f>
        <v>90.133999999999986</v>
      </c>
      <c r="Z229" s="79">
        <v>4</v>
      </c>
      <c r="AA229" s="63"/>
      <c r="AB229" s="64"/>
      <c r="AC229" s="64"/>
      <c r="AD229" s="64"/>
      <c r="AE229" s="65">
        <f t="shared" si="0"/>
        <v>0</v>
      </c>
      <c r="AF229" s="66"/>
      <c r="AG229" s="66">
        <v>500</v>
      </c>
      <c r="AH229" s="66"/>
      <c r="AI229" s="66">
        <f>10+3+8</f>
        <v>21</v>
      </c>
      <c r="AJ229" s="66"/>
      <c r="AK229" s="66"/>
      <c r="AL229" s="66"/>
      <c r="AM229" s="66"/>
      <c r="AN229" s="67">
        <f t="shared" si="1"/>
        <v>521</v>
      </c>
      <c r="AO229" s="66">
        <v>1500</v>
      </c>
      <c r="AP229" s="68">
        <f t="shared" si="2"/>
        <v>4073.423472017837</v>
      </c>
      <c r="AQ229" s="69"/>
      <c r="AR229" s="22"/>
      <c r="AS229" s="70">
        <f>'Daily Halba'!$U229-'Daily Halba'!$AP229</f>
        <v>5712.2437032329963</v>
      </c>
      <c r="AT229" s="5"/>
      <c r="AU229" s="5"/>
      <c r="AV229" s="19"/>
    </row>
    <row r="230" spans="1:48" ht="12.75" customHeight="1" x14ac:dyDescent="0.3">
      <c r="A230" s="49">
        <v>46140</v>
      </c>
      <c r="B230" s="77" t="s">
        <v>24</v>
      </c>
      <c r="C230" s="51">
        <f>'ODOMETERS Halba'!J226</f>
        <v>973</v>
      </c>
      <c r="D230" s="52">
        <v>1.3254999999999999</v>
      </c>
      <c r="E230" s="53">
        <f>'Daily Halba'!$C230*'Daily Halba'!$D230</f>
        <v>1289.7114999999999</v>
      </c>
      <c r="F230" s="54">
        <f>'ODOMETERS Halba'!K226</f>
        <v>537</v>
      </c>
      <c r="G230" s="52">
        <v>1.3254999999999999</v>
      </c>
      <c r="H230" s="53">
        <f>'Daily Halba'!$F230*'Daily Halba'!$G230</f>
        <v>711.79349999999999</v>
      </c>
      <c r="I230" s="54">
        <f>'Daily Halba'!$C230+'Daily Halba'!$F230</f>
        <v>1510</v>
      </c>
      <c r="J230" s="55">
        <f>'Daily Halba'!$I230*'Daily Halba'!$G230</f>
        <v>2001.5049999999999</v>
      </c>
      <c r="K230" s="56">
        <f>'ODOMETERS Halba'!L226</f>
        <v>293</v>
      </c>
      <c r="L230" s="57">
        <v>1.3416999999999999</v>
      </c>
      <c r="M230" s="58">
        <f>'Daily Halba'!$K230*'Daily Halba'!$L230</f>
        <v>393.11809999999997</v>
      </c>
      <c r="N230" s="71">
        <v>38</v>
      </c>
      <c r="O230" s="71"/>
      <c r="P230" s="71"/>
      <c r="Q230" s="71"/>
      <c r="R230" s="71"/>
      <c r="S230" s="71"/>
      <c r="T230" s="71"/>
      <c r="U230" s="61">
        <f>SUM('Daily Halba'!$E230,'Daily Halba'!$H230,$M230:$T230)</f>
        <v>2432.6230999999998</v>
      </c>
      <c r="V230" s="22"/>
      <c r="W230" s="62">
        <v>138</v>
      </c>
      <c r="X230" s="62"/>
      <c r="Y230" s="62">
        <v>104.71</v>
      </c>
      <c r="Z230" s="79">
        <v>15</v>
      </c>
      <c r="AA230" s="63"/>
      <c r="AB230" s="64"/>
      <c r="AC230" s="64"/>
      <c r="AD230" s="64"/>
      <c r="AE230" s="65">
        <f t="shared" si="0"/>
        <v>0</v>
      </c>
      <c r="AF230" s="66"/>
      <c r="AG230" s="66"/>
      <c r="AH230" s="66"/>
      <c r="AI230" s="66"/>
      <c r="AJ230" s="66"/>
      <c r="AK230" s="66"/>
      <c r="AL230" s="66"/>
      <c r="AM230" s="66"/>
      <c r="AN230" s="67">
        <f t="shared" si="1"/>
        <v>0</v>
      </c>
      <c r="AO230" s="66"/>
      <c r="AP230" s="68">
        <f t="shared" si="2"/>
        <v>257.70999999999998</v>
      </c>
      <c r="AQ230" s="69"/>
      <c r="AR230" s="22"/>
      <c r="AS230" s="70">
        <f>'Daily Halba'!$U230-'Daily Halba'!$AP230</f>
        <v>2174.9130999999998</v>
      </c>
      <c r="AT230" s="5"/>
      <c r="AU230" s="5"/>
      <c r="AV230" s="5"/>
    </row>
    <row r="231" spans="1:48" ht="12.75" customHeight="1" x14ac:dyDescent="0.3">
      <c r="A231" s="49">
        <v>46140</v>
      </c>
      <c r="B231" s="77" t="s">
        <v>25</v>
      </c>
      <c r="C231" s="51">
        <f>'ODOMETERS Halba'!J227</f>
        <v>836</v>
      </c>
      <c r="D231" s="52">
        <v>1.3293999999999999</v>
      </c>
      <c r="E231" s="53">
        <f>'Daily Halba'!$C231*'Daily Halba'!$D231</f>
        <v>1111.3783999999998</v>
      </c>
      <c r="F231" s="54">
        <f>'ODOMETERS Halba'!K227</f>
        <v>631</v>
      </c>
      <c r="G231" s="52">
        <v>1.3293999999999999</v>
      </c>
      <c r="H231" s="53">
        <f>'Daily Halba'!$F231*'Daily Halba'!$G231</f>
        <v>838.8513999999999</v>
      </c>
      <c r="I231" s="54">
        <f>'Daily Halba'!$C231+'Daily Halba'!$F231</f>
        <v>1467</v>
      </c>
      <c r="J231" s="55">
        <f>'Daily Halba'!$I231*'Daily Halba'!$G231</f>
        <v>1950.2297999999998</v>
      </c>
      <c r="K231" s="56">
        <f>'ODOMETERS Halba'!L227</f>
        <v>1046</v>
      </c>
      <c r="L231" s="57">
        <v>1.3166</v>
      </c>
      <c r="M231" s="58">
        <f>'Daily Halba'!$K231*'Daily Halba'!$L231</f>
        <v>1377.1636000000001</v>
      </c>
      <c r="N231" s="71"/>
      <c r="O231" s="71">
        <f>800/89.7</f>
        <v>8.9186176142697882</v>
      </c>
      <c r="P231" s="71"/>
      <c r="Q231" s="71"/>
      <c r="R231" s="71"/>
      <c r="S231" s="71">
        <f>15+660</f>
        <v>675</v>
      </c>
      <c r="T231" s="71">
        <f>500/89.7</f>
        <v>5.5741360089186172</v>
      </c>
      <c r="U231" s="61">
        <f>SUM('Daily Halba'!$E231,'Daily Halba'!$H231,$M231:$T231)</f>
        <v>4016.8861536231884</v>
      </c>
      <c r="V231" s="22"/>
      <c r="W231" s="62">
        <f>14+600*1.3166+30+200*1.3166+20+50</f>
        <v>1167.28</v>
      </c>
      <c r="X231" s="62"/>
      <c r="Y231" s="62">
        <f>(10+20+20+18+18+10)*1.3294</f>
        <v>127.6224</v>
      </c>
      <c r="Z231" s="79">
        <v>3</v>
      </c>
      <c r="AA231" s="63"/>
      <c r="AB231" s="64"/>
      <c r="AC231" s="64"/>
      <c r="AD231" s="64"/>
      <c r="AE231" s="65">
        <f t="shared" si="0"/>
        <v>0</v>
      </c>
      <c r="AF231" s="66"/>
      <c r="AG231" s="66"/>
      <c r="AH231" s="66"/>
      <c r="AI231" s="66">
        <f>800/89.7</f>
        <v>8.9186176142697882</v>
      </c>
      <c r="AJ231" s="66"/>
      <c r="AK231" s="66">
        <f>300/89.7</f>
        <v>3.3444816053511706</v>
      </c>
      <c r="AL231" s="66"/>
      <c r="AM231" s="66"/>
      <c r="AN231" s="67">
        <f t="shared" si="1"/>
        <v>12.263099219620958</v>
      </c>
      <c r="AO231" s="66"/>
      <c r="AP231" s="68">
        <f t="shared" si="2"/>
        <v>1310.1654992196209</v>
      </c>
      <c r="AQ231" s="69"/>
      <c r="AR231" s="22"/>
      <c r="AS231" s="70">
        <f>'Daily Halba'!$U231-'Daily Halba'!$AP231</f>
        <v>2706.7206544035676</v>
      </c>
      <c r="AT231" s="5"/>
      <c r="AU231" s="5"/>
      <c r="AV231" s="5"/>
    </row>
    <row r="232" spans="1:48" ht="12.75" customHeight="1" x14ac:dyDescent="0.3">
      <c r="A232" s="49">
        <v>46141</v>
      </c>
      <c r="B232" s="77"/>
      <c r="C232" s="51">
        <f>'ODOMETERS Halba'!J228</f>
        <v>1928</v>
      </c>
      <c r="D232" s="52">
        <v>1.3293999999999999</v>
      </c>
      <c r="E232" s="53">
        <f>'Daily Halba'!$C232*'Daily Halba'!$D232</f>
        <v>2563.0832</v>
      </c>
      <c r="F232" s="54">
        <f>'ODOMETERS Halba'!K228</f>
        <v>1654</v>
      </c>
      <c r="G232" s="52">
        <v>1.3293999999999999</v>
      </c>
      <c r="H232" s="53">
        <f>'Daily Halba'!$F232*'Daily Halba'!$G232</f>
        <v>2198.8276000000001</v>
      </c>
      <c r="I232" s="54">
        <f>'Daily Halba'!$C232+'Daily Halba'!$F232</f>
        <v>3582</v>
      </c>
      <c r="J232" s="55">
        <f>'Daily Halba'!$I232*'Daily Halba'!$G232</f>
        <v>4761.9107999999997</v>
      </c>
      <c r="K232" s="56">
        <f>'ODOMETERS Halba'!L228</f>
        <v>717</v>
      </c>
      <c r="L232" s="57">
        <v>1.3166</v>
      </c>
      <c r="M232" s="58">
        <f>'Daily Halba'!$K232*'Daily Halba'!$L232</f>
        <v>944.00220000000002</v>
      </c>
      <c r="N232" s="71">
        <v>17.27</v>
      </c>
      <c r="O232" s="71">
        <v>19</v>
      </c>
      <c r="P232" s="71">
        <v>37.5</v>
      </c>
      <c r="Q232" s="71"/>
      <c r="R232" s="71"/>
      <c r="S232" s="71">
        <v>9157</v>
      </c>
      <c r="T232" s="71">
        <v>5</v>
      </c>
      <c r="U232" s="61">
        <f>SUM('Daily Halba'!$E232,'Daily Halba'!$H232,$M232:$T232)</f>
        <v>14941.683000000001</v>
      </c>
      <c r="V232" s="22"/>
      <c r="W232" s="62">
        <f>672+263</f>
        <v>935</v>
      </c>
      <c r="X232" s="62"/>
      <c r="Y232" s="62">
        <v>79.760000000000005</v>
      </c>
      <c r="Z232" s="79">
        <v>2</v>
      </c>
      <c r="AA232" s="63"/>
      <c r="AB232" s="64"/>
      <c r="AC232" s="64"/>
      <c r="AD232" s="64"/>
      <c r="AE232" s="65">
        <f t="shared" si="0"/>
        <v>0</v>
      </c>
      <c r="AF232" s="66"/>
      <c r="AG232" s="66"/>
      <c r="AH232" s="66"/>
      <c r="AI232" s="66"/>
      <c r="AJ232" s="66"/>
      <c r="AK232" s="66"/>
      <c r="AL232" s="66"/>
      <c r="AM232" s="66"/>
      <c r="AN232" s="67">
        <f t="shared" si="1"/>
        <v>0</v>
      </c>
      <c r="AO232" s="66"/>
      <c r="AP232" s="68">
        <f t="shared" si="2"/>
        <v>1016.76</v>
      </c>
      <c r="AQ232" s="69"/>
      <c r="AR232" s="22"/>
      <c r="AS232" s="70">
        <f>'Daily Halba'!$U232-'Daily Halba'!$AP232</f>
        <v>13924.923000000001</v>
      </c>
      <c r="AT232" s="5"/>
      <c r="AU232" s="5"/>
      <c r="AV232" s="5"/>
    </row>
    <row r="233" spans="1:48" ht="12.75" customHeight="1" x14ac:dyDescent="0.3">
      <c r="A233" s="49">
        <v>46142</v>
      </c>
      <c r="B233" s="77" t="s">
        <v>24</v>
      </c>
      <c r="C233" s="51">
        <f>'ODOMETERS Halba'!J229</f>
        <v>1044</v>
      </c>
      <c r="D233" s="52">
        <v>1.3293999999999999</v>
      </c>
      <c r="E233" s="53">
        <f>'Daily Halba'!$C233*'Daily Halba'!$D233</f>
        <v>1387.8935999999999</v>
      </c>
      <c r="F233" s="54">
        <f>'ODOMETERS Halba'!K229</f>
        <v>1043</v>
      </c>
      <c r="G233" s="52">
        <v>1.3293999999999999</v>
      </c>
      <c r="H233" s="53">
        <f>'Daily Halba'!$F233*'Daily Halba'!$G233</f>
        <v>1386.5641999999998</v>
      </c>
      <c r="I233" s="54">
        <f>'Daily Halba'!$C233+'Daily Halba'!$F233</f>
        <v>2087</v>
      </c>
      <c r="J233" s="55">
        <f>'Daily Halba'!$I233*'Daily Halba'!$G233</f>
        <v>2774.4577999999997</v>
      </c>
      <c r="K233" s="56">
        <f>'ODOMETERS Halba'!L229</f>
        <v>239</v>
      </c>
      <c r="L233" s="57">
        <v>1.3166</v>
      </c>
      <c r="M233" s="58">
        <f>'Daily Halba'!$K233*'Daily Halba'!$L233</f>
        <v>314.66739999999999</v>
      </c>
      <c r="N233" s="71">
        <f>10+350/89.7</f>
        <v>13.901895206243033</v>
      </c>
      <c r="O233" s="71">
        <f>800/89.7</f>
        <v>8.9186176142697882</v>
      </c>
      <c r="P233" s="71"/>
      <c r="Q233" s="71"/>
      <c r="R233" s="71"/>
      <c r="S233" s="71"/>
      <c r="T233" s="71">
        <f>(250+150+150+150+150)/89.7</f>
        <v>9.4760312151616493</v>
      </c>
      <c r="U233" s="61">
        <f>SUM('Daily Halba'!$E233,'Daily Halba'!$H233,$M233:$T233)</f>
        <v>3121.4217440356738</v>
      </c>
      <c r="V233" s="22"/>
      <c r="W233" s="62">
        <f>30+40+40</f>
        <v>110</v>
      </c>
      <c r="X233" s="62"/>
      <c r="Y233" s="62">
        <f>(30+20+20+20+20)*1.3294</f>
        <v>146.23399999999998</v>
      </c>
      <c r="Z233" s="79"/>
      <c r="AA233" s="63"/>
      <c r="AB233" s="64"/>
      <c r="AC233" s="64"/>
      <c r="AD233" s="64"/>
      <c r="AE233" s="65">
        <f t="shared" si="0"/>
        <v>0</v>
      </c>
      <c r="AF233" s="66"/>
      <c r="AG233" s="66"/>
      <c r="AH233" s="66"/>
      <c r="AI233" s="66">
        <v>8</v>
      </c>
      <c r="AJ233" s="66"/>
      <c r="AK233" s="66"/>
      <c r="AL233" s="66"/>
      <c r="AM233" s="66"/>
      <c r="AN233" s="67">
        <f t="shared" si="1"/>
        <v>8</v>
      </c>
      <c r="AO233" s="66"/>
      <c r="AP233" s="68">
        <f t="shared" si="2"/>
        <v>264.23399999999998</v>
      </c>
      <c r="AQ233" s="69"/>
      <c r="AR233" s="22"/>
      <c r="AS233" s="70">
        <f>'Daily Halba'!$U233-'Daily Halba'!$AP233</f>
        <v>2857.1877440356739</v>
      </c>
      <c r="AT233" s="5"/>
      <c r="AU233" s="5"/>
      <c r="AV233" s="5"/>
    </row>
    <row r="234" spans="1:48" ht="12.75" customHeight="1" x14ac:dyDescent="0.3">
      <c r="A234" s="49">
        <v>46142</v>
      </c>
      <c r="B234" s="77" t="s">
        <v>25</v>
      </c>
      <c r="C234" s="51">
        <f>'ODOMETERS Halba'!J230</f>
        <v>771</v>
      </c>
      <c r="D234" s="52">
        <v>1.3328</v>
      </c>
      <c r="E234" s="53">
        <f>'Daily Halba'!$C234*'Daily Halba'!$D234</f>
        <v>1027.5888</v>
      </c>
      <c r="F234" s="54">
        <f>'ODOMETERS Halba'!K230</f>
        <v>806</v>
      </c>
      <c r="G234" s="52">
        <v>1.3328</v>
      </c>
      <c r="H234" s="53">
        <f>'Daily Halba'!$F234*'Daily Halba'!$G234</f>
        <v>1074.2367999999999</v>
      </c>
      <c r="I234" s="54">
        <f>'Daily Halba'!$C234+'Daily Halba'!$F234</f>
        <v>1577</v>
      </c>
      <c r="J234" s="55">
        <f>'Daily Halba'!$I234*'Daily Halba'!$G234</f>
        <v>2101.8256000000001</v>
      </c>
      <c r="K234" s="56">
        <f>'ODOMETERS Halba'!L230</f>
        <v>304</v>
      </c>
      <c r="L234" s="57">
        <v>1.2988</v>
      </c>
      <c r="M234" s="58">
        <f>'Daily Halba'!$K234*'Daily Halba'!$L234</f>
        <v>394.83519999999999</v>
      </c>
      <c r="N234" s="71"/>
      <c r="O234" s="71"/>
      <c r="P234" s="71"/>
      <c r="Q234" s="71"/>
      <c r="R234" s="71"/>
      <c r="S234" s="71">
        <v>27</v>
      </c>
      <c r="T234" s="71">
        <f>250/89.7</f>
        <v>2.7870680044593086</v>
      </c>
      <c r="U234" s="61">
        <f>SUM('Daily Halba'!$E234,'Daily Halba'!$H234,$M234:$T234)</f>
        <v>2526.4478680044595</v>
      </c>
      <c r="V234" s="22"/>
      <c r="W234" s="62">
        <f>40+5+2+10+25+33+20</f>
        <v>135</v>
      </c>
      <c r="X234" s="62"/>
      <c r="Y234" s="62">
        <f>1.3328*(30+30)</f>
        <v>79.968000000000004</v>
      </c>
      <c r="Z234" s="79">
        <v>2</v>
      </c>
      <c r="AA234" s="63"/>
      <c r="AB234" s="64"/>
      <c r="AC234" s="64"/>
      <c r="AD234" s="64"/>
      <c r="AE234" s="65">
        <f t="shared" si="0"/>
        <v>0</v>
      </c>
      <c r="AF234" s="66"/>
      <c r="AG234" s="66"/>
      <c r="AH234" s="66"/>
      <c r="AI234" s="66"/>
      <c r="AJ234" s="66"/>
      <c r="AK234" s="66">
        <f>300/89.7</f>
        <v>3.3444816053511706</v>
      </c>
      <c r="AL234" s="66"/>
      <c r="AM234" s="66"/>
      <c r="AN234" s="67">
        <f t="shared" si="1"/>
        <v>3.3444816053511706</v>
      </c>
      <c r="AO234" s="66"/>
      <c r="AP234" s="68">
        <f t="shared" si="2"/>
        <v>220.31248160535119</v>
      </c>
      <c r="AQ234" s="69"/>
      <c r="AR234" s="22"/>
      <c r="AS234" s="70">
        <f>'Daily Halba'!$U234-'Daily Halba'!$AP234</f>
        <v>2306.135386399108</v>
      </c>
      <c r="AT234" s="5"/>
      <c r="AU234" s="5"/>
      <c r="AV234" s="5"/>
    </row>
    <row r="235" spans="1:48" ht="12.75" customHeight="1" x14ac:dyDescent="0.3">
      <c r="A235" s="49">
        <v>46143</v>
      </c>
      <c r="B235" s="77"/>
      <c r="C235" s="51">
        <f>'ODOMETERS Halba'!J231</f>
        <v>1761</v>
      </c>
      <c r="D235" s="52">
        <v>1.3328</v>
      </c>
      <c r="E235" s="53">
        <f>'Daily Halba'!$C235*'Daily Halba'!$D235</f>
        <v>2347.0608000000002</v>
      </c>
      <c r="F235" s="54">
        <f>'ODOMETERS Halba'!K231</f>
        <v>1525</v>
      </c>
      <c r="G235" s="52">
        <v>1.3328</v>
      </c>
      <c r="H235" s="53">
        <f>'Daily Halba'!$F235*'Daily Halba'!$G235</f>
        <v>2032.52</v>
      </c>
      <c r="I235" s="54">
        <f>'Daily Halba'!$C235+'Daily Halba'!$F235</f>
        <v>3286</v>
      </c>
      <c r="J235" s="55">
        <f>'Daily Halba'!$I235*'Daily Halba'!$G235</f>
        <v>4379.5807999999997</v>
      </c>
      <c r="K235" s="56">
        <f>'ODOMETERS Halba'!L231</f>
        <v>495</v>
      </c>
      <c r="L235" s="57">
        <v>1.2988</v>
      </c>
      <c r="M235" s="58">
        <f>'Daily Halba'!$K235*'Daily Halba'!$L235</f>
        <v>642.90599999999995</v>
      </c>
      <c r="N235" s="71">
        <f>(350+350)/89.7+5</f>
        <v>12.803790412486064</v>
      </c>
      <c r="O235" s="71">
        <f>(1600/89.7)</f>
        <v>17.837235228539576</v>
      </c>
      <c r="P235" s="71">
        <f>19*3+55+18.5</f>
        <v>130.5</v>
      </c>
      <c r="Q235" s="71"/>
      <c r="R235" s="71">
        <v>100</v>
      </c>
      <c r="S235" s="71">
        <f>40+38+40</f>
        <v>118</v>
      </c>
      <c r="T235" s="71">
        <f>400/89.7</f>
        <v>4.4593088071348941</v>
      </c>
      <c r="U235" s="61">
        <f>SUM('Daily Halba'!$E235,'Daily Halba'!$H235,$M235:$T235)</f>
        <v>5406.0871344481602</v>
      </c>
      <c r="V235" s="22"/>
      <c r="W235" s="62">
        <f>30+45+15+6+25</f>
        <v>121</v>
      </c>
      <c r="X235" s="62"/>
      <c r="Y235" s="62">
        <f>(18.5+30+20)*1.3328+122</f>
        <v>213.29680000000002</v>
      </c>
      <c r="Z235" s="79">
        <v>6</v>
      </c>
      <c r="AA235" s="63"/>
      <c r="AB235" s="64"/>
      <c r="AC235" s="64"/>
      <c r="AD235" s="64"/>
      <c r="AE235" s="65">
        <f t="shared" si="0"/>
        <v>0</v>
      </c>
      <c r="AF235" s="66"/>
      <c r="AG235" s="66"/>
      <c r="AH235" s="66"/>
      <c r="AI235" s="66">
        <v>8</v>
      </c>
      <c r="AJ235" s="66"/>
      <c r="AK235" s="66"/>
      <c r="AL235" s="66"/>
      <c r="AM235" s="66"/>
      <c r="AN235" s="67">
        <f t="shared" si="1"/>
        <v>8</v>
      </c>
      <c r="AO235" s="66"/>
      <c r="AP235" s="68">
        <f t="shared" si="2"/>
        <v>348.29680000000002</v>
      </c>
      <c r="AQ235" s="69"/>
      <c r="AR235" s="22"/>
      <c r="AS235" s="70">
        <f>'Daily Halba'!$U235-'Daily Halba'!$AP235</f>
        <v>5057.7903344481601</v>
      </c>
      <c r="AT235" s="5"/>
      <c r="AU235" s="5"/>
      <c r="AV235" s="19"/>
    </row>
    <row r="236" spans="1:48" ht="12.75" customHeight="1" x14ac:dyDescent="0.3">
      <c r="A236" s="49">
        <v>46144</v>
      </c>
      <c r="B236" s="77"/>
      <c r="C236" s="51">
        <f>'ODOMETERS Halba'!J232</f>
        <v>2118</v>
      </c>
      <c r="D236" s="52">
        <v>1.3328</v>
      </c>
      <c r="E236" s="53">
        <f>'Daily Halba'!$C236*'Daily Halba'!$D236</f>
        <v>2822.8703999999998</v>
      </c>
      <c r="F236" s="54">
        <f>'ODOMETERS Halba'!K232</f>
        <v>1645</v>
      </c>
      <c r="G236" s="52">
        <v>1.3328</v>
      </c>
      <c r="H236" s="53">
        <f>'Daily Halba'!$F236*'Daily Halba'!$G236</f>
        <v>2192.4560000000001</v>
      </c>
      <c r="I236" s="54">
        <f>'Daily Halba'!$C236+'Daily Halba'!$F236</f>
        <v>3763</v>
      </c>
      <c r="J236" s="55">
        <f>'Daily Halba'!$I236*'Daily Halba'!$G236</f>
        <v>5015.3263999999999</v>
      </c>
      <c r="K236" s="56">
        <f>'ODOMETERS Halba'!L232</f>
        <v>535</v>
      </c>
      <c r="L236" s="57">
        <v>1.2988</v>
      </c>
      <c r="M236" s="58">
        <f>'Daily Halba'!$K236*'Daily Halba'!$L236</f>
        <v>694.85799999999995</v>
      </c>
      <c r="N236" s="71">
        <f>350/89.7+10+21+5</f>
        <v>39.901895206243033</v>
      </c>
      <c r="O236" s="71">
        <f>(400+300+300+300+300+400)/89.7</f>
        <v>22.296544035674469</v>
      </c>
      <c r="P236" s="71"/>
      <c r="Q236" s="71"/>
      <c r="R236" s="71"/>
      <c r="S236" s="71">
        <f>100</f>
        <v>100</v>
      </c>
      <c r="T236" s="71">
        <f>150/89.7</f>
        <v>1.6722408026755853</v>
      </c>
      <c r="U236" s="61">
        <f>SUM('Daily Halba'!$E236,'Daily Halba'!$H236,$M236:$T236)</f>
        <v>5874.0550800445935</v>
      </c>
      <c r="V236" s="22"/>
      <c r="W236" s="62">
        <f>64+20+80+22+37+30+15+30+40+5+10+20</f>
        <v>373</v>
      </c>
      <c r="X236" s="62"/>
      <c r="Y236" s="62">
        <f>(20+20+45+45)*1.3328</f>
        <v>173.26400000000001</v>
      </c>
      <c r="Z236" s="79">
        <v>2</v>
      </c>
      <c r="AA236" s="63"/>
      <c r="AB236" s="64"/>
      <c r="AC236" s="64"/>
      <c r="AD236" s="64"/>
      <c r="AE236" s="65">
        <f t="shared" si="0"/>
        <v>0</v>
      </c>
      <c r="AF236" s="66"/>
      <c r="AG236" s="66"/>
      <c r="AH236" s="66"/>
      <c r="AI236" s="66"/>
      <c r="AJ236" s="66"/>
      <c r="AK236" s="66"/>
      <c r="AL236" s="66"/>
      <c r="AM236" s="66"/>
      <c r="AN236" s="67">
        <f t="shared" si="1"/>
        <v>0</v>
      </c>
      <c r="AO236" s="66"/>
      <c r="AP236" s="68">
        <f t="shared" si="2"/>
        <v>548.26400000000001</v>
      </c>
      <c r="AQ236" s="69"/>
      <c r="AR236" s="22"/>
      <c r="AS236" s="70">
        <f>'Daily Halba'!$U236-'Daily Halba'!$AP236</f>
        <v>5325.7910800445934</v>
      </c>
      <c r="AT236" s="5"/>
      <c r="AU236" s="5"/>
      <c r="AV236" s="19"/>
    </row>
    <row r="237" spans="1:48" ht="12.75" customHeight="1" x14ac:dyDescent="0.3">
      <c r="A237" s="49">
        <v>46145</v>
      </c>
      <c r="B237" s="77"/>
      <c r="C237" s="51">
        <f>'ODOMETERS Halba'!J233</f>
        <v>1494</v>
      </c>
      <c r="D237" s="52">
        <v>1.3328</v>
      </c>
      <c r="E237" s="53">
        <f>'Daily Halba'!$C237*'Daily Halba'!$D237</f>
        <v>1991.2031999999999</v>
      </c>
      <c r="F237" s="54">
        <f>'ODOMETERS Halba'!K233</f>
        <v>1939</v>
      </c>
      <c r="G237" s="52">
        <v>1.3328</v>
      </c>
      <c r="H237" s="53">
        <f>'Daily Halba'!$F237*'Daily Halba'!$G237</f>
        <v>2584.2991999999999</v>
      </c>
      <c r="I237" s="54">
        <f>'Daily Halba'!$C237+'Daily Halba'!$F237</f>
        <v>3433</v>
      </c>
      <c r="J237" s="55">
        <f>'Daily Halba'!$I237*'Daily Halba'!$G237</f>
        <v>4575.5024000000003</v>
      </c>
      <c r="K237" s="56">
        <f>'ODOMETERS Halba'!L233</f>
        <v>418</v>
      </c>
      <c r="L237" s="57">
        <v>1.2988</v>
      </c>
      <c r="M237" s="58">
        <f>'Daily Halba'!$K237*'Daily Halba'!$L237</f>
        <v>542.89840000000004</v>
      </c>
      <c r="N237" s="71">
        <f>350/89.7+6+300/89.7</f>
        <v>13.246376811594203</v>
      </c>
      <c r="O237" s="71">
        <f>(400+300+300+400)/89.7</f>
        <v>15.607580824972128</v>
      </c>
      <c r="P237" s="71">
        <v>55</v>
      </c>
      <c r="Q237" s="71">
        <v>18</v>
      </c>
      <c r="R237" s="71"/>
      <c r="S237" s="71">
        <v>80</v>
      </c>
      <c r="T237" s="71">
        <f>800/89.7</f>
        <v>8.9186176142697882</v>
      </c>
      <c r="U237" s="61">
        <f>SUM('Daily Halba'!$E237,'Daily Halba'!$H237,$M237:$T237)</f>
        <v>5309.1733752508353</v>
      </c>
      <c r="V237" s="22"/>
      <c r="W237" s="62">
        <f>20+40+20</f>
        <v>80</v>
      </c>
      <c r="X237" s="62"/>
      <c r="Y237" s="62">
        <f>(18+18+30+30+20+20)*1.3328</f>
        <v>181.26079999999999</v>
      </c>
      <c r="Z237" s="79">
        <v>70</v>
      </c>
      <c r="AA237" s="63"/>
      <c r="AB237" s="64"/>
      <c r="AC237" s="64"/>
      <c r="AD237" s="64"/>
      <c r="AE237" s="65">
        <f t="shared" si="0"/>
        <v>0</v>
      </c>
      <c r="AF237" s="66"/>
      <c r="AG237" s="66"/>
      <c r="AH237" s="66"/>
      <c r="AI237" s="66">
        <v>20</v>
      </c>
      <c r="AJ237" s="66"/>
      <c r="AK237" s="66"/>
      <c r="AL237" s="66"/>
      <c r="AM237" s="66"/>
      <c r="AN237" s="67">
        <f t="shared" si="1"/>
        <v>20</v>
      </c>
      <c r="AO237" s="66">
        <v>3000</v>
      </c>
      <c r="AP237" s="68">
        <f t="shared" si="2"/>
        <v>3351.2608</v>
      </c>
      <c r="AQ237" s="69"/>
      <c r="AR237" s="22"/>
      <c r="AS237" s="70">
        <f>'Daily Halba'!$U237-'Daily Halba'!$AP237</f>
        <v>1957.9125752508353</v>
      </c>
      <c r="AT237" s="5"/>
      <c r="AU237" s="5"/>
      <c r="AV237" s="19"/>
    </row>
    <row r="238" spans="1:48" ht="12.75" customHeight="1" x14ac:dyDescent="0.3">
      <c r="A238" s="49">
        <v>46146</v>
      </c>
      <c r="B238" s="77"/>
      <c r="C238" s="51">
        <f>'ODOMETERS Halba'!J234</f>
        <v>1355</v>
      </c>
      <c r="D238" s="52">
        <v>1.3328</v>
      </c>
      <c r="E238" s="53">
        <f>'Daily Halba'!$C238*'Daily Halba'!$D238</f>
        <v>1805.944</v>
      </c>
      <c r="F238" s="54">
        <f>'ODOMETERS Halba'!K234</f>
        <v>1712</v>
      </c>
      <c r="G238" s="52">
        <v>1.3328</v>
      </c>
      <c r="H238" s="53">
        <f>'Daily Halba'!$F238*'Daily Halba'!$G238</f>
        <v>2281.7536</v>
      </c>
      <c r="I238" s="54">
        <f>'Daily Halba'!$C238+'Daily Halba'!$F238</f>
        <v>3067</v>
      </c>
      <c r="J238" s="55">
        <f>'Daily Halba'!$I238*'Daily Halba'!$G238</f>
        <v>4087.6976</v>
      </c>
      <c r="K238" s="56">
        <f>'ODOMETERS Halba'!L234</f>
        <v>522</v>
      </c>
      <c r="L238" s="57">
        <v>1.2988</v>
      </c>
      <c r="M238" s="58">
        <f>'Daily Halba'!$K238*'Daily Halba'!$L238</f>
        <v>677.97360000000003</v>
      </c>
      <c r="N238" s="71">
        <f>7+700/89.7+350/89.7+350/89.7</f>
        <v>22.607580824972128</v>
      </c>
      <c r="O238" s="71"/>
      <c r="P238" s="71">
        <f>18.5*2</f>
        <v>37</v>
      </c>
      <c r="Q238" s="71"/>
      <c r="R238" s="71"/>
      <c r="S238" s="71">
        <f>200+2500/89.7</f>
        <v>227.87068004459309</v>
      </c>
      <c r="T238" s="71">
        <f>(150+150+150+150+150)/89.7</f>
        <v>8.3612040133779253</v>
      </c>
      <c r="U238" s="61">
        <f>SUM('Daily Halba'!$E238,'Daily Halba'!$H238,$M238:$T238)</f>
        <v>5061.5106648829433</v>
      </c>
      <c r="V238" s="22"/>
      <c r="W238" s="62">
        <f>20+10+10+10+400+320+100*1.2988</f>
        <v>899.88</v>
      </c>
      <c r="X238" s="62"/>
      <c r="Y238" s="62">
        <f>50+(9+20+20+20+9+27+20+18)*1.3328</f>
        <v>240.59039999999999</v>
      </c>
      <c r="Z238" s="79">
        <v>-4</v>
      </c>
      <c r="AA238" s="63"/>
      <c r="AB238" s="64"/>
      <c r="AC238" s="64"/>
      <c r="AD238" s="64"/>
      <c r="AE238" s="65">
        <f t="shared" si="0"/>
        <v>0</v>
      </c>
      <c r="AF238" s="66"/>
      <c r="AG238" s="66"/>
      <c r="AH238" s="66"/>
      <c r="AI238" s="66">
        <v>8</v>
      </c>
      <c r="AJ238" s="66"/>
      <c r="AK238" s="66">
        <f>1500/89.7</f>
        <v>16.722408026755851</v>
      </c>
      <c r="AL238" s="66"/>
      <c r="AM238" s="66"/>
      <c r="AN238" s="67">
        <f t="shared" si="1"/>
        <v>24.722408026755851</v>
      </c>
      <c r="AO238" s="66">
        <v>1500</v>
      </c>
      <c r="AP238" s="68">
        <f t="shared" si="2"/>
        <v>2661.1928080267558</v>
      </c>
      <c r="AQ238" s="69"/>
      <c r="AR238" s="22"/>
      <c r="AS238" s="70">
        <f>'Daily Halba'!$U238-'Daily Halba'!$AP238</f>
        <v>2400.3178568561875</v>
      </c>
      <c r="AT238" s="5"/>
      <c r="AU238" s="5"/>
      <c r="AV238" s="19"/>
    </row>
    <row r="239" spans="1:48" ht="12.75" customHeight="1" x14ac:dyDescent="0.3">
      <c r="A239" s="49">
        <v>46147</v>
      </c>
      <c r="B239" s="77" t="s">
        <v>24</v>
      </c>
      <c r="C239" s="51">
        <f>'ODOMETERS Halba'!J235</f>
        <v>796</v>
      </c>
      <c r="D239" s="52">
        <v>1.3328</v>
      </c>
      <c r="E239" s="53">
        <f>'Daily Halba'!$C239*'Daily Halba'!$D239</f>
        <v>1060.9087999999999</v>
      </c>
      <c r="F239" s="54">
        <f>'ODOMETERS Halba'!K235</f>
        <v>701</v>
      </c>
      <c r="G239" s="52">
        <v>1.3328</v>
      </c>
      <c r="H239" s="53">
        <f>'Daily Halba'!$F239*'Daily Halba'!$G239</f>
        <v>934.29279999999994</v>
      </c>
      <c r="I239" s="54">
        <f>'Daily Halba'!$C239+'Daily Halba'!$F239</f>
        <v>1497</v>
      </c>
      <c r="J239" s="55">
        <f>'Daily Halba'!$I239*'Daily Halba'!$G239</f>
        <v>1995.2015999999999</v>
      </c>
      <c r="K239" s="56">
        <f>'ODOMETERS Halba'!L235</f>
        <v>105</v>
      </c>
      <c r="L239" s="57">
        <v>1.2988</v>
      </c>
      <c r="M239" s="58">
        <f>'Daily Halba'!$K239*'Daily Halba'!$L239</f>
        <v>136.374</v>
      </c>
      <c r="N239" s="71"/>
      <c r="O239" s="71"/>
      <c r="P239" s="71">
        <v>18</v>
      </c>
      <c r="Q239" s="71"/>
      <c r="R239" s="71"/>
      <c r="S239" s="71"/>
      <c r="T239" s="71">
        <v>11</v>
      </c>
      <c r="U239" s="61">
        <f>SUM('Daily Halba'!$E239,'Daily Halba'!$H239,$M239:$T239)</f>
        <v>2160.5755999999997</v>
      </c>
      <c r="V239" s="22"/>
      <c r="W239" s="62">
        <v>53</v>
      </c>
      <c r="X239" s="62"/>
      <c r="Y239" s="62">
        <v>206</v>
      </c>
      <c r="Z239" s="79"/>
      <c r="AA239" s="63"/>
      <c r="AB239" s="64"/>
      <c r="AC239" s="64"/>
      <c r="AD239" s="64"/>
      <c r="AE239" s="65">
        <f t="shared" si="0"/>
        <v>0</v>
      </c>
      <c r="AF239" s="66"/>
      <c r="AG239" s="66"/>
      <c r="AH239" s="66"/>
      <c r="AI239" s="66"/>
      <c r="AJ239" s="66"/>
      <c r="AK239" s="66"/>
      <c r="AL239" s="66"/>
      <c r="AM239" s="66"/>
      <c r="AN239" s="67">
        <f t="shared" si="1"/>
        <v>0</v>
      </c>
      <c r="AO239" s="66"/>
      <c r="AP239" s="68">
        <f t="shared" si="2"/>
        <v>259</v>
      </c>
      <c r="AQ239" s="69"/>
      <c r="AR239" s="22"/>
      <c r="AS239" s="70">
        <f>'Daily Halba'!$U239-'Daily Halba'!$AP239</f>
        <v>1901.5755999999997</v>
      </c>
      <c r="AT239" s="5"/>
      <c r="AU239" s="19"/>
      <c r="AV239" s="5"/>
    </row>
    <row r="240" spans="1:48" ht="12.75" customHeight="1" x14ac:dyDescent="0.3">
      <c r="A240" s="49">
        <v>46147</v>
      </c>
      <c r="B240" s="77" t="s">
        <v>25</v>
      </c>
      <c r="C240" s="51">
        <f>'ODOMETERS Halba'!J236</f>
        <v>881</v>
      </c>
      <c r="D240" s="52">
        <v>1.3685</v>
      </c>
      <c r="E240" s="53">
        <f>'Daily Halba'!$C240*'Daily Halba'!$D240</f>
        <v>1205.6485</v>
      </c>
      <c r="F240" s="54">
        <f>'ODOMETERS Halba'!K236</f>
        <v>674</v>
      </c>
      <c r="G240" s="52">
        <v>1.3685</v>
      </c>
      <c r="H240" s="53">
        <f>'Daily Halba'!$F240*'Daily Halba'!$G240</f>
        <v>922.36900000000003</v>
      </c>
      <c r="I240" s="54">
        <f>'Daily Halba'!$C240+'Daily Halba'!$F240</f>
        <v>1555</v>
      </c>
      <c r="J240" s="55">
        <f>'Daily Halba'!$I240*'Daily Halba'!$G240</f>
        <v>2128.0174999999999</v>
      </c>
      <c r="K240" s="56">
        <f>'ODOMETERS Halba'!L236</f>
        <v>748</v>
      </c>
      <c r="L240" s="57">
        <v>1.2899</v>
      </c>
      <c r="M240" s="58">
        <f>'Daily Halba'!$K240*'Daily Halba'!$L240</f>
        <v>964.84520000000009</v>
      </c>
      <c r="N240" s="71"/>
      <c r="O240" s="71"/>
      <c r="P240" s="71">
        <f>35+17.5</f>
        <v>52.5</v>
      </c>
      <c r="Q240" s="71"/>
      <c r="R240" s="71"/>
      <c r="S240" s="71"/>
      <c r="T240" s="71">
        <f>250/89.7+150/89.7</f>
        <v>4.4593088071348941</v>
      </c>
      <c r="U240" s="61">
        <f>SUM('Daily Halba'!$E240,'Daily Halba'!$H240,$M240:$T240)</f>
        <v>3149.8220088071348</v>
      </c>
      <c r="V240" s="22"/>
      <c r="W240" s="62">
        <f>200+190+85+25+20+248*1.2899+120*1.3685</f>
        <v>1004.1152</v>
      </c>
      <c r="X240" s="62"/>
      <c r="Y240" s="62">
        <f>(30+46+20)*1.3685+250</f>
        <v>381.37599999999998</v>
      </c>
      <c r="Z240" s="79"/>
      <c r="AA240" s="63"/>
      <c r="AB240" s="64"/>
      <c r="AC240" s="64">
        <v>194</v>
      </c>
      <c r="AD240" s="64"/>
      <c r="AE240" s="65">
        <f t="shared" si="0"/>
        <v>194</v>
      </c>
      <c r="AF240" s="66"/>
      <c r="AG240" s="66"/>
      <c r="AH240" s="66"/>
      <c r="AI240" s="66"/>
      <c r="AJ240" s="66"/>
      <c r="AK240" s="66">
        <f>300/89.7</f>
        <v>3.3444816053511706</v>
      </c>
      <c r="AL240" s="66"/>
      <c r="AM240" s="66"/>
      <c r="AN240" s="67">
        <f t="shared" si="1"/>
        <v>3.3444816053511706</v>
      </c>
      <c r="AO240" s="66"/>
      <c r="AP240" s="68">
        <f t="shared" si="2"/>
        <v>1582.8356816053511</v>
      </c>
      <c r="AQ240" s="69"/>
      <c r="AR240" s="22"/>
      <c r="AS240" s="70">
        <f>'Daily Halba'!$U240-'Daily Halba'!$AP240</f>
        <v>1566.9863272017838</v>
      </c>
      <c r="AT240" s="5"/>
      <c r="AU240" s="5"/>
      <c r="AV240" s="5"/>
    </row>
    <row r="241" spans="1:49" ht="12.75" customHeight="1" x14ac:dyDescent="0.3">
      <c r="A241" s="49">
        <v>46148</v>
      </c>
      <c r="B241" s="77"/>
      <c r="C241" s="51">
        <f>'ODOMETERS Halba'!J237</f>
        <v>1840</v>
      </c>
      <c r="D241" s="52">
        <v>1.3685</v>
      </c>
      <c r="E241" s="53">
        <f>'Daily Halba'!$C241*'Daily Halba'!$D241</f>
        <v>2518.04</v>
      </c>
      <c r="F241" s="54">
        <f>'ODOMETERS Halba'!K237</f>
        <v>1473</v>
      </c>
      <c r="G241" s="52">
        <v>1.3685</v>
      </c>
      <c r="H241" s="53">
        <f>'Daily Halba'!$F241*'Daily Halba'!$G241</f>
        <v>2015.8005000000001</v>
      </c>
      <c r="I241" s="54">
        <f>'Daily Halba'!$C241+'Daily Halba'!$F241</f>
        <v>3313</v>
      </c>
      <c r="J241" s="55">
        <f>'Daily Halba'!$I241*'Daily Halba'!$G241</f>
        <v>4533.8405000000002</v>
      </c>
      <c r="K241" s="56">
        <f>'ODOMETERS Halba'!L237</f>
        <v>1372</v>
      </c>
      <c r="L241" s="57">
        <v>1.2899</v>
      </c>
      <c r="M241" s="58">
        <f>'Daily Halba'!$K241*'Daily Halba'!$L241</f>
        <v>1769.7428</v>
      </c>
      <c r="N241" s="71">
        <f>350/89.7+700/89.7</f>
        <v>11.705685618729095</v>
      </c>
      <c r="O241" s="71">
        <f>400/89.7+300/89.7+400/89.7</f>
        <v>12.263099219620958</v>
      </c>
      <c r="P241" s="71">
        <f>17.5+35+17.5+17.5</f>
        <v>87.5</v>
      </c>
      <c r="Q241" s="71"/>
      <c r="R241" s="71"/>
      <c r="S241" s="71">
        <f>20+179+1000</f>
        <v>1199</v>
      </c>
      <c r="T241" s="71">
        <f>950/89.7</f>
        <v>10.590858416945373</v>
      </c>
      <c r="U241" s="61">
        <f>SUM('Daily Halba'!$E241,'Daily Halba'!$H241,$M241:$T241)</f>
        <v>7624.6429432552959</v>
      </c>
      <c r="V241" s="22"/>
      <c r="W241" s="62">
        <f>30+30+20+850*1.2899</f>
        <v>1176.415</v>
      </c>
      <c r="X241" s="62"/>
      <c r="Y241" s="62">
        <f>(20+20+30+30+20+36)*1.3685+25</f>
        <v>238.48600000000002</v>
      </c>
      <c r="Z241" s="79">
        <v>6</v>
      </c>
      <c r="AA241" s="63"/>
      <c r="AB241" s="64"/>
      <c r="AC241" s="64"/>
      <c r="AD241" s="64"/>
      <c r="AE241" s="65">
        <f t="shared" si="0"/>
        <v>0</v>
      </c>
      <c r="AF241" s="66"/>
      <c r="AG241" s="66"/>
      <c r="AH241" s="66"/>
      <c r="AI241" s="66">
        <v>8</v>
      </c>
      <c r="AJ241" s="66"/>
      <c r="AK241" s="66"/>
      <c r="AL241" s="66"/>
      <c r="AM241" s="66"/>
      <c r="AN241" s="67">
        <f t="shared" si="1"/>
        <v>8</v>
      </c>
      <c r="AO241" s="66"/>
      <c r="AP241" s="68">
        <f t="shared" si="2"/>
        <v>1428.9010000000001</v>
      </c>
      <c r="AQ241" s="69"/>
      <c r="AR241" s="22"/>
      <c r="AS241" s="70">
        <f>'Daily Halba'!$U241-'Daily Halba'!$AP241</f>
        <v>6195.7419432552961</v>
      </c>
      <c r="AT241" s="5"/>
      <c r="AU241" s="273"/>
      <c r="AV241" s="273"/>
    </row>
    <row r="242" spans="1:49" ht="12.75" customHeight="1" x14ac:dyDescent="0.3">
      <c r="A242" s="49">
        <v>46149</v>
      </c>
      <c r="B242" s="77"/>
      <c r="C242" s="51">
        <f>'ODOMETERS Halba'!J238</f>
        <v>1994</v>
      </c>
      <c r="D242" s="52">
        <v>1.3685</v>
      </c>
      <c r="E242" s="53">
        <f>'Daily Halba'!$C242*'Daily Halba'!$D242</f>
        <v>2728.7890000000002</v>
      </c>
      <c r="F242" s="54">
        <f>'ODOMETERS Halba'!K238</f>
        <v>1528</v>
      </c>
      <c r="G242" s="52">
        <v>1.3685</v>
      </c>
      <c r="H242" s="53">
        <f>'Daily Halba'!$F242*'Daily Halba'!$G242</f>
        <v>2091.0680000000002</v>
      </c>
      <c r="I242" s="54">
        <f>'Daily Halba'!$C242+'Daily Halba'!$F242</f>
        <v>3522</v>
      </c>
      <c r="J242" s="55">
        <f>'Daily Halba'!$I242*'Daily Halba'!$G242</f>
        <v>4819.857</v>
      </c>
      <c r="K242" s="56">
        <f>'ODOMETERS Halba'!L238</f>
        <v>346</v>
      </c>
      <c r="L242" s="57">
        <v>1.2899</v>
      </c>
      <c r="M242" s="58">
        <f>'Daily Halba'!$K242*'Daily Halba'!$L242</f>
        <v>446.30540000000002</v>
      </c>
      <c r="N242" s="71">
        <f>350/89.7</f>
        <v>3.9018952062430321</v>
      </c>
      <c r="O242" s="71">
        <f>(400+400+700+400)/89.7</f>
        <v>21.181716833890746</v>
      </c>
      <c r="P242" s="71"/>
      <c r="Q242" s="71"/>
      <c r="R242" s="71"/>
      <c r="S242" s="71">
        <f>110</f>
        <v>110</v>
      </c>
      <c r="T242" s="71">
        <f>(300+250+150+250+150)/89.7</f>
        <v>12.263099219620958</v>
      </c>
      <c r="U242" s="61">
        <f>SUM('Daily Halba'!$E242,'Daily Halba'!$H242,$M242:$T242)</f>
        <v>5413.5091112597556</v>
      </c>
      <c r="V242" s="22"/>
      <c r="W242" s="62">
        <f>35+10+30+30+68+11+10+30+15+20+2000/89.7+67</f>
        <v>348.29654403567446</v>
      </c>
      <c r="X242" s="62"/>
      <c r="Y242" s="62">
        <f>(40+30+20+30+20+20+18+20)*1.3685+264+480</f>
        <v>1014.963</v>
      </c>
      <c r="Z242" s="79"/>
      <c r="AA242" s="63"/>
      <c r="AB242" s="64"/>
      <c r="AC242" s="64"/>
      <c r="AD242" s="64"/>
      <c r="AE242" s="65">
        <f t="shared" si="0"/>
        <v>0</v>
      </c>
      <c r="AF242" s="66"/>
      <c r="AG242" s="66"/>
      <c r="AH242" s="66"/>
      <c r="AI242" s="66"/>
      <c r="AJ242" s="66"/>
      <c r="AK242" s="66"/>
      <c r="AL242" s="66"/>
      <c r="AM242" s="66"/>
      <c r="AN242" s="67">
        <f t="shared" si="1"/>
        <v>0</v>
      </c>
      <c r="AO242" s="66"/>
      <c r="AP242" s="68">
        <f t="shared" si="2"/>
        <v>1363.2595440356745</v>
      </c>
      <c r="AQ242" s="69"/>
      <c r="AR242" s="22"/>
      <c r="AS242" s="70">
        <f>'Daily Halba'!$U242-'Daily Halba'!$AP242</f>
        <v>4050.2495672240811</v>
      </c>
      <c r="AT242" s="5"/>
      <c r="AU242" s="5"/>
      <c r="AV242" s="19"/>
    </row>
    <row r="243" spans="1:49" ht="12.75" customHeight="1" x14ac:dyDescent="0.3">
      <c r="A243" s="49">
        <v>46150</v>
      </c>
      <c r="B243" s="77" t="s">
        <v>24</v>
      </c>
      <c r="C243" s="51">
        <f>'ODOMETERS Halba'!J239</f>
        <v>991</v>
      </c>
      <c r="D243" s="52">
        <v>1.3685</v>
      </c>
      <c r="E243" s="53">
        <f>'Daily Halba'!$C243*'Daily Halba'!$D243</f>
        <v>1356.1835000000001</v>
      </c>
      <c r="F243" s="54">
        <f>'ODOMETERS Halba'!K239</f>
        <v>747</v>
      </c>
      <c r="G243" s="52">
        <v>1.3685</v>
      </c>
      <c r="H243" s="53">
        <f>'Daily Halba'!$F243*'Daily Halba'!$G243</f>
        <v>1022.2695</v>
      </c>
      <c r="I243" s="54">
        <f>'Daily Halba'!$C243+'Daily Halba'!$F243</f>
        <v>1738</v>
      </c>
      <c r="J243" s="55">
        <f>'Daily Halba'!$I243*'Daily Halba'!$G243</f>
        <v>2378.453</v>
      </c>
      <c r="K243" s="56">
        <f>'ODOMETERS Halba'!L239</f>
        <v>202</v>
      </c>
      <c r="L243" s="57">
        <v>1.2899</v>
      </c>
      <c r="M243" s="58">
        <f>'Daily Halba'!$K243*'Daily Halba'!$L243</f>
        <v>260.5598</v>
      </c>
      <c r="N243" s="71">
        <f>300/89.7+350/89.7+700/89.7+12+5</f>
        <v>32.050167224080269</v>
      </c>
      <c r="O243" s="71"/>
      <c r="P243" s="71">
        <v>17.5</v>
      </c>
      <c r="Q243" s="71"/>
      <c r="R243" s="71"/>
      <c r="S243" s="71"/>
      <c r="T243" s="71">
        <f>900/89.7</f>
        <v>10.033444816053512</v>
      </c>
      <c r="U243" s="61">
        <f>SUM('Daily Halba'!$E243,'Daily Halba'!$H243,$M243:$T243)</f>
        <v>2698.5964120401336</v>
      </c>
      <c r="V243" s="22"/>
      <c r="W243" s="62">
        <f>15+20</f>
        <v>35</v>
      </c>
      <c r="X243" s="62"/>
      <c r="Y243" s="62">
        <f>48+(20+20+20+50)*1.3685</f>
        <v>198.535</v>
      </c>
      <c r="Z243" s="79"/>
      <c r="AA243" s="63"/>
      <c r="AB243" s="64"/>
      <c r="AC243" s="64"/>
      <c r="AD243" s="64"/>
      <c r="AE243" s="65">
        <f t="shared" si="0"/>
        <v>0</v>
      </c>
      <c r="AF243" s="66"/>
      <c r="AG243" s="66"/>
      <c r="AH243" s="66"/>
      <c r="AI243" s="66">
        <v>8</v>
      </c>
      <c r="AJ243" s="66"/>
      <c r="AK243" s="66"/>
      <c r="AL243" s="66"/>
      <c r="AM243" s="66"/>
      <c r="AN243" s="67">
        <f t="shared" si="1"/>
        <v>8</v>
      </c>
      <c r="AO243" s="66"/>
      <c r="AP243" s="68">
        <f t="shared" si="2"/>
        <v>241.535</v>
      </c>
      <c r="AQ243" s="69"/>
      <c r="AR243" s="22"/>
      <c r="AS243" s="70">
        <f>'Daily Halba'!$U243-'Daily Halba'!$AP243</f>
        <v>2457.0614120401337</v>
      </c>
      <c r="AT243" s="5"/>
      <c r="AU243" s="5"/>
      <c r="AV243" s="5"/>
    </row>
    <row r="244" spans="1:49" ht="12.75" customHeight="1" x14ac:dyDescent="0.3">
      <c r="A244" s="49">
        <v>46150</v>
      </c>
      <c r="B244" s="77" t="s">
        <v>25</v>
      </c>
      <c r="C244" s="51">
        <f>'ODOMETERS Halba'!J240</f>
        <v>867</v>
      </c>
      <c r="D244" s="52">
        <v>1.3778999999999999</v>
      </c>
      <c r="E244" s="53">
        <f>'Daily Halba'!$C244*'Daily Halba'!$D244</f>
        <v>1194.6392999999998</v>
      </c>
      <c r="F244" s="54">
        <f>'ODOMETERS Halba'!K240</f>
        <v>562</v>
      </c>
      <c r="G244" s="52">
        <v>1.3778999999999999</v>
      </c>
      <c r="H244" s="53">
        <f>'Daily Halba'!$F244*'Daily Halba'!$G244</f>
        <v>774.37979999999993</v>
      </c>
      <c r="I244" s="54">
        <f>'Daily Halba'!$C244+'Daily Halba'!$F244</f>
        <v>1429</v>
      </c>
      <c r="J244" s="55">
        <f>'Daily Halba'!$I244*'Daily Halba'!$G244</f>
        <v>1969.0190999999998</v>
      </c>
      <c r="K244" s="56">
        <f>'ODOMETERS Halba'!L240</f>
        <v>618</v>
      </c>
      <c r="L244" s="57">
        <v>1.2808999999999999</v>
      </c>
      <c r="M244" s="58">
        <f>'Daily Halba'!$K244*'Daily Halba'!$L244</f>
        <v>791.59619999999995</v>
      </c>
      <c r="N244" s="71">
        <f>700/89.7</f>
        <v>7.8037904124860642</v>
      </c>
      <c r="O244" s="71">
        <f>(400+400+400+400+400)/89.7+5</f>
        <v>27.296544035674469</v>
      </c>
      <c r="P244" s="71">
        <v>17.5</v>
      </c>
      <c r="Q244" s="71"/>
      <c r="R244" s="71"/>
      <c r="S244" s="71">
        <v>257</v>
      </c>
      <c r="T244" s="71">
        <f>250/89.7+475/89.7</f>
        <v>8.0824972129319956</v>
      </c>
      <c r="U244" s="61">
        <f>SUM('Daily Halba'!$E244,'Daily Halba'!$H244,$M244:$T244)</f>
        <v>3078.2981316610922</v>
      </c>
      <c r="V244" s="22"/>
      <c r="W244" s="62">
        <f>40+30+184*1.2809+110*1.2809+35+200*1.2809+5</f>
        <v>742.76459999999997</v>
      </c>
      <c r="X244" s="62"/>
      <c r="Y244" s="62">
        <f>(18+30+30+20+10+9)*1.3779</f>
        <v>161.21429999999998</v>
      </c>
      <c r="Z244" s="79">
        <v>4</v>
      </c>
      <c r="AA244" s="63">
        <v>102</v>
      </c>
      <c r="AB244" s="64"/>
      <c r="AC244" s="64"/>
      <c r="AD244" s="64"/>
      <c r="AE244" s="65">
        <f t="shared" si="0"/>
        <v>102</v>
      </c>
      <c r="AF244" s="66"/>
      <c r="AG244" s="66"/>
      <c r="AH244" s="66"/>
      <c r="AI244" s="66">
        <v>20</v>
      </c>
      <c r="AJ244" s="66"/>
      <c r="AK244" s="66">
        <f>300/89.7</f>
        <v>3.3444816053511706</v>
      </c>
      <c r="AL244" s="66"/>
      <c r="AM244" s="66"/>
      <c r="AN244" s="67">
        <f t="shared" si="1"/>
        <v>23.34448160535117</v>
      </c>
      <c r="AO244" s="66"/>
      <c r="AP244" s="68">
        <f t="shared" si="2"/>
        <v>1033.3233816053512</v>
      </c>
      <c r="AQ244" s="69"/>
      <c r="AR244" s="22"/>
      <c r="AS244" s="70">
        <f>'Daily Halba'!$U244-'Daily Halba'!$AP244</f>
        <v>2044.974750055741</v>
      </c>
      <c r="AT244" s="5"/>
      <c r="AU244" s="5"/>
      <c r="AV244" s="5"/>
    </row>
    <row r="245" spans="1:49" ht="12.75" customHeight="1" x14ac:dyDescent="0.3">
      <c r="A245" s="49">
        <v>46151</v>
      </c>
      <c r="B245" s="77"/>
      <c r="C245" s="51">
        <f>'ODOMETERS Halba'!J241</f>
        <v>2043</v>
      </c>
      <c r="D245" s="52">
        <v>1.3778999999999999</v>
      </c>
      <c r="E245" s="53">
        <f>'Daily Halba'!$C245*'Daily Halba'!$D245</f>
        <v>2815.0496999999996</v>
      </c>
      <c r="F245" s="54">
        <f>'ODOMETERS Halba'!K241</f>
        <v>1398</v>
      </c>
      <c r="G245" s="52">
        <v>1.3778999999999999</v>
      </c>
      <c r="H245" s="53">
        <f>'Daily Halba'!$F245*'Daily Halba'!$G245</f>
        <v>1926.3041999999998</v>
      </c>
      <c r="I245" s="54">
        <f>'Daily Halba'!$C245+'Daily Halba'!$F245</f>
        <v>3441</v>
      </c>
      <c r="J245" s="55">
        <f>'Daily Halba'!$I245*'Daily Halba'!$G245</f>
        <v>4741.3539000000001</v>
      </c>
      <c r="K245" s="56">
        <f>'ODOMETERS Halba'!L241</f>
        <v>438</v>
      </c>
      <c r="L245" s="57">
        <v>1.2808999999999999</v>
      </c>
      <c r="M245" s="58">
        <f>'Daily Halba'!$K245*'Daily Halba'!$L245</f>
        <v>561.03419999999994</v>
      </c>
      <c r="N245" s="71">
        <f>350/89.7</f>
        <v>3.9018952062430321</v>
      </c>
      <c r="O245" s="71">
        <f>(400*6+300)/89.7</f>
        <v>30.100334448160535</v>
      </c>
      <c r="P245" s="71">
        <f>17.5</f>
        <v>17.5</v>
      </c>
      <c r="Q245" s="71"/>
      <c r="R245" s="71"/>
      <c r="S245" s="71">
        <f>20+15</f>
        <v>35</v>
      </c>
      <c r="T245" s="71">
        <f>700/89.7+600/89.7</f>
        <v>14.492753623188406</v>
      </c>
      <c r="U245" s="61">
        <f>SUM('Daily Halba'!$E245,'Daily Halba'!$H245,$M245:$T245)</f>
        <v>5403.3830832775911</v>
      </c>
      <c r="V245" s="22"/>
      <c r="W245" s="62">
        <f>10+15+10+10+15+85+20+30+20+45+20+8+3000/89.7+8+20+1000/89.7+30+11+30</f>
        <v>431.59308807134897</v>
      </c>
      <c r="X245" s="62"/>
      <c r="Y245" s="62">
        <f>(10+40+20+20+9+20+40+30)*1.3779</f>
        <v>260.42309999999998</v>
      </c>
      <c r="Z245" s="79">
        <v>10</v>
      </c>
      <c r="AA245" s="63"/>
      <c r="AB245" s="64"/>
      <c r="AC245" s="64">
        <v>291</v>
      </c>
      <c r="AD245" s="64"/>
      <c r="AE245" s="65">
        <f t="shared" si="0"/>
        <v>291</v>
      </c>
      <c r="AF245" s="66"/>
      <c r="AG245" s="66"/>
      <c r="AH245" s="66"/>
      <c r="AI245" s="66"/>
      <c r="AJ245" s="66"/>
      <c r="AK245" s="66"/>
      <c r="AL245" s="66"/>
      <c r="AM245" s="66"/>
      <c r="AN245" s="67">
        <f t="shared" si="1"/>
        <v>0</v>
      </c>
      <c r="AO245" s="66"/>
      <c r="AP245" s="68">
        <f t="shared" si="2"/>
        <v>993.01618807134901</v>
      </c>
      <c r="AQ245" s="69"/>
      <c r="AR245" s="22"/>
      <c r="AS245" s="70">
        <f>'Daily Halba'!$U245-'Daily Halba'!$AP245</f>
        <v>4410.3668952062417</v>
      </c>
      <c r="AT245" s="5"/>
      <c r="AU245" s="5"/>
      <c r="AV245" s="19"/>
    </row>
    <row r="246" spans="1:49" ht="12.75" customHeight="1" x14ac:dyDescent="0.3">
      <c r="A246" s="49">
        <v>46152</v>
      </c>
      <c r="B246" s="77"/>
      <c r="C246" s="51">
        <f>'ODOMETERS Halba'!J242</f>
        <v>1526</v>
      </c>
      <c r="D246" s="52">
        <v>1.3778999999999999</v>
      </c>
      <c r="E246" s="53">
        <f>'Daily Halba'!$C246*'Daily Halba'!$D246</f>
        <v>2102.6753999999996</v>
      </c>
      <c r="F246" s="54">
        <f>'ODOMETERS Halba'!K242</f>
        <v>1312</v>
      </c>
      <c r="G246" s="52">
        <v>1.3778999999999999</v>
      </c>
      <c r="H246" s="53">
        <f>'Daily Halba'!$F246*'Daily Halba'!$G246</f>
        <v>1807.8047999999999</v>
      </c>
      <c r="I246" s="54">
        <f>'Daily Halba'!$C246+'Daily Halba'!$F246</f>
        <v>2838</v>
      </c>
      <c r="J246" s="55">
        <f>'Daily Halba'!$I246*'Daily Halba'!$G246</f>
        <v>3910.4801999999995</v>
      </c>
      <c r="K246" s="56">
        <f>'ODOMETERS Halba'!L242</f>
        <v>2158</v>
      </c>
      <c r="L246" s="57">
        <v>1.2808999999999999</v>
      </c>
      <c r="M246" s="58">
        <f>'Daily Halba'!$K246*'Daily Halba'!$L246</f>
        <v>2764.1821999999997</v>
      </c>
      <c r="N246" s="71">
        <f>300/89.7+350/89.7+10+350/89.7</f>
        <v>21.148272017837236</v>
      </c>
      <c r="O246" s="71">
        <f>(400*6+600)/89.7</f>
        <v>33.444816053511701</v>
      </c>
      <c r="P246" s="71">
        <v>35</v>
      </c>
      <c r="Q246" s="71">
        <v>10</v>
      </c>
      <c r="R246" s="71"/>
      <c r="S246" s="71">
        <v>575</v>
      </c>
      <c r="T246" s="71">
        <f>(150+250+250+250+150)/89.7</f>
        <v>11.705685618729097</v>
      </c>
      <c r="U246" s="61">
        <f>SUM('Daily Halba'!$E246,'Daily Halba'!$H246,$M246:$T246)</f>
        <v>7360.9611736900779</v>
      </c>
      <c r="V246" s="22"/>
      <c r="W246" s="62">
        <f>10+200+16+30+10+30+10+40+43+10+200+20+30+1500*1.2809</f>
        <v>2570.35</v>
      </c>
      <c r="X246" s="62"/>
      <c r="Y246" s="62">
        <f>306+(20+30+30+30+20)*1.3779</f>
        <v>485.12699999999995</v>
      </c>
      <c r="Z246" s="79">
        <v>3</v>
      </c>
      <c r="AA246" s="63"/>
      <c r="AB246" s="64"/>
      <c r="AC246" s="64"/>
      <c r="AD246" s="64"/>
      <c r="AE246" s="65">
        <f t="shared" si="0"/>
        <v>0</v>
      </c>
      <c r="AF246" s="66"/>
      <c r="AG246" s="66"/>
      <c r="AH246" s="66"/>
      <c r="AI246" s="66">
        <v>5</v>
      </c>
      <c r="AJ246" s="66"/>
      <c r="AK246" s="66"/>
      <c r="AL246" s="66"/>
      <c r="AM246" s="66"/>
      <c r="AN246" s="67">
        <f t="shared" si="1"/>
        <v>5</v>
      </c>
      <c r="AO246" s="66"/>
      <c r="AP246" s="68">
        <f t="shared" si="2"/>
        <v>3063.4769999999999</v>
      </c>
      <c r="AQ246" s="69"/>
      <c r="AR246" s="22"/>
      <c r="AS246" s="70">
        <f>'Daily Halba'!$U246-'Daily Halba'!$AP246</f>
        <v>4297.484173690078</v>
      </c>
      <c r="AT246" s="5"/>
      <c r="AU246" s="5"/>
      <c r="AV246" s="5"/>
    </row>
    <row r="247" spans="1:49" ht="12.75" customHeight="1" x14ac:dyDescent="0.3">
      <c r="A247" s="49">
        <v>46153</v>
      </c>
      <c r="B247" s="77"/>
      <c r="C247" s="51">
        <f>'ODOMETERS Halba'!J243</f>
        <v>3490</v>
      </c>
      <c r="D247" s="52">
        <v>1.3778999999999999</v>
      </c>
      <c r="E247" s="53">
        <f>'Daily Halba'!$C247*'Daily Halba'!$D247</f>
        <v>4808.8710000000001</v>
      </c>
      <c r="F247" s="54">
        <f>'ODOMETERS Halba'!K243</f>
        <v>1883</v>
      </c>
      <c r="G247" s="52">
        <v>1.3778999999999999</v>
      </c>
      <c r="H247" s="53">
        <f>'Daily Halba'!$F247*'Daily Halba'!$G247</f>
        <v>2594.5856999999996</v>
      </c>
      <c r="I247" s="54">
        <f>'Daily Halba'!$C247+'Daily Halba'!$F247</f>
        <v>5373</v>
      </c>
      <c r="J247" s="55">
        <f>'Daily Halba'!$I247*'Daily Halba'!$G247</f>
        <v>7403.4566999999997</v>
      </c>
      <c r="K247" s="56">
        <f>'ODOMETERS Halba'!L243</f>
        <v>597</v>
      </c>
      <c r="L247" s="57">
        <v>1.2808999999999999</v>
      </c>
      <c r="M247" s="58">
        <f>'Daily Halba'!$K247*'Daily Halba'!$L247</f>
        <v>764.69729999999993</v>
      </c>
      <c r="N247" s="71">
        <f>350/89.7+5+300/89.7+350/89.7+14+7+40+7</f>
        <v>84.148272017837229</v>
      </c>
      <c r="O247" s="71">
        <f>10</f>
        <v>10</v>
      </c>
      <c r="P247" s="71">
        <v>35</v>
      </c>
      <c r="Q247" s="71">
        <v>6</v>
      </c>
      <c r="R247" s="71"/>
      <c r="S247" s="71">
        <f>500*25.55/20</f>
        <v>638.75</v>
      </c>
      <c r="T247" s="71">
        <f>150/89.7+250/89.7+250/89.7+300/89.7</f>
        <v>10.590858416945373</v>
      </c>
      <c r="U247" s="61">
        <f>SUM('Daily Halba'!$E247,'Daily Halba'!$H247,$M247:$T247)</f>
        <v>8952.6431304347807</v>
      </c>
      <c r="V247" s="22"/>
      <c r="W247" s="62">
        <f>30+65+1500*1.3779+43+25+40+10+20+30+1432+10+15+1000/89.7</f>
        <v>3797.9982720178373</v>
      </c>
      <c r="X247" s="62"/>
      <c r="Y247" s="62">
        <f>(30+47+30+20+50+40)*1.3779</f>
        <v>299.0043</v>
      </c>
      <c r="Z247" s="79">
        <v>8</v>
      </c>
      <c r="AA247" s="63"/>
      <c r="AB247" s="64"/>
      <c r="AC247" s="64"/>
      <c r="AD247" s="64"/>
      <c r="AE247" s="65">
        <f t="shared" si="0"/>
        <v>0</v>
      </c>
      <c r="AF247" s="66"/>
      <c r="AG247" s="66"/>
      <c r="AH247" s="66"/>
      <c r="AI247" s="66">
        <v>8</v>
      </c>
      <c r="AJ247" s="66"/>
      <c r="AK247" s="66">
        <f>1500/89.7</f>
        <v>16.722408026755851</v>
      </c>
      <c r="AL247" s="66"/>
      <c r="AM247" s="66"/>
      <c r="AN247" s="67">
        <f t="shared" si="1"/>
        <v>24.722408026755851</v>
      </c>
      <c r="AO247" s="66"/>
      <c r="AP247" s="68">
        <f t="shared" si="2"/>
        <v>4129.7249800445934</v>
      </c>
      <c r="AQ247" s="69"/>
      <c r="AR247" s="22"/>
      <c r="AS247" s="70">
        <f>'Daily Halba'!$U247-'Daily Halba'!$AP247</f>
        <v>4822.9181503901873</v>
      </c>
      <c r="AT247" s="5"/>
      <c r="AU247" s="5"/>
      <c r="AV247" s="19"/>
    </row>
    <row r="248" spans="1:49" ht="12.75" customHeight="1" x14ac:dyDescent="0.3">
      <c r="A248" s="49">
        <v>46154</v>
      </c>
      <c r="B248" s="77" t="s">
        <v>24</v>
      </c>
      <c r="C248" s="51">
        <f>'ODOMETERS Halba'!J244</f>
        <v>1218</v>
      </c>
      <c r="D248" s="52">
        <v>1.3778999999999999</v>
      </c>
      <c r="E248" s="53">
        <f>'Daily Halba'!$C248*'Daily Halba'!$D248</f>
        <v>1678.2821999999999</v>
      </c>
      <c r="F248" s="54">
        <f>'ODOMETERS Halba'!K244</f>
        <v>673</v>
      </c>
      <c r="G248" s="52">
        <v>1.3778999999999999</v>
      </c>
      <c r="H248" s="53">
        <f>'Daily Halba'!$F248*'Daily Halba'!$G248</f>
        <v>927.32669999999996</v>
      </c>
      <c r="I248" s="54">
        <f>'Daily Halba'!$C248+'Daily Halba'!$F248</f>
        <v>1891</v>
      </c>
      <c r="J248" s="55">
        <f>'Daily Halba'!$I248*'Daily Halba'!$G248</f>
        <v>2605.6088999999997</v>
      </c>
      <c r="K248" s="56">
        <f>'ODOMETERS Halba'!L244</f>
        <v>267</v>
      </c>
      <c r="L248" s="57">
        <v>1.2808999999999999</v>
      </c>
      <c r="M248" s="58">
        <f>'Daily Halba'!$K248*'Daily Halba'!$L248</f>
        <v>342.00029999999998</v>
      </c>
      <c r="N248" s="71">
        <f>300/89.7+7+300/89.7</f>
        <v>13.68896321070234</v>
      </c>
      <c r="O248" s="71">
        <v>8</v>
      </c>
      <c r="P248" s="71">
        <v>35</v>
      </c>
      <c r="Q248" s="71"/>
      <c r="R248" s="71"/>
      <c r="S248" s="71">
        <f>1250+10</f>
        <v>1260</v>
      </c>
      <c r="T248" s="71">
        <f>3+150/89.7</f>
        <v>4.6722408026755851</v>
      </c>
      <c r="U248" s="61">
        <f>SUM('Daily Halba'!$E248,'Daily Halba'!$H248,$M248:$T248)</f>
        <v>4268.9704040133774</v>
      </c>
      <c r="V248" s="22"/>
      <c r="W248" s="62">
        <f>65+100</f>
        <v>165</v>
      </c>
      <c r="X248" s="62"/>
      <c r="Y248" s="62">
        <f>(30+20)*1.3779</f>
        <v>68.894999999999996</v>
      </c>
      <c r="Z248" s="79">
        <v>10</v>
      </c>
      <c r="AA248" s="63"/>
      <c r="AB248" s="64"/>
      <c r="AC248" s="64"/>
      <c r="AD248" s="64"/>
      <c r="AE248" s="65">
        <f t="shared" si="0"/>
        <v>0</v>
      </c>
      <c r="AF248" s="66"/>
      <c r="AG248" s="66"/>
      <c r="AH248" s="66"/>
      <c r="AI248" s="66"/>
      <c r="AJ248" s="66"/>
      <c r="AK248" s="66"/>
      <c r="AL248" s="66"/>
      <c r="AM248" s="66"/>
      <c r="AN248" s="67">
        <f t="shared" si="1"/>
        <v>0</v>
      </c>
      <c r="AO248" s="66"/>
      <c r="AP248" s="68">
        <f t="shared" si="2"/>
        <v>243.89499999999998</v>
      </c>
      <c r="AQ248" s="69"/>
      <c r="AR248" s="22"/>
      <c r="AS248" s="70">
        <f>'Daily Halba'!$U248-'Daily Halba'!$AP248</f>
        <v>4025.0754040133775</v>
      </c>
      <c r="AT248" s="5"/>
      <c r="AU248" s="5"/>
      <c r="AV248" s="19"/>
    </row>
    <row r="249" spans="1:49" ht="12.75" customHeight="1" x14ac:dyDescent="0.3">
      <c r="A249" s="49">
        <v>46154</v>
      </c>
      <c r="B249" s="77" t="s">
        <v>25</v>
      </c>
      <c r="C249" s="51">
        <f>'ODOMETERS Halba'!J245</f>
        <v>902</v>
      </c>
      <c r="D249" s="52">
        <v>1.3935</v>
      </c>
      <c r="E249" s="53">
        <f>'Daily Halba'!$C249*'Daily Halba'!$D249</f>
        <v>1256.9369999999999</v>
      </c>
      <c r="F249" s="54">
        <f>'ODOMETERS Halba'!K245</f>
        <v>809</v>
      </c>
      <c r="G249" s="52">
        <v>1.3935</v>
      </c>
      <c r="H249" s="53">
        <f>'Daily Halba'!$F249*'Daily Halba'!$G249</f>
        <v>1127.3415</v>
      </c>
      <c r="I249" s="54">
        <f>'Daily Halba'!$C249+'Daily Halba'!$F249</f>
        <v>1711</v>
      </c>
      <c r="J249" s="55">
        <f>'Daily Halba'!$I249*'Daily Halba'!$G249</f>
        <v>2384.2784999999999</v>
      </c>
      <c r="K249" s="56">
        <f>'ODOMETERS Halba'!L245</f>
        <v>517</v>
      </c>
      <c r="L249" s="57">
        <v>1.2625</v>
      </c>
      <c r="M249" s="58">
        <f>'Daily Halba'!$K249*'Daily Halba'!$L249</f>
        <v>652.71249999999998</v>
      </c>
      <c r="N249" s="71">
        <v>4</v>
      </c>
      <c r="O249" s="71">
        <v>3</v>
      </c>
      <c r="P249" s="71">
        <v>17.5</v>
      </c>
      <c r="Q249" s="71"/>
      <c r="R249" s="71">
        <v>250</v>
      </c>
      <c r="S249" s="71"/>
      <c r="T249" s="71">
        <v>13.37</v>
      </c>
      <c r="U249" s="61">
        <f>SUM('Daily Halba'!$E249,'Daily Halba'!$H249,$M249:$T249)</f>
        <v>3324.8609999999999</v>
      </c>
      <c r="V249" s="22"/>
      <c r="W249" s="62">
        <f>273+347</f>
        <v>620</v>
      </c>
      <c r="X249" s="62"/>
      <c r="Y249" s="62">
        <v>194</v>
      </c>
      <c r="Z249" s="79"/>
      <c r="AA249" s="63"/>
      <c r="AB249" s="64"/>
      <c r="AC249" s="64"/>
      <c r="AD249" s="64"/>
      <c r="AE249" s="65">
        <f t="shared" si="0"/>
        <v>0</v>
      </c>
      <c r="AF249" s="66"/>
      <c r="AG249" s="66"/>
      <c r="AH249" s="66"/>
      <c r="AI249" s="66"/>
      <c r="AJ249" s="66"/>
      <c r="AK249" s="66"/>
      <c r="AL249" s="66"/>
      <c r="AM249" s="66"/>
      <c r="AN249" s="67">
        <f t="shared" si="1"/>
        <v>0</v>
      </c>
      <c r="AO249" s="66"/>
      <c r="AP249" s="68">
        <f t="shared" si="2"/>
        <v>814</v>
      </c>
      <c r="AQ249" s="69"/>
      <c r="AR249" s="22"/>
      <c r="AS249" s="70">
        <f>'Daily Halba'!$U249-'Daily Halba'!$AP249</f>
        <v>2510.8609999999999</v>
      </c>
      <c r="AT249" s="5"/>
      <c r="AU249" s="5"/>
      <c r="AV249" s="5"/>
    </row>
    <row r="250" spans="1:49" ht="12.75" customHeight="1" x14ac:dyDescent="0.3">
      <c r="A250" s="49">
        <v>46155</v>
      </c>
      <c r="B250" s="77"/>
      <c r="C250" s="51">
        <f>'ODOMETERS Halba'!J246</f>
        <v>1663</v>
      </c>
      <c r="D250" s="52">
        <v>1.3935</v>
      </c>
      <c r="E250" s="53">
        <f>'Daily Halba'!$C250*'Daily Halba'!$D250</f>
        <v>2317.3905</v>
      </c>
      <c r="F250" s="54">
        <f>'ODOMETERS Halba'!K246</f>
        <v>1314</v>
      </c>
      <c r="G250" s="52">
        <v>1.3935</v>
      </c>
      <c r="H250" s="53">
        <f>'Daily Halba'!$F250*'Daily Halba'!$G250</f>
        <v>1831.059</v>
      </c>
      <c r="I250" s="54">
        <f>'Daily Halba'!$C250+'Daily Halba'!$F250</f>
        <v>2977</v>
      </c>
      <c r="J250" s="55">
        <f>'Daily Halba'!$I250*'Daily Halba'!$G250</f>
        <v>4148.4494999999997</v>
      </c>
      <c r="K250" s="56">
        <f>'ODOMETERS Halba'!L246-1000</f>
        <v>361</v>
      </c>
      <c r="L250" s="57">
        <v>1.2625</v>
      </c>
      <c r="M250" s="58">
        <f>'Daily Halba'!$K250*'Daily Halba'!$L250</f>
        <v>455.76249999999999</v>
      </c>
      <c r="N250" s="71">
        <v>13</v>
      </c>
      <c r="O250" s="71">
        <v>16.72</v>
      </c>
      <c r="P250" s="71">
        <v>85</v>
      </c>
      <c r="Q250" s="71"/>
      <c r="R250" s="71"/>
      <c r="S250" s="71">
        <v>65</v>
      </c>
      <c r="T250" s="71">
        <v>13</v>
      </c>
      <c r="U250" s="61">
        <f>SUM('Daily Halba'!$E250,'Daily Halba'!$H250,$M250:$T250)</f>
        <v>4796.9319999999998</v>
      </c>
      <c r="V250" s="22"/>
      <c r="W250" s="62">
        <v>489</v>
      </c>
      <c r="X250" s="62"/>
      <c r="Y250" s="62">
        <v>195</v>
      </c>
      <c r="Z250" s="79">
        <v>9</v>
      </c>
      <c r="AA250" s="63"/>
      <c r="AB250" s="64"/>
      <c r="AC250" s="64"/>
      <c r="AD250" s="64"/>
      <c r="AE250" s="65">
        <f t="shared" si="0"/>
        <v>0</v>
      </c>
      <c r="AF250" s="66"/>
      <c r="AG250" s="66"/>
      <c r="AH250" s="66"/>
      <c r="AI250" s="66"/>
      <c r="AJ250" s="66"/>
      <c r="AK250" s="66"/>
      <c r="AL250" s="66"/>
      <c r="AM250" s="66"/>
      <c r="AN250" s="67">
        <f t="shared" si="1"/>
        <v>0</v>
      </c>
      <c r="AO250" s="66"/>
      <c r="AP250" s="68">
        <f t="shared" si="2"/>
        <v>693</v>
      </c>
      <c r="AQ250" s="69"/>
      <c r="AR250" s="22"/>
      <c r="AS250" s="70">
        <f>'Daily Halba'!$U250-'Daily Halba'!$AP250</f>
        <v>4103.9319999999998</v>
      </c>
      <c r="AT250" s="5"/>
      <c r="AU250" s="5"/>
      <c r="AV250" s="5"/>
    </row>
    <row r="251" spans="1:49" ht="12.75" customHeight="1" x14ac:dyDescent="0.3">
      <c r="A251" s="49">
        <v>46156</v>
      </c>
      <c r="B251" s="77"/>
      <c r="C251" s="51">
        <f>'ODOMETERS Halba'!J247</f>
        <v>1634</v>
      </c>
      <c r="D251" s="52">
        <v>1.3935</v>
      </c>
      <c r="E251" s="53">
        <f>'Daily Halba'!$C251*'Daily Halba'!$D251</f>
        <v>2276.9789999999998</v>
      </c>
      <c r="F251" s="54">
        <f>'ODOMETERS Halba'!K247</f>
        <v>1251</v>
      </c>
      <c r="G251" s="52">
        <v>1.3935</v>
      </c>
      <c r="H251" s="53">
        <f>'Daily Halba'!$F251*'Daily Halba'!$G251</f>
        <v>1743.2684999999999</v>
      </c>
      <c r="I251" s="54">
        <f>'Daily Halba'!$C251+'Daily Halba'!$F251</f>
        <v>2885</v>
      </c>
      <c r="J251" s="55">
        <f>'Daily Halba'!$I251*'Daily Halba'!$G251</f>
        <v>4020.2474999999999</v>
      </c>
      <c r="K251" s="56">
        <f>'ODOMETERS Halba'!L247</f>
        <v>690</v>
      </c>
      <c r="L251" s="57">
        <v>1.2625</v>
      </c>
      <c r="M251" s="58">
        <f>'Daily Halba'!$K251*'Daily Halba'!$L251</f>
        <v>871.125</v>
      </c>
      <c r="N251" s="71">
        <v>30</v>
      </c>
      <c r="O251" s="71">
        <f>300/89.7+4+400/89.7+400/89.7</f>
        <v>16.263099219620958</v>
      </c>
      <c r="P251" s="71">
        <f>17*5</f>
        <v>85</v>
      </c>
      <c r="Q251" s="71"/>
      <c r="R251" s="71"/>
      <c r="S251" s="71"/>
      <c r="T251" s="71">
        <f>(450+150+100+150)/89.7</f>
        <v>9.4760312151616493</v>
      </c>
      <c r="U251" s="61">
        <f>SUM('Daily Halba'!$E251,'Daily Halba'!$H251,$M251:$T251)</f>
        <v>5032.1116304347825</v>
      </c>
      <c r="V251" s="22"/>
      <c r="W251" s="62">
        <f>25+10+300+105+15+20+158*1.2625</f>
        <v>674.47500000000002</v>
      </c>
      <c r="X251" s="62"/>
      <c r="Y251" s="62">
        <f>(20+18+36+18+60+18+20+10)*1.3935</f>
        <v>278.7</v>
      </c>
      <c r="Z251" s="79"/>
      <c r="AA251" s="63"/>
      <c r="AB251" s="64"/>
      <c r="AC251" s="64"/>
      <c r="AD251" s="64"/>
      <c r="AE251" s="65">
        <f t="shared" si="0"/>
        <v>0</v>
      </c>
      <c r="AF251" s="66"/>
      <c r="AG251" s="66"/>
      <c r="AH251" s="66"/>
      <c r="AI251" s="66"/>
      <c r="AJ251" s="66"/>
      <c r="AK251" s="66">
        <f>600/89.7</f>
        <v>6.6889632107023411</v>
      </c>
      <c r="AL251" s="66"/>
      <c r="AM251" s="66"/>
      <c r="AN251" s="67">
        <f t="shared" si="1"/>
        <v>6.6889632107023411</v>
      </c>
      <c r="AO251" s="66"/>
      <c r="AP251" s="68">
        <f t="shared" si="2"/>
        <v>959.86396321070231</v>
      </c>
      <c r="AQ251" s="69"/>
      <c r="AR251" s="22"/>
      <c r="AS251" s="70">
        <f>'Daily Halba'!$U251-'Daily Halba'!$AP251</f>
        <v>4072.24766722408</v>
      </c>
      <c r="AT251" s="5"/>
      <c r="AU251" s="5"/>
      <c r="AV251" s="19"/>
    </row>
    <row r="252" spans="1:49" ht="12.75" customHeight="1" x14ac:dyDescent="0.3">
      <c r="A252" s="49">
        <v>46157</v>
      </c>
      <c r="B252" s="82" t="s">
        <v>24</v>
      </c>
      <c r="C252" s="51">
        <f>'ODOMETERS Halba'!J248</f>
        <v>797</v>
      </c>
      <c r="D252" s="52">
        <v>1.3935</v>
      </c>
      <c r="E252" s="53">
        <f>'Daily Halba'!$C252*'Daily Halba'!$D252</f>
        <v>1110.6195</v>
      </c>
      <c r="F252" s="54">
        <f>'ODOMETERS Halba'!K248</f>
        <v>528</v>
      </c>
      <c r="G252" s="52">
        <v>1.3935</v>
      </c>
      <c r="H252" s="53">
        <f>'Daily Halba'!$F252*'Daily Halba'!$G252</f>
        <v>735.76800000000003</v>
      </c>
      <c r="I252" s="54">
        <f>'Daily Halba'!$C252+'Daily Halba'!$F252</f>
        <v>1325</v>
      </c>
      <c r="J252" s="55">
        <f>'Daily Halba'!$I252*'Daily Halba'!$G252</f>
        <v>1846.3875</v>
      </c>
      <c r="K252" s="56">
        <f>'ODOMETERS Halba'!L248</f>
        <v>129</v>
      </c>
      <c r="L252" s="57">
        <v>1.2625</v>
      </c>
      <c r="M252" s="58">
        <f>'Daily Halba'!$K252*'Daily Halba'!$L252</f>
        <v>162.86249999999998</v>
      </c>
      <c r="N252" s="71">
        <f>(350+700)/89.7</f>
        <v>11.705685618729097</v>
      </c>
      <c r="O252" s="71"/>
      <c r="P252" s="71">
        <v>51</v>
      </c>
      <c r="Q252" s="71"/>
      <c r="R252" s="71"/>
      <c r="S252" s="71"/>
      <c r="T252" s="71"/>
      <c r="U252" s="61">
        <f>SUM('Daily Halba'!$E252,'Daily Halba'!$H252,$M252:$T252)</f>
        <v>2071.9556856187291</v>
      </c>
      <c r="V252" s="22"/>
      <c r="W252" s="62">
        <f>24+10+10</f>
        <v>44</v>
      </c>
      <c r="X252" s="62"/>
      <c r="Y252" s="62">
        <f>20*1.3935</f>
        <v>27.869999999999997</v>
      </c>
      <c r="Z252" s="79">
        <v>-2</v>
      </c>
      <c r="AA252" s="63"/>
      <c r="AB252" s="64"/>
      <c r="AC252" s="64"/>
      <c r="AD252" s="64"/>
      <c r="AE252" s="65">
        <f t="shared" si="0"/>
        <v>0</v>
      </c>
      <c r="AF252" s="66"/>
      <c r="AG252" s="66"/>
      <c r="AH252" s="66"/>
      <c r="AI252" s="66"/>
      <c r="AJ252" s="66"/>
      <c r="AK252" s="66"/>
      <c r="AL252" s="66"/>
      <c r="AM252" s="66"/>
      <c r="AN252" s="67">
        <f t="shared" si="1"/>
        <v>0</v>
      </c>
      <c r="AO252" s="66"/>
      <c r="AP252" s="68">
        <f t="shared" si="2"/>
        <v>69.87</v>
      </c>
      <c r="AQ252" s="69"/>
      <c r="AR252" s="22"/>
      <c r="AS252" s="70">
        <f>'Daily Halba'!$U252-'Daily Halba'!$AP252</f>
        <v>2002.0856856187293</v>
      </c>
      <c r="AT252" s="5"/>
      <c r="AU252" s="5"/>
      <c r="AV252" s="5"/>
    </row>
    <row r="253" spans="1:49" ht="12.75" customHeight="1" x14ac:dyDescent="0.3">
      <c r="A253" s="49">
        <v>46157</v>
      </c>
      <c r="B253" s="82" t="s">
        <v>25</v>
      </c>
      <c r="C253" s="51">
        <f>'ODOMETERS Halba'!J249</f>
        <v>883</v>
      </c>
      <c r="D253" s="52">
        <v>1.4175</v>
      </c>
      <c r="E253" s="53">
        <f>'Daily Halba'!$C253*'Daily Halba'!$D253</f>
        <v>1251.6524999999999</v>
      </c>
      <c r="F253" s="54">
        <f>'ODOMETERS Halba'!K249</f>
        <v>877</v>
      </c>
      <c r="G253" s="52">
        <v>1.4175</v>
      </c>
      <c r="H253" s="53">
        <f>'Daily Halba'!$F253*'Daily Halba'!$G253</f>
        <v>1243.1475</v>
      </c>
      <c r="I253" s="54">
        <f>'Daily Halba'!$C253+'Daily Halba'!$F253</f>
        <v>1760</v>
      </c>
      <c r="J253" s="55">
        <f>'Daily Halba'!$I253*'Daily Halba'!$G253</f>
        <v>2494.8000000000002</v>
      </c>
      <c r="K253" s="56">
        <f>'ODOMETERS Halba'!L249</f>
        <v>261</v>
      </c>
      <c r="L253" s="57">
        <v>1.2564</v>
      </c>
      <c r="M253" s="58">
        <f>'Daily Halba'!$K253*'Daily Halba'!$L253</f>
        <v>327.92039999999997</v>
      </c>
      <c r="N253" s="71">
        <f>350/89.7+300/89.7</f>
        <v>7.2463768115942031</v>
      </c>
      <c r="O253" s="71">
        <f>800/89.7</f>
        <v>8.9186176142697882</v>
      </c>
      <c r="P253" s="71"/>
      <c r="Q253" s="71">
        <v>5</v>
      </c>
      <c r="R253" s="71"/>
      <c r="S253" s="71"/>
      <c r="T253" s="71">
        <f>(250+350+100+750)/89.7</f>
        <v>16.164994425863991</v>
      </c>
      <c r="U253" s="61">
        <f>SUM('Daily Halba'!$E253,'Daily Halba'!$H253,$M253:$T253)</f>
        <v>2860.0503888517278</v>
      </c>
      <c r="V253" s="22"/>
      <c r="W253" s="62">
        <f>34+40+20+15+20+40+31+130*1.2564</f>
        <v>363.33199999999999</v>
      </c>
      <c r="X253" s="62"/>
      <c r="Y253" s="62">
        <f>(30+50+10+9+40)*1.4175</f>
        <v>197.0325</v>
      </c>
      <c r="Z253" s="79">
        <v>1</v>
      </c>
      <c r="AA253" s="63"/>
      <c r="AB253" s="64"/>
      <c r="AC253" s="64"/>
      <c r="AD253" s="64"/>
      <c r="AE253" s="65">
        <f t="shared" si="0"/>
        <v>0</v>
      </c>
      <c r="AF253" s="66"/>
      <c r="AG253" s="66"/>
      <c r="AH253" s="66"/>
      <c r="AI253" s="66"/>
      <c r="AJ253" s="66"/>
      <c r="AK253" s="66"/>
      <c r="AL253" s="66"/>
      <c r="AM253" s="66"/>
      <c r="AN253" s="67">
        <f t="shared" si="1"/>
        <v>0</v>
      </c>
      <c r="AO253" s="66"/>
      <c r="AP253" s="68">
        <f t="shared" si="2"/>
        <v>561.36450000000002</v>
      </c>
      <c r="AQ253" s="69"/>
      <c r="AR253" s="22"/>
      <c r="AS253" s="70">
        <f>'Daily Halba'!$U253-'Daily Halba'!$AP253</f>
        <v>2298.6858888517277</v>
      </c>
      <c r="AT253" s="5"/>
      <c r="AU253" s="5"/>
      <c r="AV253" s="5"/>
    </row>
    <row r="254" spans="1:49" ht="12.75" customHeight="1" x14ac:dyDescent="0.3">
      <c r="A254" s="49">
        <v>46158</v>
      </c>
      <c r="B254" s="82"/>
      <c r="C254" s="51">
        <f>'ODOMETERS Halba'!J250</f>
        <v>2059</v>
      </c>
      <c r="D254" s="52">
        <v>1.4175</v>
      </c>
      <c r="E254" s="53">
        <f>'Daily Halba'!$C254*'Daily Halba'!$D254</f>
        <v>2918.6325000000002</v>
      </c>
      <c r="F254" s="54">
        <f>'ODOMETERS Halba'!K250</f>
        <v>1576</v>
      </c>
      <c r="G254" s="52">
        <v>1.4175</v>
      </c>
      <c r="H254" s="53">
        <f>'Daily Halba'!$F254*'Daily Halba'!$G254</f>
        <v>2233.98</v>
      </c>
      <c r="I254" s="54">
        <f>'Daily Halba'!$C254+'Daily Halba'!$F254</f>
        <v>3635</v>
      </c>
      <c r="J254" s="55">
        <f>'Daily Halba'!$I254*'Daily Halba'!$G254</f>
        <v>5152.6125000000002</v>
      </c>
      <c r="K254" s="56">
        <f>'ODOMETERS Halba'!L250</f>
        <v>1144</v>
      </c>
      <c r="L254" s="57">
        <v>1.2564</v>
      </c>
      <c r="M254" s="58">
        <f>'Daily Halba'!$K254*'Daily Halba'!$L254</f>
        <v>1437.3216</v>
      </c>
      <c r="N254" s="71">
        <v>16</v>
      </c>
      <c r="O254" s="71">
        <v>29</v>
      </c>
      <c r="P254" s="71">
        <v>34</v>
      </c>
      <c r="Q254" s="71">
        <v>5</v>
      </c>
      <c r="R254" s="71"/>
      <c r="S254" s="71"/>
      <c r="T254" s="71">
        <v>35</v>
      </c>
      <c r="U254" s="61">
        <f>SUM('Daily Halba'!$E254,'Daily Halba'!$H254,$M254:$T254)</f>
        <v>6708.9341000000004</v>
      </c>
      <c r="V254" s="22"/>
      <c r="W254" s="62">
        <v>979</v>
      </c>
      <c r="X254" s="62"/>
      <c r="Y254" s="62">
        <v>610</v>
      </c>
      <c r="Z254" s="79">
        <v>-10</v>
      </c>
      <c r="AA254" s="63"/>
      <c r="AB254" s="64"/>
      <c r="AC254" s="64"/>
      <c r="AD254" s="64"/>
      <c r="AE254" s="65">
        <f t="shared" si="0"/>
        <v>0</v>
      </c>
      <c r="AF254" s="66"/>
      <c r="AG254" s="66"/>
      <c r="AH254" s="66"/>
      <c r="AI254" s="66"/>
      <c r="AJ254" s="66"/>
      <c r="AK254" s="66"/>
      <c r="AL254" s="66"/>
      <c r="AM254" s="66"/>
      <c r="AN254" s="67">
        <f t="shared" si="1"/>
        <v>0</v>
      </c>
      <c r="AO254" s="66"/>
      <c r="AP254" s="68">
        <f t="shared" si="2"/>
        <v>1579</v>
      </c>
      <c r="AQ254" s="69"/>
      <c r="AR254" s="22"/>
      <c r="AS254" s="70">
        <f>'Daily Halba'!$U254-'Daily Halba'!$AP254</f>
        <v>5129.9341000000004</v>
      </c>
      <c r="AT254" s="5"/>
      <c r="AU254" s="5"/>
      <c r="AV254" s="5"/>
    </row>
    <row r="255" spans="1:49" ht="12.75" customHeight="1" x14ac:dyDescent="0.3">
      <c r="A255" s="49">
        <v>46159</v>
      </c>
      <c r="B255" s="82"/>
      <c r="C255" s="51">
        <f>'ODOMETERS Halba'!J251</f>
        <v>1839</v>
      </c>
      <c r="D255" s="52">
        <v>1.4175</v>
      </c>
      <c r="E255" s="53">
        <f>'Daily Halba'!$C255*'Daily Halba'!$D255</f>
        <v>2606.7824999999998</v>
      </c>
      <c r="F255" s="54">
        <f>'ODOMETERS Halba'!K251</f>
        <v>1511</v>
      </c>
      <c r="G255" s="52">
        <v>1.4175</v>
      </c>
      <c r="H255" s="53">
        <f>'Daily Halba'!$F255*'Daily Halba'!$G255</f>
        <v>2141.8425000000002</v>
      </c>
      <c r="I255" s="54">
        <f>'Daily Halba'!$C255+'Daily Halba'!$F255</f>
        <v>3350</v>
      </c>
      <c r="J255" s="55">
        <f>'Daily Halba'!$I255*'Daily Halba'!$G255</f>
        <v>4748.625</v>
      </c>
      <c r="K255" s="56">
        <f>'ODOMETERS Halba'!L251</f>
        <v>686</v>
      </c>
      <c r="L255" s="57">
        <v>1.2564</v>
      </c>
      <c r="M255" s="58">
        <f>'Daily Halba'!$K255*'Daily Halba'!$L255</f>
        <v>861.8904</v>
      </c>
      <c r="N255" s="71">
        <f>5+350/89.7+600/89.7+350/89.7+300/89.7</f>
        <v>22.837235228539576</v>
      </c>
      <c r="O255" s="71">
        <f>(400+300+400+300+300+400+800+400+400+800)/89.7</f>
        <v>50.167224080267559</v>
      </c>
      <c r="P255" s="71">
        <v>17</v>
      </c>
      <c r="Q255" s="71">
        <v>12</v>
      </c>
      <c r="R255" s="71"/>
      <c r="S255" s="71"/>
      <c r="T255" s="71">
        <f>(300+250+100+150+250+300+75+300+250+150)/89.7</f>
        <v>23.690078037904126</v>
      </c>
      <c r="U255" s="61">
        <f>SUM('Daily Halba'!$E255,'Daily Halba'!$H255,$M255:$T255)</f>
        <v>5736.2099373467108</v>
      </c>
      <c r="V255" s="22"/>
      <c r="W255" s="62">
        <f>50+75+60+40+17+6+575+100</f>
        <v>923</v>
      </c>
      <c r="X255" s="62"/>
      <c r="Y255" s="62">
        <f>730+(20+20+10+20+10+20+30+20+20+10+40+30+20)*1.4175</f>
        <v>1112.7249999999999</v>
      </c>
      <c r="Z255" s="79">
        <v>3</v>
      </c>
      <c r="AA255" s="63"/>
      <c r="AB255" s="64"/>
      <c r="AC255" s="64"/>
      <c r="AD255" s="64"/>
      <c r="AE255" s="65">
        <f t="shared" si="0"/>
        <v>0</v>
      </c>
      <c r="AF255" s="66"/>
      <c r="AG255" s="66">
        <f>200+150+150+150+150+70</f>
        <v>870</v>
      </c>
      <c r="AH255" s="66"/>
      <c r="AI255" s="66">
        <f>8+5</f>
        <v>13</v>
      </c>
      <c r="AJ255" s="66"/>
      <c r="AK255" s="66"/>
      <c r="AL255" s="66"/>
      <c r="AM255" s="66"/>
      <c r="AN255" s="67">
        <f t="shared" si="1"/>
        <v>883</v>
      </c>
      <c r="AO255" s="66"/>
      <c r="AP255" s="68">
        <f t="shared" si="2"/>
        <v>2921.7249999999999</v>
      </c>
      <c r="AQ255" s="69"/>
      <c r="AR255" s="22"/>
      <c r="AS255" s="70">
        <f>'Daily Halba'!$U255-'Daily Halba'!$AP255</f>
        <v>2814.4849373467109</v>
      </c>
      <c r="AT255" s="5"/>
      <c r="AU255" s="5"/>
      <c r="AV255" s="5"/>
    </row>
    <row r="256" spans="1:49" ht="12.75" customHeight="1" x14ac:dyDescent="0.3">
      <c r="A256" s="49">
        <v>46160</v>
      </c>
      <c r="B256" s="82"/>
      <c r="C256" s="51">
        <f>'ODOMETERS Halba'!J252</f>
        <v>1949</v>
      </c>
      <c r="D256" s="52">
        <v>1.4175</v>
      </c>
      <c r="E256" s="53">
        <f>'Daily Halba'!$C256*'Daily Halba'!$D256</f>
        <v>2762.7075</v>
      </c>
      <c r="F256" s="54">
        <f>'ODOMETERS Halba'!K252</f>
        <v>1476</v>
      </c>
      <c r="G256" s="52">
        <v>1.4175</v>
      </c>
      <c r="H256" s="53">
        <f>'Daily Halba'!$F256*'Daily Halba'!$G256</f>
        <v>2092.23</v>
      </c>
      <c r="I256" s="54">
        <f>'Daily Halba'!$C256+'Daily Halba'!$F256</f>
        <v>3425</v>
      </c>
      <c r="J256" s="55">
        <f>'Daily Halba'!$I256*'Daily Halba'!$G256</f>
        <v>4854.9375</v>
      </c>
      <c r="K256" s="56">
        <f>'ODOMETERS Halba'!L252</f>
        <v>1353</v>
      </c>
      <c r="L256" s="57">
        <v>1.2564</v>
      </c>
      <c r="M256" s="58">
        <f>'Daily Halba'!$K256*'Daily Halba'!$L256</f>
        <v>1699.9092000000001</v>
      </c>
      <c r="N256" s="71">
        <f>(300+350+300)/89.7</f>
        <v>10.590858416945373</v>
      </c>
      <c r="O256" s="71">
        <f>(400+400+400+300)/89.7</f>
        <v>16.722408026755851</v>
      </c>
      <c r="P256" s="71"/>
      <c r="Q256" s="71"/>
      <c r="R256" s="71"/>
      <c r="S256" s="71">
        <v>251</v>
      </c>
      <c r="T256" s="71">
        <f>(100+150+250+150+150+150+150+75+150+300)/89.7</f>
        <v>18.115942028985508</v>
      </c>
      <c r="U256" s="61">
        <f>SUM('Daily Halba'!$E256,'Daily Halba'!$H256,$M256:$T256)</f>
        <v>6851.2759084726877</v>
      </c>
      <c r="V256" s="22"/>
      <c r="W256" s="62">
        <f>20+10+40+15+10+200*1.2564+42+674+40+10+10+1250/89.7+50</f>
        <v>1186.2153400222965</v>
      </c>
      <c r="X256" s="62"/>
      <c r="Y256" s="62">
        <f>(20+20+30+20+20+20+9+10+20+40)*1.4175</f>
        <v>296.25749999999999</v>
      </c>
      <c r="Z256" s="79">
        <v>6</v>
      </c>
      <c r="AA256" s="63"/>
      <c r="AB256" s="64"/>
      <c r="AC256" s="64"/>
      <c r="AD256" s="64"/>
      <c r="AE256" s="65">
        <f t="shared" si="0"/>
        <v>0</v>
      </c>
      <c r="AF256" s="66"/>
      <c r="AG256" s="66"/>
      <c r="AH256" s="66"/>
      <c r="AI256" s="66">
        <v>20</v>
      </c>
      <c r="AJ256" s="66"/>
      <c r="AK256" s="66">
        <f>1500/89.7</f>
        <v>16.722408026755851</v>
      </c>
      <c r="AL256" s="66"/>
      <c r="AM256" s="66"/>
      <c r="AN256" s="67">
        <f t="shared" si="1"/>
        <v>36.722408026755851</v>
      </c>
      <c r="AO256" s="66">
        <v>4700</v>
      </c>
      <c r="AP256" s="68">
        <f t="shared" si="2"/>
        <v>6225.1952480490527</v>
      </c>
      <c r="AQ256" s="69"/>
      <c r="AR256" s="22"/>
      <c r="AS256" s="70">
        <f>'Daily Halba'!$U256-'Daily Halba'!$AP256</f>
        <v>626.08066042363498</v>
      </c>
      <c r="AT256" s="5"/>
      <c r="AU256" s="5"/>
      <c r="AV256" s="19"/>
      <c r="AW256" s="237"/>
    </row>
    <row r="257" spans="1:48" ht="12.75" customHeight="1" x14ac:dyDescent="0.3">
      <c r="A257" s="49">
        <v>46161</v>
      </c>
      <c r="B257" s="82" t="s">
        <v>24</v>
      </c>
      <c r="C257" s="51">
        <f>'ODOMETERS Halba'!J253</f>
        <v>923</v>
      </c>
      <c r="D257" s="52">
        <v>1.4175</v>
      </c>
      <c r="E257" s="53">
        <f>'Daily Halba'!$C257*'Daily Halba'!$D257</f>
        <v>1308.3525</v>
      </c>
      <c r="F257" s="54">
        <f>'ODOMETERS Halba'!K253</f>
        <v>781</v>
      </c>
      <c r="G257" s="52">
        <v>1.4175</v>
      </c>
      <c r="H257" s="53">
        <f>'Daily Halba'!$F257*'Daily Halba'!$G257</f>
        <v>1107.0674999999999</v>
      </c>
      <c r="I257" s="54">
        <f>'Daily Halba'!$C257+'Daily Halba'!$F257</f>
        <v>1704</v>
      </c>
      <c r="J257" s="55">
        <f>'Daily Halba'!$I257*'Daily Halba'!$G257</f>
        <v>2415.42</v>
      </c>
      <c r="K257" s="56">
        <f>'ODOMETERS Halba'!L253</f>
        <v>268</v>
      </c>
      <c r="L257" s="57">
        <v>1.2564</v>
      </c>
      <c r="M257" s="58">
        <f>'Daily Halba'!$K257*'Daily Halba'!$L257</f>
        <v>336.71519999999998</v>
      </c>
      <c r="N257" s="71">
        <f>350/89.7</f>
        <v>3.9018952062430321</v>
      </c>
      <c r="O257" s="71"/>
      <c r="P257" s="71"/>
      <c r="Q257" s="71"/>
      <c r="R257" s="71"/>
      <c r="S257" s="71"/>
      <c r="T257" s="71">
        <f>250/89.7+150/89.7+250/89.7</f>
        <v>7.2463768115942031</v>
      </c>
      <c r="U257" s="61">
        <f>SUM('Daily Halba'!$E257,'Daily Halba'!$H257,$M257:$T257)</f>
        <v>2763.2834720178371</v>
      </c>
      <c r="V257" s="22"/>
      <c r="W257" s="62">
        <f>30+50+15+50+20+30+10+40+400/89.7+300</f>
        <v>549.4593088071349</v>
      </c>
      <c r="X257" s="62"/>
      <c r="Y257" s="62">
        <f>(30+20+30)*1.4175</f>
        <v>113.4</v>
      </c>
      <c r="Z257" s="79">
        <v>4</v>
      </c>
      <c r="AA257" s="63"/>
      <c r="AB257" s="64"/>
      <c r="AC257" s="64"/>
      <c r="AD257" s="64"/>
      <c r="AE257" s="65">
        <f t="shared" si="0"/>
        <v>0</v>
      </c>
      <c r="AF257" s="66"/>
      <c r="AG257" s="66"/>
      <c r="AH257" s="66"/>
      <c r="AI257" s="66">
        <v>8</v>
      </c>
      <c r="AJ257" s="66"/>
      <c r="AK257" s="66"/>
      <c r="AL257" s="66"/>
      <c r="AM257" s="66"/>
      <c r="AN257" s="67">
        <f t="shared" si="1"/>
        <v>8</v>
      </c>
      <c r="AO257" s="66"/>
      <c r="AP257" s="68">
        <f t="shared" si="2"/>
        <v>674.85930880713488</v>
      </c>
      <c r="AQ257" s="69"/>
      <c r="AR257" s="22"/>
      <c r="AS257" s="70">
        <f>'Daily Halba'!$U257-'Daily Halba'!$AP257</f>
        <v>2088.4241632107023</v>
      </c>
      <c r="AT257" s="5"/>
      <c r="AU257" s="5"/>
      <c r="AV257" s="19"/>
    </row>
    <row r="258" spans="1:48" ht="12.75" customHeight="1" x14ac:dyDescent="0.3">
      <c r="A258" s="49">
        <v>46161</v>
      </c>
      <c r="B258" s="82" t="s">
        <v>25</v>
      </c>
      <c r="C258" s="51">
        <f>'ODOMETERS Halba'!J254</f>
        <v>786</v>
      </c>
      <c r="D258" s="52">
        <v>1.4263999999999999</v>
      </c>
      <c r="E258" s="53">
        <f>'Daily Halba'!$C258*'Daily Halba'!$D258</f>
        <v>1121.1504</v>
      </c>
      <c r="F258" s="54">
        <f>'ODOMETERS Halba'!K254</f>
        <v>847</v>
      </c>
      <c r="G258" s="52">
        <v>1.4263999999999999</v>
      </c>
      <c r="H258" s="53">
        <f>'Daily Halba'!$F258*'Daily Halba'!$G258</f>
        <v>1208.1607999999999</v>
      </c>
      <c r="I258" s="54">
        <f>'Daily Halba'!$C258+'Daily Halba'!$F258</f>
        <v>1633</v>
      </c>
      <c r="J258" s="55">
        <f>'Daily Halba'!$I258*'Daily Halba'!$G258</f>
        <v>2329.3111999999996</v>
      </c>
      <c r="K258" s="56">
        <f>'ODOMETERS Halba'!L254</f>
        <v>1223</v>
      </c>
      <c r="L258" s="57">
        <v>1.2507999999999999</v>
      </c>
      <c r="M258" s="58">
        <f>'Daily Halba'!$K258*'Daily Halba'!$L258</f>
        <v>1529.7284</v>
      </c>
      <c r="N258" s="71"/>
      <c r="O258" s="71">
        <f>(400+400+400+300)/89.7</f>
        <v>16.722408026755851</v>
      </c>
      <c r="P258" s="71">
        <v>17</v>
      </c>
      <c r="Q258" s="71"/>
      <c r="R258" s="71"/>
      <c r="S258" s="71"/>
      <c r="T258" s="71">
        <f>150/89.7</f>
        <v>1.6722408026755853</v>
      </c>
      <c r="U258" s="61">
        <f>SUM('Daily Halba'!$E258,'Daily Halba'!$H258,$M258:$T258)</f>
        <v>3894.4342488294319</v>
      </c>
      <c r="V258" s="22"/>
      <c r="W258" s="62">
        <f>190+30+20+676+176*1.2508+30+30+150*1.2508</f>
        <v>1383.7607999999998</v>
      </c>
      <c r="X258" s="62"/>
      <c r="Y258" s="62">
        <f>59*1.4264</f>
        <v>84.157599999999988</v>
      </c>
      <c r="Z258" s="79">
        <v>11</v>
      </c>
      <c r="AA258" s="63">
        <v>86</v>
      </c>
      <c r="AB258" s="64"/>
      <c r="AC258" s="64"/>
      <c r="AD258" s="64"/>
      <c r="AE258" s="65">
        <f t="shared" si="0"/>
        <v>86</v>
      </c>
      <c r="AF258" s="66"/>
      <c r="AG258" s="66"/>
      <c r="AH258" s="66"/>
      <c r="AI258" s="66"/>
      <c r="AJ258" s="66"/>
      <c r="AK258" s="66">
        <f>600/89.7</f>
        <v>6.6889632107023411</v>
      </c>
      <c r="AL258" s="66"/>
      <c r="AM258" s="66"/>
      <c r="AN258" s="67">
        <f t="shared" si="1"/>
        <v>6.6889632107023411</v>
      </c>
      <c r="AO258" s="66"/>
      <c r="AP258" s="68">
        <f t="shared" si="2"/>
        <v>1571.607363210702</v>
      </c>
      <c r="AQ258" s="69"/>
      <c r="AR258" s="22"/>
      <c r="AS258" s="70">
        <f>'Daily Halba'!$U258-'Daily Halba'!$AP258</f>
        <v>2322.8268856187296</v>
      </c>
      <c r="AT258" s="5"/>
      <c r="AU258" s="5"/>
      <c r="AV258" s="19"/>
    </row>
    <row r="259" spans="1:48" ht="12.75" customHeight="1" x14ac:dyDescent="0.3">
      <c r="A259" s="49">
        <v>46162</v>
      </c>
      <c r="B259" s="82"/>
      <c r="C259" s="51">
        <f>'ODOMETERS Halba'!J255</f>
        <v>2055</v>
      </c>
      <c r="D259" s="52">
        <v>1.4263999999999999</v>
      </c>
      <c r="E259" s="53">
        <f>'Daily Halba'!$C259*'Daily Halba'!$D259</f>
        <v>2931.252</v>
      </c>
      <c r="F259" s="54">
        <f>'ODOMETERS Halba'!K255</f>
        <v>1334</v>
      </c>
      <c r="G259" s="52">
        <v>1.4263999999999999</v>
      </c>
      <c r="H259" s="53">
        <f>'Daily Halba'!$F259*'Daily Halba'!$G259</f>
        <v>1902.8175999999999</v>
      </c>
      <c r="I259" s="54">
        <f>'Daily Halba'!$C259+'Daily Halba'!$F259</f>
        <v>3389</v>
      </c>
      <c r="J259" s="55">
        <f>'Daily Halba'!$I259*'Daily Halba'!$G259</f>
        <v>4834.0695999999998</v>
      </c>
      <c r="K259" s="56">
        <f>'ODOMETERS Halba'!L255</f>
        <v>1262</v>
      </c>
      <c r="L259" s="57">
        <v>1.2507999999999999</v>
      </c>
      <c r="M259" s="58">
        <f>'Daily Halba'!$K259*'Daily Halba'!$L259</f>
        <v>1578.5095999999999</v>
      </c>
      <c r="N259" s="71">
        <f>350/89.7+8</f>
        <v>11.901895206243033</v>
      </c>
      <c r="O259" s="71">
        <f>(700+400+400)/89.7</f>
        <v>16.722408026755851</v>
      </c>
      <c r="P259" s="71">
        <f>17+16</f>
        <v>33</v>
      </c>
      <c r="Q259" s="71"/>
      <c r="R259" s="71"/>
      <c r="S259" s="71">
        <f>400/89.7+30</f>
        <v>34.459308807134896</v>
      </c>
      <c r="T259" s="71">
        <f>300/89.7+250/89.7+150/89.7+250/89.7</f>
        <v>10.590858416945373</v>
      </c>
      <c r="U259" s="61">
        <f>SUM('Daily Halba'!$E259,'Daily Halba'!$H259,$M259:$T259)</f>
        <v>6519.2536704570803</v>
      </c>
      <c r="V259" s="22"/>
      <c r="W259" s="62">
        <f>50+10+10+300*1.2508+30+28+30+55+10+657+100+10+10+10</f>
        <v>1385.24</v>
      </c>
      <c r="X259" s="62"/>
      <c r="Y259" s="62">
        <f>(20+20+30+20+30)*1.4264</f>
        <v>171.16799999999998</v>
      </c>
      <c r="Z259" s="79"/>
      <c r="AA259" s="63"/>
      <c r="AB259" s="64"/>
      <c r="AC259" s="64">
        <v>266</v>
      </c>
      <c r="AD259" s="64"/>
      <c r="AE259" s="65">
        <f t="shared" si="0"/>
        <v>266</v>
      </c>
      <c r="AF259" s="66"/>
      <c r="AG259" s="66"/>
      <c r="AH259" s="66"/>
      <c r="AI259" s="66">
        <v>50</v>
      </c>
      <c r="AJ259" s="66">
        <f>50+400/89.7</f>
        <v>54.459308807134896</v>
      </c>
      <c r="AK259" s="66"/>
      <c r="AL259" s="66"/>
      <c r="AM259" s="66"/>
      <c r="AN259" s="67">
        <f t="shared" si="1"/>
        <v>104.4593088071349</v>
      </c>
      <c r="AO259" s="66"/>
      <c r="AP259" s="68">
        <f t="shared" si="2"/>
        <v>1926.8673088071348</v>
      </c>
      <c r="AQ259" s="69"/>
      <c r="AR259" s="22"/>
      <c r="AS259" s="70">
        <f>'Daily Halba'!$U259-'Daily Halba'!$AP259</f>
        <v>4592.3863616499457</v>
      </c>
      <c r="AT259" s="5"/>
      <c r="AU259" s="5"/>
      <c r="AV259" s="19"/>
    </row>
    <row r="260" spans="1:48" ht="12.75" customHeight="1" x14ac:dyDescent="0.3">
      <c r="A260" s="49">
        <v>46163</v>
      </c>
      <c r="B260" s="82"/>
      <c r="C260" s="51">
        <f>'ODOMETERS Halba'!J256</f>
        <v>2083</v>
      </c>
      <c r="D260" s="52">
        <v>1.4263999999999999</v>
      </c>
      <c r="E260" s="53">
        <f>'Daily Halba'!$C260*'Daily Halba'!$D260</f>
        <v>2971.1911999999998</v>
      </c>
      <c r="F260" s="54">
        <f>'ODOMETERS Halba'!K256</f>
        <v>1546</v>
      </c>
      <c r="G260" s="52">
        <v>1.4263999999999999</v>
      </c>
      <c r="H260" s="53">
        <f>'Daily Halba'!$F260*'Daily Halba'!$G260</f>
        <v>2205.2143999999998</v>
      </c>
      <c r="I260" s="54">
        <f>'Daily Halba'!$C260+'Daily Halba'!$F260</f>
        <v>3629</v>
      </c>
      <c r="J260" s="55">
        <f>'Daily Halba'!$I260*'Daily Halba'!$G260</f>
        <v>5176.4056</v>
      </c>
      <c r="K260" s="56">
        <f>'ODOMETERS Halba'!L256</f>
        <v>1597</v>
      </c>
      <c r="L260" s="57">
        <v>1.2507999999999999</v>
      </c>
      <c r="M260" s="58">
        <f>'Daily Halba'!$K260*'Daily Halba'!$L260</f>
        <v>1997.5275999999999</v>
      </c>
      <c r="N260" s="71">
        <v>0</v>
      </c>
      <c r="O260" s="71">
        <v>12.26</v>
      </c>
      <c r="P260" s="71"/>
      <c r="Q260" s="71"/>
      <c r="R260" s="71"/>
      <c r="S260" s="71">
        <v>250</v>
      </c>
      <c r="T260" s="71">
        <v>13.93</v>
      </c>
      <c r="U260" s="61">
        <f>SUM('Daily Halba'!$E260,'Daily Halba'!$H260,$M260:$T260)</f>
        <v>7450.1232</v>
      </c>
      <c r="V260" s="22"/>
      <c r="W260" s="62">
        <f>649+1251</f>
        <v>1900</v>
      </c>
      <c r="X260" s="62"/>
      <c r="Y260" s="62">
        <v>344</v>
      </c>
      <c r="Z260" s="79">
        <v>35</v>
      </c>
      <c r="AA260" s="63"/>
      <c r="AB260" s="64"/>
      <c r="AC260" s="64"/>
      <c r="AD260" s="64"/>
      <c r="AE260" s="65">
        <f t="shared" si="0"/>
        <v>0</v>
      </c>
      <c r="AF260" s="66"/>
      <c r="AG260" s="66"/>
      <c r="AH260" s="66"/>
      <c r="AI260" s="66">
        <v>25</v>
      </c>
      <c r="AJ260" s="66"/>
      <c r="AK260" s="66"/>
      <c r="AL260" s="66"/>
      <c r="AM260" s="66"/>
      <c r="AN260" s="67">
        <f t="shared" si="1"/>
        <v>25</v>
      </c>
      <c r="AO260" s="66"/>
      <c r="AP260" s="68">
        <f t="shared" si="2"/>
        <v>2304</v>
      </c>
      <c r="AQ260" s="69"/>
      <c r="AR260" s="22"/>
      <c r="AS260" s="70">
        <f>'Daily Halba'!$U260-'Daily Halba'!$AP260</f>
        <v>5146.1232</v>
      </c>
      <c r="AT260" s="5"/>
      <c r="AU260" s="5"/>
      <c r="AV260" s="5"/>
    </row>
    <row r="261" spans="1:48" ht="12.75" customHeight="1" x14ac:dyDescent="0.3">
      <c r="A261" s="49">
        <v>46164</v>
      </c>
      <c r="B261" s="82" t="s">
        <v>24</v>
      </c>
      <c r="C261" s="51">
        <f>'ODOMETERS Halba'!J257</f>
        <v>954</v>
      </c>
      <c r="D261" s="52">
        <v>1.4263999999999999</v>
      </c>
      <c r="E261" s="53">
        <f>'Daily Halba'!$C261*'Daily Halba'!$D261</f>
        <v>1360.7855999999999</v>
      </c>
      <c r="F261" s="54">
        <f>'ODOMETERS Halba'!K257</f>
        <v>689</v>
      </c>
      <c r="G261" s="52">
        <v>1.4263999999999999</v>
      </c>
      <c r="H261" s="53">
        <f>'Daily Halba'!$F261*'Daily Halba'!$G261</f>
        <v>982.78959999999995</v>
      </c>
      <c r="I261" s="54">
        <f>'Daily Halba'!$C261+'Daily Halba'!$F261</f>
        <v>1643</v>
      </c>
      <c r="J261" s="55">
        <f>'Daily Halba'!$I261*'Daily Halba'!$G261</f>
        <v>2343.5751999999998</v>
      </c>
      <c r="K261" s="56">
        <f>'ODOMETERS Halba'!L257</f>
        <v>848</v>
      </c>
      <c r="L261" s="57">
        <v>1.2507999999999999</v>
      </c>
      <c r="M261" s="58">
        <f>'Daily Halba'!$K261*'Daily Halba'!$L261</f>
        <v>1060.6784</v>
      </c>
      <c r="N261" s="71">
        <v>14</v>
      </c>
      <c r="O261" s="71"/>
      <c r="P261" s="71">
        <v>16</v>
      </c>
      <c r="Q261" s="71">
        <v>6</v>
      </c>
      <c r="R261" s="71"/>
      <c r="S261" s="71">
        <v>120</v>
      </c>
      <c r="T261" s="71">
        <f>(80+80+150+150)/89.7</f>
        <v>5.1282051282051277</v>
      </c>
      <c r="U261" s="61">
        <f>SUM('Daily Halba'!$E261,'Daily Halba'!$H261,$M261:$T261)</f>
        <v>3565.3818051282051</v>
      </c>
      <c r="V261" s="22"/>
      <c r="W261" s="62">
        <f>1000/89.7+700+30</f>
        <v>741.14827201783726</v>
      </c>
      <c r="X261" s="62"/>
      <c r="Y261" s="62">
        <f>(20+30+20+10+10)*1.4264</f>
        <v>128.37599999999998</v>
      </c>
      <c r="Z261" s="79">
        <v>2</v>
      </c>
      <c r="AA261" s="63"/>
      <c r="AB261" s="64"/>
      <c r="AC261" s="64"/>
      <c r="AD261" s="64"/>
      <c r="AE261" s="65">
        <f t="shared" si="0"/>
        <v>0</v>
      </c>
      <c r="AF261" s="66"/>
      <c r="AG261" s="66"/>
      <c r="AH261" s="66"/>
      <c r="AI261" s="66"/>
      <c r="AJ261" s="66"/>
      <c r="AK261" s="66"/>
      <c r="AL261" s="66"/>
      <c r="AM261" s="66"/>
      <c r="AN261" s="67">
        <f t="shared" si="1"/>
        <v>0</v>
      </c>
      <c r="AO261" s="66"/>
      <c r="AP261" s="68">
        <f t="shared" si="2"/>
        <v>871.52427201783723</v>
      </c>
      <c r="AQ261" s="69"/>
      <c r="AR261" s="22"/>
      <c r="AS261" s="70">
        <f>'Daily Halba'!$U261-'Daily Halba'!$AP261</f>
        <v>2693.857533110368</v>
      </c>
      <c r="AT261" s="5"/>
      <c r="AU261" s="5"/>
      <c r="AV261" s="5"/>
    </row>
    <row r="262" spans="1:48" ht="12.75" customHeight="1" x14ac:dyDescent="0.3">
      <c r="A262" s="49">
        <v>46164</v>
      </c>
      <c r="B262" s="82" t="s">
        <v>25</v>
      </c>
      <c r="C262" s="51">
        <f>'ODOMETERS Halba'!J258</f>
        <v>2688</v>
      </c>
      <c r="D262" s="52">
        <v>1.4409000000000001</v>
      </c>
      <c r="E262" s="53">
        <f>'Daily Halba'!$C262*'Daily Halba'!$D262</f>
        <v>3873.1392000000001</v>
      </c>
      <c r="F262" s="54">
        <f>'ODOMETERS Halba'!K258</f>
        <v>884</v>
      </c>
      <c r="G262" s="52">
        <v>1.4409000000000001</v>
      </c>
      <c r="H262" s="53">
        <f>'Daily Halba'!$F262*'Daily Halba'!$G262</f>
        <v>1273.7556</v>
      </c>
      <c r="I262" s="54">
        <f>'Daily Halba'!$C262+'Daily Halba'!$F262</f>
        <v>3572</v>
      </c>
      <c r="J262" s="55">
        <f>'Daily Halba'!$I262*'Daily Halba'!$G262</f>
        <v>5146.8948</v>
      </c>
      <c r="K262" s="56">
        <f>'ODOMETERS Halba'!L258</f>
        <v>519</v>
      </c>
      <c r="L262" s="57">
        <v>1.2391000000000001</v>
      </c>
      <c r="M262" s="58">
        <f>'Daily Halba'!$K262*'Daily Halba'!$L262</f>
        <v>643.0929000000001</v>
      </c>
      <c r="N262" s="71">
        <f>350/89.7</f>
        <v>3.9018952062430321</v>
      </c>
      <c r="O262" s="71">
        <f>800/89.7</f>
        <v>8.9186176142697882</v>
      </c>
      <c r="P262" s="71">
        <f>32+16</f>
        <v>48</v>
      </c>
      <c r="Q262" s="71"/>
      <c r="R262" s="71"/>
      <c r="S262" s="71">
        <f>60+10</f>
        <v>70</v>
      </c>
      <c r="T262" s="71">
        <f>(300+250+150+250+150+250+150+150+150+150+150)/89.7</f>
        <v>23.411371237458194</v>
      </c>
      <c r="U262" s="61">
        <f>SUM('Daily Halba'!$E262,'Daily Halba'!$H262,$M262:$T262)</f>
        <v>5944.2195840579707</v>
      </c>
      <c r="V262" s="22"/>
      <c r="W262" s="62">
        <f>1500*1.4409+125+25+42+150*1.2391+50+10</f>
        <v>2599.2150000000001</v>
      </c>
      <c r="X262" s="62"/>
      <c r="Y262" s="62">
        <f>(20+20+20+20+20+30+20+30+20+30+40+40)*1.4409</f>
        <v>446.67900000000003</v>
      </c>
      <c r="Z262" s="79">
        <v>8</v>
      </c>
      <c r="AA262" s="63"/>
      <c r="AB262" s="64"/>
      <c r="AC262" s="64"/>
      <c r="AD262" s="64"/>
      <c r="AE262" s="65">
        <f t="shared" si="0"/>
        <v>0</v>
      </c>
      <c r="AF262" s="66"/>
      <c r="AG262" s="66"/>
      <c r="AH262" s="66"/>
      <c r="AI262" s="66"/>
      <c r="AJ262" s="66"/>
      <c r="AK262" s="66"/>
      <c r="AL262" s="66"/>
      <c r="AM262" s="66"/>
      <c r="AN262" s="67">
        <f t="shared" si="1"/>
        <v>0</v>
      </c>
      <c r="AO262" s="66"/>
      <c r="AP262" s="68">
        <f t="shared" si="2"/>
        <v>3053.8940000000002</v>
      </c>
      <c r="AQ262" s="69"/>
      <c r="AR262" s="22"/>
      <c r="AS262" s="70">
        <f>'Daily Halba'!$U262-'Daily Halba'!$AP262</f>
        <v>2890.3255840579704</v>
      </c>
      <c r="AT262" s="5"/>
      <c r="AU262" s="5"/>
      <c r="AV262" s="5"/>
    </row>
    <row r="263" spans="1:48" ht="12.75" customHeight="1" x14ac:dyDescent="0.3">
      <c r="A263" s="49">
        <v>46165</v>
      </c>
      <c r="B263" s="82"/>
      <c r="C263" s="51">
        <f>'ODOMETERS Halba'!J259</f>
        <v>1928</v>
      </c>
      <c r="D263" s="52">
        <v>1.4409000000000001</v>
      </c>
      <c r="E263" s="53">
        <f>'Daily Halba'!$C263*'Daily Halba'!$D263</f>
        <v>2778.0552000000002</v>
      </c>
      <c r="F263" s="54">
        <f>'ODOMETERS Halba'!K259</f>
        <v>1690</v>
      </c>
      <c r="G263" s="52">
        <v>1.4409000000000001</v>
      </c>
      <c r="H263" s="53">
        <f>'Daily Halba'!$F263*'Daily Halba'!$G263</f>
        <v>2435.1210000000001</v>
      </c>
      <c r="I263" s="54">
        <f>'Daily Halba'!$C263+'Daily Halba'!$F263</f>
        <v>3618</v>
      </c>
      <c r="J263" s="55">
        <f>'Daily Halba'!$I263*'Daily Halba'!$G263</f>
        <v>5213.1761999999999</v>
      </c>
      <c r="K263" s="56">
        <f>'ODOMETERS Halba'!L259</f>
        <v>2586</v>
      </c>
      <c r="L263" s="57">
        <v>1.2391000000000001</v>
      </c>
      <c r="M263" s="58">
        <f>'Daily Halba'!$K263*'Daily Halba'!$L263</f>
        <v>3204.3126000000002</v>
      </c>
      <c r="N263" s="71">
        <f>10+350/89.7+4</f>
        <v>17.901895206243033</v>
      </c>
      <c r="O263" s="71">
        <f>(400+400+400+300+300+400)/89.7</f>
        <v>24.526198439241917</v>
      </c>
      <c r="P263" s="71">
        <v>32</v>
      </c>
      <c r="Q263" s="71"/>
      <c r="R263" s="71"/>
      <c r="S263" s="71">
        <f>2000/89.7+700</f>
        <v>722.29654403567451</v>
      </c>
      <c r="T263" s="71">
        <f>300/89.7+150/89.7+150/89.7</f>
        <v>6.6889632107023411</v>
      </c>
      <c r="U263" s="61">
        <f>SUM('Daily Halba'!$E263,'Daily Halba'!$H263,$M263:$T263)</f>
        <v>9220.9024008918623</v>
      </c>
      <c r="V263" s="22"/>
      <c r="W263" s="62">
        <f>50+50+10+45+30+731+20+10+1000/89.7+20+520*1.2391+25+1000*1.2391+280+300+200*1.2391+15</f>
        <v>3728.4002720178373</v>
      </c>
      <c r="X263" s="62"/>
      <c r="Y263" s="62">
        <f>(10+27+10+20+20+10)*1.4409</f>
        <v>139.76730000000001</v>
      </c>
      <c r="Z263" s="79">
        <v>9</v>
      </c>
      <c r="AA263" s="63"/>
      <c r="AB263" s="64"/>
      <c r="AC263" s="64"/>
      <c r="AD263" s="64"/>
      <c r="AE263" s="65">
        <f t="shared" ref="AE263:AE272" si="3">SUM(AA263:AD263)</f>
        <v>0</v>
      </c>
      <c r="AF263" s="66"/>
      <c r="AG263" s="66"/>
      <c r="AH263" s="66"/>
      <c r="AI263" s="66">
        <v>5</v>
      </c>
      <c r="AJ263" s="66"/>
      <c r="AK263" s="66"/>
      <c r="AL263" s="66"/>
      <c r="AM263" s="66"/>
      <c r="AN263" s="67">
        <f t="shared" ref="AN263:AN272" si="4">SUM(AF263:AM263)</f>
        <v>5</v>
      </c>
      <c r="AO263" s="66">
        <v>1300</v>
      </c>
      <c r="AP263" s="68">
        <f t="shared" ref="AP263:AP272" si="5">SUM(W263:Z263,AE263,AN263,AO263)</f>
        <v>5182.1675720178373</v>
      </c>
      <c r="AQ263" s="69"/>
      <c r="AR263" s="22"/>
      <c r="AS263" s="70">
        <f>'Daily Halba'!$U263-'Daily Halba'!$AP263</f>
        <v>4038.734828874025</v>
      </c>
      <c r="AT263" s="5"/>
      <c r="AU263" s="5"/>
      <c r="AV263" s="19"/>
    </row>
    <row r="264" spans="1:48" ht="12.75" customHeight="1" x14ac:dyDescent="0.3">
      <c r="A264" s="49">
        <v>46166</v>
      </c>
      <c r="B264" s="82"/>
      <c r="C264" s="51">
        <f>'ODOMETERS Halba'!J260</f>
        <v>2123</v>
      </c>
      <c r="D264" s="52">
        <v>1.4409000000000001</v>
      </c>
      <c r="E264" s="53">
        <f>'Daily Halba'!$C264*'Daily Halba'!$D264</f>
        <v>3059.0307000000003</v>
      </c>
      <c r="F264" s="54">
        <f>'ODOMETERS Halba'!K260</f>
        <v>1544</v>
      </c>
      <c r="G264" s="52">
        <v>1.4409000000000001</v>
      </c>
      <c r="H264" s="53">
        <f>'Daily Halba'!$F264*'Daily Halba'!$G264</f>
        <v>2224.7496000000001</v>
      </c>
      <c r="I264" s="54">
        <f>'Daily Halba'!$C264+'Daily Halba'!$F264</f>
        <v>3667</v>
      </c>
      <c r="J264" s="55">
        <f>'Daily Halba'!$I264*'Daily Halba'!$G264</f>
        <v>5283.7803000000004</v>
      </c>
      <c r="K264" s="56">
        <f>'ODOMETERS Halba'!L260</f>
        <v>1132</v>
      </c>
      <c r="L264" s="57">
        <v>1.2391000000000001</v>
      </c>
      <c r="M264" s="58">
        <f>'Daily Halba'!$K264*'Daily Halba'!$L264</f>
        <v>1402.6612</v>
      </c>
      <c r="N264" s="71">
        <f>250/89.7</f>
        <v>2.7870680044593086</v>
      </c>
      <c r="O264" s="71">
        <f>(6*400+300)/89.7</f>
        <v>30.100334448160535</v>
      </c>
      <c r="P264" s="71">
        <f>5*16</f>
        <v>80</v>
      </c>
      <c r="Q264" s="71"/>
      <c r="R264" s="71"/>
      <c r="S264" s="71">
        <f>20+3717+248</f>
        <v>3985</v>
      </c>
      <c r="T264" s="71">
        <f>(150+250+100+150+250+150+150)/89.7</f>
        <v>13.377926421404682</v>
      </c>
      <c r="U264" s="61">
        <f>SUM('Daily Halba'!$E264,'Daily Halba'!$H264,$M264:$T264)</f>
        <v>10797.706828874025</v>
      </c>
      <c r="V264" s="22"/>
      <c r="W264" s="62">
        <f>30+20+67+100+20+30+32+58+10+10+40+200*1.2391+10+713</f>
        <v>1387.8200000000002</v>
      </c>
      <c r="X264" s="62"/>
      <c r="Y264" s="62">
        <f>(20+20+18+30+20+30+20+10)*1.4409</f>
        <v>242.0712</v>
      </c>
      <c r="Z264" s="79">
        <v>12</v>
      </c>
      <c r="AA264" s="63"/>
      <c r="AB264" s="64"/>
      <c r="AC264" s="64"/>
      <c r="AD264" s="64"/>
      <c r="AE264" s="65">
        <f t="shared" si="3"/>
        <v>0</v>
      </c>
      <c r="AF264" s="66"/>
      <c r="AG264" s="66"/>
      <c r="AH264" s="66"/>
      <c r="AI264" s="66">
        <v>5</v>
      </c>
      <c r="AJ264" s="66"/>
      <c r="AK264" s="66"/>
      <c r="AL264" s="66"/>
      <c r="AM264" s="66"/>
      <c r="AN264" s="67">
        <f t="shared" si="4"/>
        <v>5</v>
      </c>
      <c r="AO264" s="66">
        <v>3000</v>
      </c>
      <c r="AP264" s="68">
        <f t="shared" si="5"/>
        <v>4646.8912</v>
      </c>
      <c r="AQ264" s="69"/>
      <c r="AR264" s="22"/>
      <c r="AS264" s="70">
        <f>'Daily Halba'!$U264-'Daily Halba'!$AP264</f>
        <v>6150.8156288740247</v>
      </c>
      <c r="AT264" s="5"/>
      <c r="AU264" s="5"/>
      <c r="AV264" s="19"/>
    </row>
    <row r="265" spans="1:48" ht="12.75" customHeight="1" x14ac:dyDescent="0.3">
      <c r="A265" s="49">
        <v>46167</v>
      </c>
      <c r="B265" s="82"/>
      <c r="C265" s="51">
        <f>'ODOMETERS Halba'!J261</f>
        <v>3216</v>
      </c>
      <c r="D265" s="52">
        <v>1.4409000000000001</v>
      </c>
      <c r="E265" s="53">
        <f>'Daily Halba'!$C265*'Daily Halba'!$D265</f>
        <v>4633.9344000000001</v>
      </c>
      <c r="F265" s="54">
        <f>'ODOMETERS Halba'!K261</f>
        <v>1693</v>
      </c>
      <c r="G265" s="52">
        <v>1.4409000000000001</v>
      </c>
      <c r="H265" s="53">
        <f>'Daily Halba'!$F265*'Daily Halba'!$G265</f>
        <v>2439.4437000000003</v>
      </c>
      <c r="I265" s="54">
        <f>'Daily Halba'!$C265+'Daily Halba'!$F265</f>
        <v>4909</v>
      </c>
      <c r="J265" s="55">
        <f>'Daily Halba'!$I265*'Daily Halba'!$G265</f>
        <v>7073.3780999999999</v>
      </c>
      <c r="K265" s="56">
        <f>'ODOMETERS Halba'!L261</f>
        <v>777</v>
      </c>
      <c r="L265" s="57">
        <v>1.2391000000000001</v>
      </c>
      <c r="M265" s="58">
        <f>'Daily Halba'!$K265*'Daily Halba'!$L265</f>
        <v>962.78070000000002</v>
      </c>
      <c r="N265" s="71">
        <f>4+350/89.7+350/89.7+300/89.7</f>
        <v>15.148272017837234</v>
      </c>
      <c r="O265" s="71">
        <f>(400+400+400+400+400)/89.7</f>
        <v>22.296544035674469</v>
      </c>
      <c r="P265" s="71">
        <f>4*16</f>
        <v>64</v>
      </c>
      <c r="Q265" s="71"/>
      <c r="R265" s="71"/>
      <c r="S265" s="71"/>
      <c r="T265" s="71">
        <f>(150+150+100+250+150+150+150)/89.7</f>
        <v>12.263099219620958</v>
      </c>
      <c r="U265" s="61">
        <f>SUM('Daily Halba'!$E265,'Daily Halba'!$H265,$M265:$T265)</f>
        <v>8149.8667152731332</v>
      </c>
      <c r="V265" s="22"/>
      <c r="W265" s="62">
        <f>20+1500/89.7+1000*1.4409+30+23+4+80+40+20+250+50+20+30+17+20+200+10+30+194*1.2391</f>
        <v>2542.0078080267558</v>
      </c>
      <c r="X265" s="62"/>
      <c r="Y265" s="62">
        <f>(20+20+10+30+20+20+9+25+20)*1.4409+820</f>
        <v>1070.7166</v>
      </c>
      <c r="Z265" s="79"/>
      <c r="AA265" s="63"/>
      <c r="AB265" s="64"/>
      <c r="AC265" s="64">
        <v>177.5</v>
      </c>
      <c r="AD265" s="64"/>
      <c r="AE265" s="65">
        <f t="shared" si="3"/>
        <v>177.5</v>
      </c>
      <c r="AF265" s="66"/>
      <c r="AG265" s="66"/>
      <c r="AH265" s="66"/>
      <c r="AI265" s="66"/>
      <c r="AJ265" s="66"/>
      <c r="AK265" s="66">
        <f>300/89.7</f>
        <v>3.3444816053511706</v>
      </c>
      <c r="AL265" s="66"/>
      <c r="AM265" s="66"/>
      <c r="AN265" s="67">
        <f t="shared" si="4"/>
        <v>3.3444816053511706</v>
      </c>
      <c r="AO265" s="66"/>
      <c r="AP265" s="68">
        <f t="shared" si="5"/>
        <v>3793.5688896321067</v>
      </c>
      <c r="AQ265" s="69"/>
      <c r="AR265" s="22"/>
      <c r="AS265" s="70">
        <f>'Daily Halba'!$U265-'Daily Halba'!$AP265</f>
        <v>4356.2978256410261</v>
      </c>
      <c r="AT265" s="5"/>
      <c r="AU265" s="5"/>
      <c r="AV265" s="5"/>
    </row>
    <row r="266" spans="1:48" ht="12.75" customHeight="1" x14ac:dyDescent="0.3">
      <c r="A266" s="49">
        <v>46168</v>
      </c>
      <c r="B266" s="82" t="s">
        <v>24</v>
      </c>
      <c r="C266" s="51">
        <f>'ODOMETERS Halba'!J262</f>
        <v>1449</v>
      </c>
      <c r="D266" s="52">
        <v>1.4409000000000001</v>
      </c>
      <c r="E266" s="53">
        <f>'Daily Halba'!$C266*'Daily Halba'!$D266</f>
        <v>2087.8641000000002</v>
      </c>
      <c r="F266" s="54">
        <f>'ODOMETERS Halba'!K262</f>
        <v>864</v>
      </c>
      <c r="G266" s="52">
        <v>1.4409000000000001</v>
      </c>
      <c r="H266" s="53">
        <f>'Daily Halba'!$F266*'Daily Halba'!$G266</f>
        <v>1244.9376</v>
      </c>
      <c r="I266" s="54">
        <f>'Daily Halba'!$C266+'Daily Halba'!$F266</f>
        <v>2313</v>
      </c>
      <c r="J266" s="55">
        <f>'Daily Halba'!$I266*'Daily Halba'!$G266</f>
        <v>3332.8017</v>
      </c>
      <c r="K266" s="56">
        <f>'ODOMETERS Halba'!L262</f>
        <v>502</v>
      </c>
      <c r="L266" s="57">
        <v>1.2391000000000001</v>
      </c>
      <c r="M266" s="58">
        <f>'Daily Halba'!$K266*'Daily Halba'!$L266</f>
        <v>622.02820000000008</v>
      </c>
      <c r="N266" s="71">
        <f>350/89.7</f>
        <v>3.9018952062430321</v>
      </c>
      <c r="O266" s="71">
        <f>750/89.7</f>
        <v>8.3612040133779253</v>
      </c>
      <c r="P266" s="71"/>
      <c r="Q266" s="71"/>
      <c r="R266" s="71"/>
      <c r="S266" s="71">
        <v>100</v>
      </c>
      <c r="T266" s="71">
        <f>250/89.7</f>
        <v>2.7870680044593086</v>
      </c>
      <c r="U266" s="61">
        <f>SUM('Daily Halba'!$E266,'Daily Halba'!$H266,$M266:$T266)</f>
        <v>4069.8800672240804</v>
      </c>
      <c r="V266" s="22"/>
      <c r="W266" s="62">
        <f>40+30+150*1.2391+5+67</f>
        <v>327.86500000000001</v>
      </c>
      <c r="X266" s="62"/>
      <c r="Y266" s="62">
        <f>(20+18+18+10)*1.4409</f>
        <v>95.099400000000003</v>
      </c>
      <c r="Z266" s="79"/>
      <c r="AA266" s="63"/>
      <c r="AB266" s="64"/>
      <c r="AC266" s="64"/>
      <c r="AD266" s="64"/>
      <c r="AE266" s="65">
        <f t="shared" si="3"/>
        <v>0</v>
      </c>
      <c r="AF266" s="66"/>
      <c r="AG266" s="66"/>
      <c r="AH266" s="66"/>
      <c r="AI266" s="66"/>
      <c r="AJ266" s="66"/>
      <c r="AK266" s="66"/>
      <c r="AL266" s="66"/>
      <c r="AM266" s="66"/>
      <c r="AN266" s="67">
        <f t="shared" si="4"/>
        <v>0</v>
      </c>
      <c r="AO266" s="66"/>
      <c r="AP266" s="68">
        <f t="shared" si="5"/>
        <v>422.96440000000001</v>
      </c>
      <c r="AQ266" s="69"/>
      <c r="AR266" s="22"/>
      <c r="AS266" s="70">
        <f>'Daily Halba'!$U266-'Daily Halba'!$AP266</f>
        <v>3646.9156672240806</v>
      </c>
      <c r="AT266" s="5"/>
      <c r="AU266" s="5"/>
      <c r="AV266" s="5"/>
    </row>
    <row r="267" spans="1:48" ht="12.75" customHeight="1" x14ac:dyDescent="0.3">
      <c r="A267" s="49">
        <v>46168</v>
      </c>
      <c r="B267" s="82" t="s">
        <v>25</v>
      </c>
      <c r="C267" s="51">
        <f>'ODOMETERS Halba'!J263</f>
        <v>1520</v>
      </c>
      <c r="D267" s="52">
        <v>1.4392</v>
      </c>
      <c r="E267" s="53">
        <f>'Daily Halba'!$C267*'Daily Halba'!$D267</f>
        <v>2187.5839999999998</v>
      </c>
      <c r="F267" s="54">
        <f>'ODOMETERS Halba'!K263</f>
        <v>756</v>
      </c>
      <c r="G267" s="52">
        <v>1.4392</v>
      </c>
      <c r="H267" s="53">
        <f>'Daily Halba'!$F267*'Daily Halba'!$G267</f>
        <v>1088.0352</v>
      </c>
      <c r="I267" s="54">
        <f>'Daily Halba'!$C267+'Daily Halba'!$F267</f>
        <v>2276</v>
      </c>
      <c r="J267" s="55">
        <f>'Daily Halba'!$I267*'Daily Halba'!$G267</f>
        <v>3275.6192000000001</v>
      </c>
      <c r="K267" s="56">
        <f>'ODOMETERS Halba'!L263</f>
        <v>308</v>
      </c>
      <c r="L267" s="57">
        <v>1.2245999999999999</v>
      </c>
      <c r="M267" s="58">
        <f>'Daily Halba'!$K267*'Daily Halba'!$L267</f>
        <v>377.17679999999996</v>
      </c>
      <c r="N267" s="71">
        <f>150/89.7</f>
        <v>1.6722408026755853</v>
      </c>
      <c r="O267" s="71">
        <f>(400+400+800+400+400+400+300+400)/89.7</f>
        <v>39.018952062430323</v>
      </c>
      <c r="P267" s="71">
        <v>16</v>
      </c>
      <c r="Q267" s="71"/>
      <c r="R267" s="71">
        <v>100</v>
      </c>
      <c r="S267" s="71">
        <f>20+236+3000</f>
        <v>3256</v>
      </c>
      <c r="T267" s="71">
        <f>(300+150+300)/89.7</f>
        <v>8.3612040133779253</v>
      </c>
      <c r="U267" s="61">
        <f>SUM('Daily Halba'!$E267,'Daily Halba'!$H267,$M267:$T267)</f>
        <v>7073.848396878484</v>
      </c>
      <c r="V267" s="22"/>
      <c r="W267" s="62">
        <f>30+10+40+40+15+15+82+10+410+125*1.2246+16*1.4392+100</f>
        <v>928.10220000000004</v>
      </c>
      <c r="X267" s="62"/>
      <c r="Y267" s="62">
        <f>(40+20+40)*1.4392</f>
        <v>143.92000000000002</v>
      </c>
      <c r="Z267" s="79">
        <v>-26</v>
      </c>
      <c r="AA267" s="63"/>
      <c r="AB267" s="64"/>
      <c r="AC267" s="64"/>
      <c r="AD267" s="64"/>
      <c r="AE267" s="65">
        <f t="shared" si="3"/>
        <v>0</v>
      </c>
      <c r="AF267" s="66"/>
      <c r="AG267" s="66">
        <f>600+200</f>
        <v>800</v>
      </c>
      <c r="AH267" s="66"/>
      <c r="AI267" s="66">
        <f>800/89.7</f>
        <v>8.9186176142697882</v>
      </c>
      <c r="AJ267" s="66">
        <v>74</v>
      </c>
      <c r="AK267" s="66">
        <f>600/89.7</f>
        <v>6.6889632107023411</v>
      </c>
      <c r="AL267" s="66"/>
      <c r="AM267" s="66"/>
      <c r="AN267" s="67">
        <f t="shared" si="4"/>
        <v>889.60758082497216</v>
      </c>
      <c r="AO267" s="66"/>
      <c r="AP267" s="68">
        <f t="shared" si="5"/>
        <v>1935.6297808249724</v>
      </c>
      <c r="AQ267" s="69"/>
      <c r="AR267" s="22"/>
      <c r="AS267" s="70">
        <f>'Daily Halba'!$U267-'Daily Halba'!$AP267</f>
        <v>5138.2186160535111</v>
      </c>
      <c r="AT267" s="5"/>
      <c r="AU267" s="5"/>
      <c r="AV267" s="19"/>
    </row>
    <row r="268" spans="1:48" ht="12.75" customHeight="1" x14ac:dyDescent="0.3">
      <c r="A268" s="49">
        <v>46169</v>
      </c>
      <c r="B268" s="82"/>
      <c r="C268" s="51">
        <f>'ODOMETERS Halba'!J264</f>
        <v>3859</v>
      </c>
      <c r="D268" s="52">
        <v>1.4392</v>
      </c>
      <c r="E268" s="53">
        <f>'Daily Halba'!$C268*'Daily Halba'!$D268</f>
        <v>5553.8728000000001</v>
      </c>
      <c r="F268" s="54">
        <f>'ODOMETERS Halba'!K264</f>
        <v>2249</v>
      </c>
      <c r="G268" s="52">
        <v>1.4392</v>
      </c>
      <c r="H268" s="53">
        <f>'Daily Halba'!$F268*'Daily Halba'!$G268</f>
        <v>3236.7608</v>
      </c>
      <c r="I268" s="54">
        <f>'Daily Halba'!$C268+'Daily Halba'!$F268</f>
        <v>6108</v>
      </c>
      <c r="J268" s="55">
        <f>'Daily Halba'!$I268*'Daily Halba'!$G268</f>
        <v>8790.633600000001</v>
      </c>
      <c r="K268" s="56">
        <f>'ODOMETERS Halba'!L264</f>
        <v>1037</v>
      </c>
      <c r="L268" s="57">
        <v>1.2245999999999999</v>
      </c>
      <c r="M268" s="58">
        <f>'Daily Halba'!$K268*'Daily Halba'!$L268</f>
        <v>1269.9101999999998</v>
      </c>
      <c r="N268" s="71">
        <v>18</v>
      </c>
      <c r="O268" s="71">
        <v>88</v>
      </c>
      <c r="P268" s="71">
        <v>64</v>
      </c>
      <c r="Q268" s="71">
        <v>6</v>
      </c>
      <c r="R268" s="71"/>
      <c r="S268" s="71">
        <f>528+1341</f>
        <v>1869</v>
      </c>
      <c r="T268" s="71">
        <v>14</v>
      </c>
      <c r="U268" s="61">
        <f>SUM('Daily Halba'!$E268,'Daily Halba'!$H268,$M268:$T268)</f>
        <v>12119.543800000001</v>
      </c>
      <c r="V268" s="22"/>
      <c r="W268" s="62">
        <f>536+734.76</f>
        <v>1270.76</v>
      </c>
      <c r="X268" s="62"/>
      <c r="Y268" s="62">
        <v>334.61</v>
      </c>
      <c r="Z268" s="79">
        <f>-4985+2814</f>
        <v>-2171</v>
      </c>
      <c r="AA268" s="63"/>
      <c r="AB268" s="64"/>
      <c r="AC268" s="64"/>
      <c r="AD268" s="64"/>
      <c r="AE268" s="65">
        <f t="shared" si="3"/>
        <v>0</v>
      </c>
      <c r="AF268" s="66"/>
      <c r="AG268" s="66"/>
      <c r="AH268" s="66"/>
      <c r="AI268" s="66"/>
      <c r="AJ268" s="66"/>
      <c r="AK268" s="66"/>
      <c r="AL268" s="66"/>
      <c r="AM268" s="66"/>
      <c r="AN268" s="67">
        <f t="shared" si="4"/>
        <v>0</v>
      </c>
      <c r="AO268" s="66"/>
      <c r="AP268" s="68">
        <f t="shared" si="5"/>
        <v>-565.63000000000011</v>
      </c>
      <c r="AQ268" s="69" t="s">
        <v>233</v>
      </c>
      <c r="AR268" s="22"/>
      <c r="AS268" s="70">
        <f>'Daily Halba'!$U268-'Daily Halba'!$AP268</f>
        <v>12685.1738</v>
      </c>
      <c r="AT268" s="5"/>
      <c r="AU268" s="5"/>
      <c r="AV268" s="5"/>
    </row>
    <row r="269" spans="1:48" ht="12.75" customHeight="1" x14ac:dyDescent="0.3">
      <c r="A269" s="49">
        <v>46170</v>
      </c>
      <c r="B269" s="82"/>
      <c r="C269" s="51">
        <f>'ODOMETERS Halba'!J265</f>
        <v>2350</v>
      </c>
      <c r="D269" s="52">
        <v>1.4392</v>
      </c>
      <c r="E269" s="53">
        <f>'Daily Halba'!$C269*'Daily Halba'!$D269</f>
        <v>3382.12</v>
      </c>
      <c r="F269" s="54">
        <f>'ODOMETERS Halba'!K265</f>
        <v>1446</v>
      </c>
      <c r="G269" s="52">
        <v>1.4392</v>
      </c>
      <c r="H269" s="53">
        <f>'Daily Halba'!$F269*'Daily Halba'!$G269</f>
        <v>2081.0832</v>
      </c>
      <c r="I269" s="54">
        <f>'Daily Halba'!$C269+'Daily Halba'!$F269</f>
        <v>3796</v>
      </c>
      <c r="J269" s="55">
        <f>'Daily Halba'!$I269*'Daily Halba'!$G269</f>
        <v>5463.2031999999999</v>
      </c>
      <c r="K269" s="56">
        <f>'ODOMETERS Halba'!L265</f>
        <v>668</v>
      </c>
      <c r="L269" s="57">
        <v>1.2245999999999999</v>
      </c>
      <c r="M269" s="58">
        <f>'Daily Halba'!$K269*'Daily Halba'!$L269</f>
        <v>818.03279999999995</v>
      </c>
      <c r="N269" s="71">
        <f>14+4+350/89.7+5+600/89.7</f>
        <v>33.590858416945373</v>
      </c>
      <c r="O269" s="71">
        <f>(400+400+400+600+400)/89.7</f>
        <v>24.526198439241917</v>
      </c>
      <c r="P269" s="71">
        <f>6*16</f>
        <v>96</v>
      </c>
      <c r="Q269" s="71"/>
      <c r="R269" s="71"/>
      <c r="S269" s="71"/>
      <c r="T269" s="71">
        <f>(100+150+150+150)/89.7</f>
        <v>6.1315496098104791</v>
      </c>
      <c r="U269" s="61">
        <f>SUM('Daily Halba'!$E269,'Daily Halba'!$H269,$M269:$T269)</f>
        <v>6441.4846064659978</v>
      </c>
      <c r="V269" s="22"/>
      <c r="W269" s="62">
        <f>10+331+100+5+50+30+87+10</f>
        <v>623</v>
      </c>
      <c r="X269" s="62"/>
      <c r="Y269" s="62">
        <f>(10+18+20+20+20+20)*1.4392</f>
        <v>155.43360000000001</v>
      </c>
      <c r="Z269" s="79">
        <v>14</v>
      </c>
      <c r="AA269" s="63"/>
      <c r="AB269" s="64"/>
      <c r="AC269" s="64"/>
      <c r="AD269" s="64"/>
      <c r="AE269" s="65">
        <f t="shared" si="3"/>
        <v>0</v>
      </c>
      <c r="AF269" s="66"/>
      <c r="AG269" s="66">
        <v>30</v>
      </c>
      <c r="AH269" s="66"/>
      <c r="AI269" s="66">
        <v>8</v>
      </c>
      <c r="AJ269" s="66"/>
      <c r="AK269" s="66"/>
      <c r="AL269" s="66"/>
      <c r="AM269" s="66"/>
      <c r="AN269" s="67">
        <f t="shared" si="4"/>
        <v>38</v>
      </c>
      <c r="AO269" s="66"/>
      <c r="AP269" s="68">
        <f t="shared" si="5"/>
        <v>830.43360000000007</v>
      </c>
      <c r="AQ269" s="69"/>
      <c r="AR269" s="22"/>
      <c r="AS269" s="70">
        <f>'Daily Halba'!$U269-'Daily Halba'!$AP269</f>
        <v>5611.0510064659975</v>
      </c>
      <c r="AT269" s="5"/>
      <c r="AU269" s="5"/>
      <c r="AV269" s="19"/>
    </row>
    <row r="270" spans="1:48" ht="12.75" customHeight="1" x14ac:dyDescent="0.3">
      <c r="A270" s="49">
        <v>46171</v>
      </c>
      <c r="B270" s="82"/>
      <c r="C270" s="51">
        <f>'ODOMETERS Halba'!J266</f>
        <v>2328</v>
      </c>
      <c r="D270" s="52">
        <v>1.4392</v>
      </c>
      <c r="E270" s="53">
        <f>'Daily Halba'!$C270*'Daily Halba'!$D270</f>
        <v>3350.4576000000002</v>
      </c>
      <c r="F270" s="54">
        <f>'ODOMETERS Halba'!K266</f>
        <v>1919</v>
      </c>
      <c r="G270" s="52">
        <v>1.4392</v>
      </c>
      <c r="H270" s="53">
        <f>'Daily Halba'!$F270*'Daily Halba'!$G270</f>
        <v>2761.8247999999999</v>
      </c>
      <c r="I270" s="54">
        <f>'Daily Halba'!$C270+'Daily Halba'!$F270</f>
        <v>4247</v>
      </c>
      <c r="J270" s="55">
        <f>'Daily Halba'!$I270*'Daily Halba'!$G270</f>
        <v>6112.2824000000001</v>
      </c>
      <c r="K270" s="56">
        <f>'ODOMETERS Halba'!L266</f>
        <v>1687</v>
      </c>
      <c r="L270" s="57">
        <v>1.2245999999999999</v>
      </c>
      <c r="M270" s="58">
        <f>'Daily Halba'!$K270*'Daily Halba'!$L270</f>
        <v>2065.9002</v>
      </c>
      <c r="N270" s="71">
        <f>(350+350+300)/89.7+7</f>
        <v>18.148272017837236</v>
      </c>
      <c r="O270" s="71">
        <f>(400+400+400+300+400)/89.7</f>
        <v>21.181716833890746</v>
      </c>
      <c r="P270" s="71">
        <v>16</v>
      </c>
      <c r="Q270" s="71"/>
      <c r="R270" s="71"/>
      <c r="S270" s="71">
        <f>100+133+500</f>
        <v>733</v>
      </c>
      <c r="T270" s="71">
        <f>(150+80+150+300+150+75+75+300+300+150+150)/89.7</f>
        <v>20.958751393534001</v>
      </c>
      <c r="U270" s="61">
        <f>SUM('Daily Halba'!$E270,'Daily Halba'!$H270,$M270:$T270)</f>
        <v>8987.4713402452635</v>
      </c>
      <c r="V270" s="22"/>
      <c r="W270" s="62">
        <f>25+30+36+30+10+20+50+525*1.2246+100+15+34+75+40+14</f>
        <v>1121.915</v>
      </c>
      <c r="X270" s="62">
        <f>750*1.2246</f>
        <v>918.44999999999993</v>
      </c>
      <c r="Y270" s="62">
        <f>(20+10+20+40+20+10+40+40+9+20+20)*1.4392</f>
        <v>358.36079999999998</v>
      </c>
      <c r="Z270" s="79"/>
      <c r="AA270" s="63"/>
      <c r="AB270" s="64"/>
      <c r="AC270" s="64"/>
      <c r="AD270" s="64"/>
      <c r="AE270" s="65">
        <f t="shared" si="3"/>
        <v>0</v>
      </c>
      <c r="AF270" s="66"/>
      <c r="AG270" s="66"/>
      <c r="AH270" s="66"/>
      <c r="AI270" s="66">
        <v>8</v>
      </c>
      <c r="AJ270" s="66"/>
      <c r="AK270" s="66">
        <f>10+10</f>
        <v>20</v>
      </c>
      <c r="AL270" s="66"/>
      <c r="AM270" s="66"/>
      <c r="AN270" s="67">
        <f t="shared" si="4"/>
        <v>28</v>
      </c>
      <c r="AO270" s="66"/>
      <c r="AP270" s="68">
        <f t="shared" si="5"/>
        <v>2426.7257999999997</v>
      </c>
      <c r="AQ270" s="69"/>
      <c r="AR270" s="22"/>
      <c r="AS270" s="70">
        <f>'Daily Halba'!$U270-'Daily Halba'!$AP270</f>
        <v>6560.7455402452633</v>
      </c>
      <c r="AT270" s="5"/>
      <c r="AU270" s="5"/>
      <c r="AV270" s="19"/>
    </row>
    <row r="271" spans="1:48" ht="12.75" customHeight="1" x14ac:dyDescent="0.3">
      <c r="A271" s="49">
        <v>46172</v>
      </c>
      <c r="B271" s="82"/>
      <c r="C271" s="51">
        <f>'ODOMETERS Halba'!J267</f>
        <v>2680</v>
      </c>
      <c r="D271" s="52">
        <v>1.4392</v>
      </c>
      <c r="E271" s="53">
        <f>'Daily Halba'!$C271*'Daily Halba'!$D271</f>
        <v>3857.056</v>
      </c>
      <c r="F271" s="54">
        <f>'ODOMETERS Halba'!K267</f>
        <v>1767</v>
      </c>
      <c r="G271" s="52">
        <v>1.4392</v>
      </c>
      <c r="H271" s="53">
        <f>'Daily Halba'!$F271*'Daily Halba'!$G271</f>
        <v>2543.0664000000002</v>
      </c>
      <c r="I271" s="54">
        <f>'Daily Halba'!$C271+'Daily Halba'!$F271</f>
        <v>4447</v>
      </c>
      <c r="J271" s="55">
        <f>'Daily Halba'!$I271*'Daily Halba'!$G271</f>
        <v>6400.1224000000002</v>
      </c>
      <c r="K271" s="56">
        <f>'ODOMETERS Halba'!L267</f>
        <v>2328</v>
      </c>
      <c r="L271" s="57">
        <v>1.2245999999999999</v>
      </c>
      <c r="M271" s="58">
        <f>'Daily Halba'!$K271*'Daily Halba'!$L271</f>
        <v>2850.8687999999997</v>
      </c>
      <c r="N271" s="71"/>
      <c r="O271" s="71">
        <v>22</v>
      </c>
      <c r="P271" s="71">
        <v>64</v>
      </c>
      <c r="Q271" s="71"/>
      <c r="R271" s="71"/>
      <c r="S271" s="71">
        <v>65</v>
      </c>
      <c r="T271" s="71">
        <v>20</v>
      </c>
      <c r="U271" s="61">
        <f>SUM('Daily Halba'!$E271,'Daily Halba'!$H271,$M271:$T271)</f>
        <v>9421.9912000000004</v>
      </c>
      <c r="V271" s="22"/>
      <c r="W271" s="62">
        <f>1361+370.59+1531</f>
        <v>3262.59</v>
      </c>
      <c r="X271" s="62"/>
      <c r="Y271" s="62"/>
      <c r="Z271" s="79">
        <v>50</v>
      </c>
      <c r="AA271" s="63"/>
      <c r="AB271" s="64"/>
      <c r="AC271" s="64">
        <v>142</v>
      </c>
      <c r="AD271" s="64"/>
      <c r="AE271" s="65">
        <f t="shared" si="3"/>
        <v>142</v>
      </c>
      <c r="AF271" s="66"/>
      <c r="AG271" s="66"/>
      <c r="AH271" s="66"/>
      <c r="AI271" s="66"/>
      <c r="AJ271" s="66"/>
      <c r="AK271" s="66"/>
      <c r="AL271" s="66"/>
      <c r="AM271" s="66"/>
      <c r="AN271" s="67">
        <f t="shared" si="4"/>
        <v>0</v>
      </c>
      <c r="AO271" s="66"/>
      <c r="AP271" s="68">
        <f t="shared" si="5"/>
        <v>3454.59</v>
      </c>
      <c r="AQ271" s="69"/>
      <c r="AR271" s="22"/>
      <c r="AS271" s="70">
        <f>'Daily Halba'!$U271-'Daily Halba'!$AP271</f>
        <v>5967.4012000000002</v>
      </c>
      <c r="AT271" s="5"/>
      <c r="AU271" s="5"/>
      <c r="AV271" s="5"/>
    </row>
    <row r="272" spans="1:48" ht="12.75" customHeight="1" x14ac:dyDescent="0.3">
      <c r="A272" s="49">
        <v>46173</v>
      </c>
      <c r="B272" s="82"/>
      <c r="C272" s="51">
        <f>'ODOMETERS Halba'!J268</f>
        <v>2964</v>
      </c>
      <c r="D272" s="52">
        <v>1.4392</v>
      </c>
      <c r="E272" s="53">
        <f>'Daily Halba'!$C272*'Daily Halba'!$D272</f>
        <v>4265.7888000000003</v>
      </c>
      <c r="F272" s="54">
        <f>'ODOMETERS Halba'!K268</f>
        <v>593</v>
      </c>
      <c r="G272" s="52">
        <v>1.4392</v>
      </c>
      <c r="H272" s="53">
        <f>'Daily Halba'!$F272*'Daily Halba'!$G272</f>
        <v>853.44560000000001</v>
      </c>
      <c r="I272" s="54">
        <f>'Daily Halba'!$C272+'Daily Halba'!$F272</f>
        <v>3557</v>
      </c>
      <c r="J272" s="55">
        <f>'Daily Halba'!$I272*'Daily Halba'!$G272</f>
        <v>5119.2344000000003</v>
      </c>
      <c r="K272" s="56">
        <f>'ODOMETERS Halba'!L268</f>
        <v>543</v>
      </c>
      <c r="L272" s="57">
        <v>1.2245999999999999</v>
      </c>
      <c r="M272" s="58">
        <f>'Daily Halba'!$K272*'Daily Halba'!$L272</f>
        <v>664.95779999999991</v>
      </c>
      <c r="N272" s="71">
        <f>600/89.7</f>
        <v>6.6889632107023411</v>
      </c>
      <c r="O272" s="71">
        <f>(700+400+400+400+400)/89.7</f>
        <v>25.641025641025639</v>
      </c>
      <c r="P272" s="71">
        <v>62</v>
      </c>
      <c r="Q272" s="71"/>
      <c r="R272" s="71"/>
      <c r="S272" s="71"/>
      <c r="T272" s="71">
        <f>(150+150+150+150+250)/89.7</f>
        <v>9.4760312151616493</v>
      </c>
      <c r="U272" s="61">
        <f>SUM('Daily Halba'!$E272,'Daily Halba'!$H272,$M272:$T272)</f>
        <v>5887.9982200668901</v>
      </c>
      <c r="V272" s="22"/>
      <c r="W272" s="62">
        <f>(55+47+500/89.7+20+20+380+30+10+10+35+20)</f>
        <v>632.57413600891869</v>
      </c>
      <c r="X272" s="85"/>
      <c r="Y272" s="62">
        <f>(9+54+30+20+20+20+30+20)*1.4392</f>
        <v>292.1576</v>
      </c>
      <c r="Z272" s="85">
        <v>14</v>
      </c>
      <c r="AA272" s="72"/>
      <c r="AB272" s="73"/>
      <c r="AC272" s="73"/>
      <c r="AD272" s="73"/>
      <c r="AE272" s="86">
        <f t="shared" si="3"/>
        <v>0</v>
      </c>
      <c r="AF272" s="74"/>
      <c r="AG272" s="74"/>
      <c r="AH272" s="74"/>
      <c r="AI272" s="74">
        <v>5</v>
      </c>
      <c r="AJ272" s="74"/>
      <c r="AK272" s="74"/>
      <c r="AL272" s="74"/>
      <c r="AM272" s="74"/>
      <c r="AN272" s="87">
        <f t="shared" si="4"/>
        <v>5</v>
      </c>
      <c r="AO272" s="74"/>
      <c r="AP272" s="88">
        <f t="shared" si="5"/>
        <v>943.73173600891869</v>
      </c>
      <c r="AQ272" s="75"/>
      <c r="AR272" s="22"/>
      <c r="AS272" s="70">
        <f>'Daily Halba'!$U272-'Daily Halba'!$AP272</f>
        <v>4944.266484057971</v>
      </c>
      <c r="AT272" s="5"/>
      <c r="AU272" s="5"/>
      <c r="AV272" s="19"/>
    </row>
    <row r="273" spans="1:48" ht="12.6" customHeight="1" x14ac:dyDescent="0.3">
      <c r="A273" s="49">
        <v>46174</v>
      </c>
      <c r="B273" s="82"/>
      <c r="C273" s="51">
        <f>'ODOMETERS Halba'!J269</f>
        <v>3319</v>
      </c>
      <c r="D273" s="52">
        <v>1.4392</v>
      </c>
      <c r="E273" s="53">
        <f>'Daily Halba'!$C273*'Daily Halba'!$D273</f>
        <v>4776.7048000000004</v>
      </c>
      <c r="F273" s="54">
        <f>'ODOMETERS Halba'!K269</f>
        <v>1382</v>
      </c>
      <c r="G273" s="52">
        <v>1.4392</v>
      </c>
      <c r="H273" s="53">
        <f>'Daily Halba'!$F273*'Daily Halba'!$G273</f>
        <v>1988.9744000000001</v>
      </c>
      <c r="I273" s="54">
        <f>'Daily Halba'!$C273+'Daily Halba'!$F273</f>
        <v>4701</v>
      </c>
      <c r="J273" s="55">
        <f>'Daily Halba'!$I273*'Daily Halba'!$G273</f>
        <v>6765.6792000000005</v>
      </c>
      <c r="K273" s="56">
        <f>'ODOMETERS Halba'!L269</f>
        <v>937</v>
      </c>
      <c r="L273" s="57">
        <v>1.2245999999999999</v>
      </c>
      <c r="M273" s="58">
        <f>'Daily Halba'!$K273*'Daily Halba'!$L273</f>
        <v>1147.4502</v>
      </c>
      <c r="N273" s="71">
        <v>20.62</v>
      </c>
      <c r="O273" s="71">
        <v>13.37</v>
      </c>
      <c r="P273" s="71">
        <v>32</v>
      </c>
      <c r="Q273" s="71"/>
      <c r="R273" s="71"/>
      <c r="S273" s="71">
        <v>16.16</v>
      </c>
      <c r="T273" s="71">
        <v>5</v>
      </c>
      <c r="U273" s="61">
        <f>SUM('Daily Halba'!$E273,'Daily Halba'!$H273,$M273:$T273)</f>
        <v>8000.2794000000004</v>
      </c>
      <c r="V273" s="22"/>
      <c r="W273" s="62">
        <f>481</f>
        <v>481</v>
      </c>
      <c r="X273" s="62"/>
      <c r="Y273" s="62">
        <v>267.69</v>
      </c>
      <c r="Z273" s="62">
        <v>3</v>
      </c>
      <c r="AA273" s="63"/>
      <c r="AB273" s="64"/>
      <c r="AC273" s="64"/>
      <c r="AD273" s="64"/>
      <c r="AE273" s="65">
        <f t="shared" ref="AE273:AE336" si="6">SUM(AA273:AD273)</f>
        <v>0</v>
      </c>
      <c r="AF273" s="66"/>
      <c r="AG273" s="66"/>
      <c r="AH273" s="66"/>
      <c r="AI273" s="66"/>
      <c r="AJ273" s="66"/>
      <c r="AK273" s="66"/>
      <c r="AL273" s="66"/>
      <c r="AM273" s="66"/>
      <c r="AN273" s="67">
        <f t="shared" ref="AN273:AN336" si="7">SUM(AF273:AM273)</f>
        <v>0</v>
      </c>
      <c r="AO273" s="66"/>
      <c r="AP273" s="68">
        <f t="shared" ref="AP273:AP336" si="8">SUM(W273:Z273,AE273,AN273,AO273)</f>
        <v>751.69</v>
      </c>
      <c r="AQ273" s="69"/>
      <c r="AR273" s="22"/>
      <c r="AS273" s="70">
        <f>'Daily Halba'!$U273-'Daily Halba'!$AP273</f>
        <v>7248.5894000000008</v>
      </c>
      <c r="AT273" s="5"/>
      <c r="AU273" s="5"/>
      <c r="AV273" s="5"/>
    </row>
    <row r="274" spans="1:48" ht="12.75" customHeight="1" x14ac:dyDescent="0.3">
      <c r="A274" s="49">
        <v>46175</v>
      </c>
      <c r="B274" s="82" t="s">
        <v>24</v>
      </c>
      <c r="C274" s="51">
        <f>'ODOMETERS Halba'!J270</f>
        <v>1583</v>
      </c>
      <c r="D274" s="52">
        <v>1.4392</v>
      </c>
      <c r="E274" s="53">
        <f>'Daily Halba'!$C274*'Daily Halba'!$D274</f>
        <v>2278.2536</v>
      </c>
      <c r="F274" s="54">
        <f>'ODOMETERS Halba'!K270</f>
        <v>474</v>
      </c>
      <c r="G274" s="52">
        <v>1.4392</v>
      </c>
      <c r="H274" s="53">
        <f>'Daily Halba'!$F274*'Daily Halba'!$G274</f>
        <v>682.18079999999998</v>
      </c>
      <c r="I274" s="54">
        <f>'Daily Halba'!$C274+'Daily Halba'!$F274</f>
        <v>2057</v>
      </c>
      <c r="J274" s="55">
        <f>'Daily Halba'!$I274*'Daily Halba'!$G274</f>
        <v>2960.4344000000001</v>
      </c>
      <c r="K274" s="56">
        <f>'ODOMETERS Halba'!L270</f>
        <v>1233</v>
      </c>
      <c r="L274" s="57">
        <v>1.2245999999999999</v>
      </c>
      <c r="M274" s="58">
        <f>'Daily Halba'!$K274*'Daily Halba'!$L274</f>
        <v>1509.9317999999998</v>
      </c>
      <c r="N274" s="71">
        <v>14</v>
      </c>
      <c r="O274" s="71">
        <v>2</v>
      </c>
      <c r="P274" s="71"/>
      <c r="Q274" s="71">
        <v>6</v>
      </c>
      <c r="R274" s="71"/>
      <c r="S274" s="71">
        <v>400</v>
      </c>
      <c r="T274" s="71">
        <v>10</v>
      </c>
      <c r="U274" s="61">
        <f>SUM('Daily Halba'!$E274,'Daily Halba'!$H274,$M274:$T274)</f>
        <v>4902.3662000000004</v>
      </c>
      <c r="V274" s="22"/>
      <c r="W274" s="62">
        <f>110+1286</f>
        <v>1396</v>
      </c>
      <c r="X274" s="62"/>
      <c r="Y274" s="62">
        <f>263</f>
        <v>263</v>
      </c>
      <c r="Z274" s="62"/>
      <c r="AA274" s="72"/>
      <c r="AB274" s="73"/>
      <c r="AC274" s="73"/>
      <c r="AD274" s="73"/>
      <c r="AE274" s="86">
        <f t="shared" si="6"/>
        <v>0</v>
      </c>
      <c r="AF274" s="74"/>
      <c r="AG274" s="74"/>
      <c r="AH274" s="74"/>
      <c r="AI274" s="74"/>
      <c r="AJ274" s="74"/>
      <c r="AK274" s="74"/>
      <c r="AL274" s="74"/>
      <c r="AM274" s="74"/>
      <c r="AN274" s="87">
        <f t="shared" si="7"/>
        <v>0</v>
      </c>
      <c r="AO274" s="74"/>
      <c r="AP274" s="88">
        <f t="shared" si="8"/>
        <v>1659</v>
      </c>
      <c r="AQ274" s="75"/>
      <c r="AR274" s="22"/>
      <c r="AS274" s="70">
        <f>'Daily Halba'!$U274-'Daily Halba'!$AP274</f>
        <v>3243.3662000000004</v>
      </c>
      <c r="AT274" s="5"/>
      <c r="AU274" s="5"/>
      <c r="AV274" s="5"/>
    </row>
    <row r="275" spans="1:48" ht="12.75" customHeight="1" x14ac:dyDescent="0.3">
      <c r="A275" s="49">
        <v>46175</v>
      </c>
      <c r="B275" s="82" t="s">
        <v>25</v>
      </c>
      <c r="C275" s="51">
        <f>'ODOMETERS Halba'!J271</f>
        <v>1189</v>
      </c>
      <c r="D275" s="52">
        <v>1.4164000000000001</v>
      </c>
      <c r="E275" s="53">
        <f>'Daily Halba'!$C275*'Daily Halba'!$D275</f>
        <v>1684.0996</v>
      </c>
      <c r="F275" s="54">
        <f>'ODOMETERS Halba'!K271</f>
        <v>1119</v>
      </c>
      <c r="G275" s="52">
        <v>1.4164000000000001</v>
      </c>
      <c r="H275" s="53">
        <f>'Daily Halba'!$F275*'Daily Halba'!$G275</f>
        <v>1584.9516000000001</v>
      </c>
      <c r="I275" s="54">
        <f>'Daily Halba'!$C275+'Daily Halba'!$F275</f>
        <v>2308</v>
      </c>
      <c r="J275" s="55">
        <f>'Daily Halba'!$I275*'Daily Halba'!$G275</f>
        <v>3269.0512000000003</v>
      </c>
      <c r="K275" s="56">
        <f>'ODOMETERS Halba'!L271</f>
        <v>717</v>
      </c>
      <c r="L275" s="57">
        <v>1.1912</v>
      </c>
      <c r="M275" s="58">
        <f>'Daily Halba'!$K275*'Daily Halba'!$L275</f>
        <v>854.09040000000005</v>
      </c>
      <c r="N275" s="71">
        <v>20</v>
      </c>
      <c r="O275" s="71">
        <v>20</v>
      </c>
      <c r="P275" s="71"/>
      <c r="Q275" s="71"/>
      <c r="R275" s="71"/>
      <c r="S275" s="71">
        <v>1428</v>
      </c>
      <c r="T275" s="71">
        <v>3</v>
      </c>
      <c r="U275" s="61">
        <f>SUM('Daily Halba'!$E275,'Daily Halba'!$H275,$M275:$T275)</f>
        <v>5594.1415999999999</v>
      </c>
      <c r="V275" s="22"/>
      <c r="W275" s="62">
        <f>420+372</f>
        <v>792</v>
      </c>
      <c r="X275" s="62"/>
      <c r="Y275" s="62">
        <f>66.57+14</f>
        <v>80.569999999999993</v>
      </c>
      <c r="Z275" s="62"/>
      <c r="AA275" s="63">
        <v>65</v>
      </c>
      <c r="AB275" s="64"/>
      <c r="AC275" s="64"/>
      <c r="AD275" s="64"/>
      <c r="AE275" s="65">
        <f t="shared" si="6"/>
        <v>65</v>
      </c>
      <c r="AF275" s="66"/>
      <c r="AG275" s="66"/>
      <c r="AH275" s="66"/>
      <c r="AI275" s="66"/>
      <c r="AJ275" s="66"/>
      <c r="AK275" s="66"/>
      <c r="AL275" s="66"/>
      <c r="AM275" s="66"/>
      <c r="AN275" s="67">
        <f t="shared" si="7"/>
        <v>0</v>
      </c>
      <c r="AO275" s="66"/>
      <c r="AP275" s="68">
        <f t="shared" si="8"/>
        <v>937.56999999999994</v>
      </c>
      <c r="AQ275" s="69"/>
      <c r="AR275" s="22"/>
      <c r="AS275" s="70">
        <f>'Daily Halba'!$U275-'Daily Halba'!$AP275</f>
        <v>4656.5716000000002</v>
      </c>
      <c r="AT275" s="5"/>
      <c r="AU275" s="5"/>
      <c r="AV275" s="5"/>
    </row>
    <row r="276" spans="1:48" ht="12.75" customHeight="1" x14ac:dyDescent="0.3">
      <c r="A276" s="49">
        <v>46176</v>
      </c>
      <c r="B276" s="82"/>
      <c r="C276" s="51">
        <f>'ODOMETERS Halba'!J272</f>
        <v>2265</v>
      </c>
      <c r="D276" s="52">
        <v>1.4164000000000001</v>
      </c>
      <c r="E276" s="53">
        <f>'Daily Halba'!$C276*'Daily Halba'!$D276</f>
        <v>3208.1460000000002</v>
      </c>
      <c r="F276" s="54">
        <f>'ODOMETERS Halba'!K272</f>
        <v>2147</v>
      </c>
      <c r="G276" s="52">
        <v>1.4164000000000001</v>
      </c>
      <c r="H276" s="53">
        <f>'Daily Halba'!$F276*'Daily Halba'!$G276</f>
        <v>3041.0108</v>
      </c>
      <c r="I276" s="54">
        <f>'Daily Halba'!$C276+'Daily Halba'!$F276</f>
        <v>4412</v>
      </c>
      <c r="J276" s="55">
        <f>'Daily Halba'!$I276*'Daily Halba'!$G276</f>
        <v>6249.1568000000007</v>
      </c>
      <c r="K276" s="56">
        <f>'ODOMETERS Halba'!L272</f>
        <v>580</v>
      </c>
      <c r="L276" s="57">
        <v>1.1912</v>
      </c>
      <c r="M276" s="58">
        <f>'Daily Halba'!$K276*'Daily Halba'!$L276</f>
        <v>690.89600000000007</v>
      </c>
      <c r="N276" s="71">
        <f>(700/89.7)</f>
        <v>7.8037904124860642</v>
      </c>
      <c r="O276" s="71">
        <f>(600+800+400+400)/89.7</f>
        <v>24.526198439241917</v>
      </c>
      <c r="P276" s="71">
        <v>16</v>
      </c>
      <c r="Q276" s="71"/>
      <c r="R276" s="71"/>
      <c r="S276" s="71">
        <v>1200</v>
      </c>
      <c r="T276" s="71">
        <f>(150+150+250+300+150+250+300+250)/89.7</f>
        <v>20.066889632107024</v>
      </c>
      <c r="U276" s="61">
        <f>SUM('Daily Halba'!$E276,'Daily Halba'!$H276,$M276:$T276)</f>
        <v>8208.4496784838357</v>
      </c>
      <c r="V276" s="22"/>
      <c r="W276" s="62">
        <f>10+130+50+210+20+62+24*1.4164</f>
        <v>515.99360000000001</v>
      </c>
      <c r="X276" s="62">
        <f>500*1.4164</f>
        <v>708.2</v>
      </c>
      <c r="Y276" s="62">
        <f>(18+20+20+30+40+20+18+40+30+30)*1.4164</f>
        <v>376.76240000000001</v>
      </c>
      <c r="Z276" s="62">
        <v>34</v>
      </c>
      <c r="AA276" s="72"/>
      <c r="AB276" s="73"/>
      <c r="AC276" s="73">
        <v>135</v>
      </c>
      <c r="AD276" s="73"/>
      <c r="AE276" s="86">
        <f t="shared" si="6"/>
        <v>135</v>
      </c>
      <c r="AF276" s="74"/>
      <c r="AG276" s="74"/>
      <c r="AH276" s="74"/>
      <c r="AI276" s="74">
        <f>8+25+20</f>
        <v>53</v>
      </c>
      <c r="AJ276" s="74"/>
      <c r="AK276" s="74">
        <f>300/89.7+600/89.7</f>
        <v>10.033444816053512</v>
      </c>
      <c r="AL276" s="74"/>
      <c r="AM276" s="74"/>
      <c r="AN276" s="87">
        <f t="shared" si="7"/>
        <v>63.03344481605351</v>
      </c>
      <c r="AO276" s="74"/>
      <c r="AP276" s="88">
        <f t="shared" si="8"/>
        <v>1832.9894448160537</v>
      </c>
      <c r="AQ276" s="75"/>
      <c r="AR276" s="22"/>
      <c r="AS276" s="70">
        <f>'Daily Halba'!$U276-'Daily Halba'!$AP276</f>
        <v>6375.4602336677817</v>
      </c>
      <c r="AT276" s="5"/>
      <c r="AU276" s="5"/>
      <c r="AV276" s="19"/>
    </row>
    <row r="277" spans="1:48" ht="12.75" customHeight="1" x14ac:dyDescent="0.3">
      <c r="A277" s="49">
        <v>46177</v>
      </c>
      <c r="B277" s="82"/>
      <c r="C277" s="51">
        <f>'ODOMETERS Halba'!J273</f>
        <v>1997</v>
      </c>
      <c r="D277" s="52">
        <v>1.4164000000000001</v>
      </c>
      <c r="E277" s="53">
        <f>'Daily Halba'!$C277*'Daily Halba'!$D277</f>
        <v>2828.5508</v>
      </c>
      <c r="F277" s="54">
        <f>'ODOMETERS Halba'!K273</f>
        <v>1680</v>
      </c>
      <c r="G277" s="52">
        <v>1.4164000000000001</v>
      </c>
      <c r="H277" s="53">
        <f>'Daily Halba'!$F277*'Daily Halba'!$G277</f>
        <v>2379.5520000000001</v>
      </c>
      <c r="I277" s="54">
        <f>'Daily Halba'!$C277+'Daily Halba'!$F277</f>
        <v>3677</v>
      </c>
      <c r="J277" s="55">
        <f>'Daily Halba'!$I277*'Daily Halba'!$G277</f>
        <v>5208.1028000000006</v>
      </c>
      <c r="K277" s="56">
        <f>'ODOMETERS Halba'!L273</f>
        <v>830</v>
      </c>
      <c r="L277" s="57">
        <v>1.1912</v>
      </c>
      <c r="M277" s="58">
        <f>'Daily Halba'!$K277*'Daily Halba'!$L277</f>
        <v>988.69600000000003</v>
      </c>
      <c r="N277" s="71">
        <v>16</v>
      </c>
      <c r="O277" s="71">
        <v>18</v>
      </c>
      <c r="P277" s="71">
        <v>30</v>
      </c>
      <c r="Q277" s="71"/>
      <c r="R277" s="71"/>
      <c r="S277" s="71"/>
      <c r="T277" s="71">
        <v>13</v>
      </c>
      <c r="U277" s="61">
        <f>SUM('Daily Halba'!$E277,'Daily Halba'!$H277,$M277:$T277)</f>
        <v>6273.7988000000005</v>
      </c>
      <c r="V277" s="22"/>
      <c r="W277" s="62">
        <v>1037.5</v>
      </c>
      <c r="X277" s="62"/>
      <c r="Y277" s="62">
        <v>226.62</v>
      </c>
      <c r="Z277" s="62">
        <v>20</v>
      </c>
      <c r="AA277" s="63"/>
      <c r="AB277" s="64"/>
      <c r="AC277" s="64"/>
      <c r="AD277" s="64"/>
      <c r="AE277" s="65">
        <f t="shared" si="6"/>
        <v>0</v>
      </c>
      <c r="AF277" s="66"/>
      <c r="AG277" s="66"/>
      <c r="AH277" s="66"/>
      <c r="AI277" s="66"/>
      <c r="AJ277" s="66"/>
      <c r="AK277" s="66"/>
      <c r="AL277" s="66"/>
      <c r="AM277" s="66"/>
      <c r="AN277" s="67">
        <f t="shared" si="7"/>
        <v>0</v>
      </c>
      <c r="AO277" s="66"/>
      <c r="AP277" s="68">
        <f t="shared" si="8"/>
        <v>1284.1199999999999</v>
      </c>
      <c r="AQ277" s="69"/>
      <c r="AR277" s="22"/>
      <c r="AS277" s="70">
        <f>'Daily Halba'!$U277-'Daily Halba'!$AP277</f>
        <v>4989.6788000000006</v>
      </c>
      <c r="AT277" s="5"/>
      <c r="AU277" s="5"/>
      <c r="AV277" s="5"/>
    </row>
    <row r="278" spans="1:48" ht="12.75" customHeight="1" x14ac:dyDescent="0.3">
      <c r="A278" s="49">
        <v>46178</v>
      </c>
      <c r="B278" s="82" t="s">
        <v>24</v>
      </c>
      <c r="C278" s="51">
        <f>'ODOMETERS Halba'!J274</f>
        <v>1060</v>
      </c>
      <c r="D278" s="52">
        <v>1.4164000000000001</v>
      </c>
      <c r="E278" s="53">
        <f>'Daily Halba'!$C278*'Daily Halba'!$D278</f>
        <v>1501.384</v>
      </c>
      <c r="F278" s="54">
        <f>'ODOMETERS Halba'!K274</f>
        <v>756</v>
      </c>
      <c r="G278" s="52">
        <v>1.4164000000000001</v>
      </c>
      <c r="H278" s="53">
        <f>'Daily Halba'!$F278*'Daily Halba'!$G278</f>
        <v>1070.7984000000001</v>
      </c>
      <c r="I278" s="54">
        <f>'Daily Halba'!$C278+'Daily Halba'!$F278</f>
        <v>1816</v>
      </c>
      <c r="J278" s="55">
        <f>'Daily Halba'!$I278*'Daily Halba'!$G278</f>
        <v>2572.1824000000001</v>
      </c>
      <c r="K278" s="56">
        <f>'ODOMETERS Halba'!L274</f>
        <v>618</v>
      </c>
      <c r="L278" s="57">
        <v>1.1912</v>
      </c>
      <c r="M278" s="58">
        <f>'Daily Halba'!$K278*'Daily Halba'!$L278</f>
        <v>736.16160000000002</v>
      </c>
      <c r="N278" s="71">
        <v>7</v>
      </c>
      <c r="O278" s="71"/>
      <c r="P278" s="71">
        <v>15</v>
      </c>
      <c r="Q278" s="71"/>
      <c r="R278" s="71"/>
      <c r="S278" s="71"/>
      <c r="T278" s="71">
        <v>8</v>
      </c>
      <c r="U278" s="61">
        <f>SUM('Daily Halba'!$E278,'Daily Halba'!$H278,$M278:$T278)</f>
        <v>3338.3440000000001</v>
      </c>
      <c r="V278" s="22"/>
      <c r="W278" s="62">
        <v>345</v>
      </c>
      <c r="X278" s="62"/>
      <c r="Y278" s="62">
        <v>156</v>
      </c>
      <c r="Z278" s="62">
        <v>1</v>
      </c>
      <c r="AA278" s="72"/>
      <c r="AB278" s="73"/>
      <c r="AC278" s="73"/>
      <c r="AD278" s="73"/>
      <c r="AE278" s="86">
        <f t="shared" si="6"/>
        <v>0</v>
      </c>
      <c r="AF278" s="74"/>
      <c r="AG278" s="74"/>
      <c r="AH278" s="74"/>
      <c r="AI278" s="74"/>
      <c r="AJ278" s="74"/>
      <c r="AK278" s="74"/>
      <c r="AL278" s="74"/>
      <c r="AM278" s="74"/>
      <c r="AN278" s="87">
        <f t="shared" si="7"/>
        <v>0</v>
      </c>
      <c r="AO278" s="74"/>
      <c r="AP278" s="88">
        <f t="shared" si="8"/>
        <v>502</v>
      </c>
      <c r="AQ278" s="75"/>
      <c r="AR278" s="22"/>
      <c r="AS278" s="70">
        <f>'Daily Halba'!$U278-'Daily Halba'!$AP278</f>
        <v>2836.3440000000001</v>
      </c>
      <c r="AT278" s="5"/>
      <c r="AU278" s="5"/>
      <c r="AV278" s="5"/>
    </row>
    <row r="279" spans="1:48" ht="12.75" customHeight="1" x14ac:dyDescent="0.3">
      <c r="A279" s="49">
        <v>46178</v>
      </c>
      <c r="B279" s="82" t="s">
        <v>25</v>
      </c>
      <c r="C279" s="51">
        <f>'ODOMETERS Halba'!J275</f>
        <v>873</v>
      </c>
      <c r="D279" s="52">
        <v>1.3879999999999999</v>
      </c>
      <c r="E279" s="53">
        <f>'Daily Halba'!$C279*'Daily Halba'!$D279</f>
        <v>1211.7239999999999</v>
      </c>
      <c r="F279" s="54">
        <f>'ODOMETERS Halba'!K275</f>
        <v>1461</v>
      </c>
      <c r="G279" s="52">
        <v>1.3879999999999999</v>
      </c>
      <c r="H279" s="53">
        <f>'Daily Halba'!$F279*'Daily Halba'!$G279</f>
        <v>2027.8679999999999</v>
      </c>
      <c r="I279" s="54">
        <f>'Daily Halba'!$C279+'Daily Halba'!$F279</f>
        <v>2334</v>
      </c>
      <c r="J279" s="55">
        <f>'Daily Halba'!$I279*'Daily Halba'!$G279</f>
        <v>3239.5919999999996</v>
      </c>
      <c r="K279" s="56">
        <f>'ODOMETERS Halba'!L275</f>
        <v>1192</v>
      </c>
      <c r="L279" s="57">
        <v>1.1738999999999999</v>
      </c>
      <c r="M279" s="58">
        <f>'Daily Halba'!$K279*'Daily Halba'!$L279</f>
        <v>1399.2888</v>
      </c>
      <c r="N279" s="71">
        <v>3</v>
      </c>
      <c r="O279" s="71">
        <v>26</v>
      </c>
      <c r="P279" s="71">
        <v>15</v>
      </c>
      <c r="Q279" s="71"/>
      <c r="R279" s="71"/>
      <c r="S279" s="71">
        <v>90</v>
      </c>
      <c r="T279" s="71">
        <v>7</v>
      </c>
      <c r="U279" s="61">
        <f>SUM('Daily Halba'!$E279,'Daily Halba'!$H279,$M279:$T279)</f>
        <v>4779.8807999999999</v>
      </c>
      <c r="V279" s="22"/>
      <c r="W279" s="62">
        <f>385+1174</f>
        <v>1559</v>
      </c>
      <c r="X279" s="62"/>
      <c r="Y279" s="62">
        <v>111</v>
      </c>
      <c r="Z279" s="62">
        <v>15</v>
      </c>
      <c r="AA279" s="63"/>
      <c r="AB279" s="64"/>
      <c r="AC279" s="64"/>
      <c r="AD279" s="64"/>
      <c r="AE279" s="65">
        <f t="shared" si="6"/>
        <v>0</v>
      </c>
      <c r="AF279" s="66"/>
      <c r="AG279" s="66">
        <v>590</v>
      </c>
      <c r="AH279" s="66"/>
      <c r="AI279" s="66"/>
      <c r="AJ279" s="66"/>
      <c r="AK279" s="66"/>
      <c r="AL279" s="66"/>
      <c r="AM279" s="66"/>
      <c r="AN279" s="67">
        <f t="shared" si="7"/>
        <v>590</v>
      </c>
      <c r="AO279" s="66"/>
      <c r="AP279" s="68">
        <f t="shared" si="8"/>
        <v>2275</v>
      </c>
      <c r="AQ279" s="69"/>
      <c r="AR279" s="22"/>
      <c r="AS279" s="70">
        <f>'Daily Halba'!$U279-'Daily Halba'!$AP279</f>
        <v>2504.8807999999999</v>
      </c>
      <c r="AT279" s="5"/>
      <c r="AU279" s="5"/>
      <c r="AV279" s="5"/>
    </row>
    <row r="280" spans="1:48" ht="12.75" customHeight="1" x14ac:dyDescent="0.3">
      <c r="A280" s="49">
        <v>46179</v>
      </c>
      <c r="B280" s="82"/>
      <c r="C280" s="51">
        <f>'ODOMETERS Halba'!J276</f>
        <v>2085</v>
      </c>
      <c r="D280" s="52">
        <v>1.3879999999999999</v>
      </c>
      <c r="E280" s="53">
        <f>'Daily Halba'!$C280*'Daily Halba'!$D280</f>
        <v>2893.98</v>
      </c>
      <c r="F280" s="54">
        <f>'ODOMETERS Halba'!K276</f>
        <v>1704</v>
      </c>
      <c r="G280" s="52">
        <v>1.3879999999999999</v>
      </c>
      <c r="H280" s="53">
        <f>'Daily Halba'!$F280*'Daily Halba'!$G280</f>
        <v>2365.152</v>
      </c>
      <c r="I280" s="54">
        <f>'Daily Halba'!$C280+'Daily Halba'!$F280</f>
        <v>3789</v>
      </c>
      <c r="J280" s="55">
        <f>'Daily Halba'!$I280*'Daily Halba'!$G280</f>
        <v>5259.1319999999996</v>
      </c>
      <c r="K280" s="56">
        <f>'ODOMETERS Halba'!L276</f>
        <v>875</v>
      </c>
      <c r="L280" s="57">
        <v>1.1738999999999999</v>
      </c>
      <c r="M280" s="58">
        <f>'Daily Halba'!$K280*'Daily Halba'!$L280</f>
        <v>1027.1624999999999</v>
      </c>
      <c r="N280" s="71">
        <f>300/89.7</f>
        <v>3.3444816053511706</v>
      </c>
      <c r="O280" s="71">
        <f>400*4/89.7</f>
        <v>17.837235228539576</v>
      </c>
      <c r="P280" s="71">
        <v>30</v>
      </c>
      <c r="Q280" s="71">
        <v>6</v>
      </c>
      <c r="R280" s="71"/>
      <c r="S280" s="71">
        <f>5+230</f>
        <v>235</v>
      </c>
      <c r="T280" s="71">
        <f>(300+150+400+150+150)/89.7</f>
        <v>12.820512820512819</v>
      </c>
      <c r="U280" s="61">
        <f>SUM('Daily Halba'!$E280,'Daily Halba'!$H280,$M280:$T280)</f>
        <v>6591.2967296544039</v>
      </c>
      <c r="V280" s="22"/>
      <c r="W280" s="62">
        <f>25+28+264*1.1739+50+90+25+10+20+100+100+25</f>
        <v>782.90959999999995</v>
      </c>
      <c r="X280" s="62"/>
      <c r="Y280" s="62">
        <f>Table_2[[#This Row],[Benzine 1 P]]*(40+10+20+25+50+20+30+27+20+18)</f>
        <v>360.88</v>
      </c>
      <c r="Z280" s="62">
        <v>5</v>
      </c>
      <c r="AA280" s="72">
        <v>40</v>
      </c>
      <c r="AB280" s="73"/>
      <c r="AC280" s="73"/>
      <c r="AD280" s="73"/>
      <c r="AE280" s="86">
        <f t="shared" si="6"/>
        <v>40</v>
      </c>
      <c r="AF280" s="74"/>
      <c r="AG280" s="74"/>
      <c r="AH280" s="74"/>
      <c r="AI280" s="74">
        <v>8</v>
      </c>
      <c r="AJ280" s="74"/>
      <c r="AK280" s="74">
        <f>600/89.7</f>
        <v>6.6889632107023411</v>
      </c>
      <c r="AL280" s="74"/>
      <c r="AM280" s="74"/>
      <c r="AN280" s="87">
        <f t="shared" si="7"/>
        <v>14.68896321070234</v>
      </c>
      <c r="AO280" s="74"/>
      <c r="AP280" s="88">
        <f t="shared" si="8"/>
        <v>1203.4785632107023</v>
      </c>
      <c r="AQ280" s="75"/>
      <c r="AR280" s="22"/>
      <c r="AS280" s="70">
        <f>'Daily Halba'!$U280-'Daily Halba'!$AP280</f>
        <v>5387.8181664437016</v>
      </c>
      <c r="AT280" s="5"/>
      <c r="AU280" s="5"/>
      <c r="AV280" s="19"/>
    </row>
    <row r="281" spans="1:48" ht="12.75" customHeight="1" x14ac:dyDescent="0.3">
      <c r="A281" s="49">
        <v>46180</v>
      </c>
      <c r="B281" s="82"/>
      <c r="C281" s="51">
        <f>'ODOMETERS Halba'!J277</f>
        <v>2249</v>
      </c>
      <c r="D281" s="52">
        <v>1.3879999999999999</v>
      </c>
      <c r="E281" s="53">
        <f>'Daily Halba'!$C281*'Daily Halba'!$D281</f>
        <v>3121.6119999999996</v>
      </c>
      <c r="F281" s="54">
        <f>'ODOMETERS Halba'!K277</f>
        <v>1729</v>
      </c>
      <c r="G281" s="52">
        <v>1.3879999999999999</v>
      </c>
      <c r="H281" s="53">
        <f>'Daily Halba'!$F281*'Daily Halba'!$G281</f>
        <v>2399.8519999999999</v>
      </c>
      <c r="I281" s="54">
        <f>'Daily Halba'!$C281+'Daily Halba'!$F281</f>
        <v>3978</v>
      </c>
      <c r="J281" s="55">
        <f>'Daily Halba'!$I281*'Daily Halba'!$G281</f>
        <v>5521.4639999999999</v>
      </c>
      <c r="K281" s="56">
        <f>'ODOMETERS Halba'!L277</f>
        <v>379</v>
      </c>
      <c r="L281" s="57">
        <v>1.1738999999999999</v>
      </c>
      <c r="M281" s="58">
        <f>'Daily Halba'!$K281*'Daily Halba'!$L281</f>
        <v>444.90809999999999</v>
      </c>
      <c r="N281" s="71">
        <f>8+150/89.7</f>
        <v>9.6722408026755851</v>
      </c>
      <c r="O281" s="71">
        <f>(400+400+400+400+400+400)/89.7</f>
        <v>26.755852842809364</v>
      </c>
      <c r="P281" s="71"/>
      <c r="Q281" s="71"/>
      <c r="R281" s="71"/>
      <c r="S281" s="71">
        <v>135</v>
      </c>
      <c r="T281" s="71">
        <f>(150+150+250+150+100)/89.7</f>
        <v>8.9186176142697882</v>
      </c>
      <c r="U281" s="61">
        <f>SUM('Daily Halba'!$E281,'Daily Halba'!$H281,$M281:$T281)</f>
        <v>6146.7188112597532</v>
      </c>
      <c r="V281" s="22"/>
      <c r="W281" s="62">
        <f>50+1200/89.7+50+15+109+50+11+15</f>
        <v>313.37792642140471</v>
      </c>
      <c r="X281" s="62"/>
      <c r="Y281" s="62">
        <f>(18+20+20+30+18+30+20+10)*1.388</f>
        <v>230.40799999999999</v>
      </c>
      <c r="Z281" s="62">
        <v>13</v>
      </c>
      <c r="AA281" s="63"/>
      <c r="AB281" s="64"/>
      <c r="AC281" s="64"/>
      <c r="AD281" s="64"/>
      <c r="AE281" s="65">
        <f t="shared" si="6"/>
        <v>0</v>
      </c>
      <c r="AF281" s="66"/>
      <c r="AG281" s="66"/>
      <c r="AH281" s="66"/>
      <c r="AI281" s="66"/>
      <c r="AJ281" s="66">
        <v>320</v>
      </c>
      <c r="AK281" s="66"/>
      <c r="AL281" s="66"/>
      <c r="AM281" s="66"/>
      <c r="AN281" s="67">
        <f t="shared" si="7"/>
        <v>320</v>
      </c>
      <c r="AO281" s="66"/>
      <c r="AP281" s="68">
        <f t="shared" si="8"/>
        <v>876.78592642140472</v>
      </c>
      <c r="AQ281" s="69"/>
      <c r="AR281" s="22"/>
      <c r="AS281" s="70">
        <f>'Daily Halba'!$U281-'Daily Halba'!$AP281</f>
        <v>5269.9328848383484</v>
      </c>
      <c r="AT281" s="5"/>
      <c r="AU281" s="5"/>
      <c r="AV281" s="19"/>
    </row>
    <row r="282" spans="1:48" ht="12.75" customHeight="1" x14ac:dyDescent="0.3">
      <c r="A282" s="49">
        <v>46181</v>
      </c>
      <c r="B282" s="82"/>
      <c r="C282" s="51">
        <f>'ODOMETERS Halba'!J278</f>
        <v>2430</v>
      </c>
      <c r="D282" s="52">
        <v>1.3879999999999999</v>
      </c>
      <c r="E282" s="53">
        <f>'Daily Halba'!$C282*'Daily Halba'!$D282</f>
        <v>3372.8399999999997</v>
      </c>
      <c r="F282" s="54">
        <f>'ODOMETERS Halba'!K278</f>
        <v>1690</v>
      </c>
      <c r="G282" s="52">
        <v>1.3879999999999999</v>
      </c>
      <c r="H282" s="53">
        <f>'Daily Halba'!$F282*'Daily Halba'!$G282</f>
        <v>2345.7199999999998</v>
      </c>
      <c r="I282" s="54">
        <f>'Daily Halba'!$C282+'Daily Halba'!$F282</f>
        <v>4120</v>
      </c>
      <c r="J282" s="55">
        <f>'Daily Halba'!$I282*'Daily Halba'!$G282</f>
        <v>5718.5599999999995</v>
      </c>
      <c r="K282" s="56">
        <f>'ODOMETERS Halba'!L278</f>
        <v>1168</v>
      </c>
      <c r="L282" s="57">
        <v>1.1738999999999999</v>
      </c>
      <c r="M282" s="58">
        <f>'Daily Halba'!$K282*'Daily Halba'!$L282</f>
        <v>1371.1152</v>
      </c>
      <c r="N282" s="71">
        <v>58.9</v>
      </c>
      <c r="O282" s="71">
        <v>17</v>
      </c>
      <c r="P282" s="71">
        <v>15</v>
      </c>
      <c r="Q282" s="71"/>
      <c r="R282" s="71"/>
      <c r="S282" s="71">
        <v>133</v>
      </c>
      <c r="T282" s="71">
        <v>10</v>
      </c>
      <c r="U282" s="61">
        <f>SUM('Daily Halba'!$E282,'Daily Halba'!$H282,$M282:$T282)</f>
        <v>7323.5751999999993</v>
      </c>
      <c r="V282" s="22"/>
      <c r="W282" s="62">
        <f>383+470+36</f>
        <v>889</v>
      </c>
      <c r="X282" s="62"/>
      <c r="Y282" s="62">
        <v>232</v>
      </c>
      <c r="Z282" s="62"/>
      <c r="AA282" s="72"/>
      <c r="AB282" s="73"/>
      <c r="AC282" s="73"/>
      <c r="AD282" s="73"/>
      <c r="AE282" s="86">
        <f t="shared" si="6"/>
        <v>0</v>
      </c>
      <c r="AF282" s="74"/>
      <c r="AG282" s="74"/>
      <c r="AH282" s="74"/>
      <c r="AI282" s="74"/>
      <c r="AJ282" s="74"/>
      <c r="AK282" s="74"/>
      <c r="AL282" s="74"/>
      <c r="AM282" s="74"/>
      <c r="AN282" s="87">
        <f t="shared" si="7"/>
        <v>0</v>
      </c>
      <c r="AO282" s="74"/>
      <c r="AP282" s="88">
        <f t="shared" si="8"/>
        <v>1121</v>
      </c>
      <c r="AQ282" s="75"/>
      <c r="AR282" s="22"/>
      <c r="AS282" s="70">
        <f>'Daily Halba'!$U282-'Daily Halba'!$AP282</f>
        <v>6202.5751999999993</v>
      </c>
      <c r="AT282" s="5"/>
      <c r="AU282" s="5"/>
      <c r="AV282" s="5"/>
    </row>
    <row r="283" spans="1:48" ht="12.75" customHeight="1" x14ac:dyDescent="0.3">
      <c r="A283" s="49">
        <v>46182</v>
      </c>
      <c r="B283" s="82" t="s">
        <v>24</v>
      </c>
      <c r="C283" s="51">
        <f>'ODOMETERS Halba'!J279</f>
        <v>1201</v>
      </c>
      <c r="D283" s="52">
        <v>1.3879999999999999</v>
      </c>
      <c r="E283" s="53">
        <f>'Daily Halba'!$C283*'Daily Halba'!$D283</f>
        <v>1666.9879999999998</v>
      </c>
      <c r="F283" s="54">
        <f>'ODOMETERS Halba'!K279</f>
        <v>565</v>
      </c>
      <c r="G283" s="52">
        <v>1.3879999999999999</v>
      </c>
      <c r="H283" s="53">
        <f>'Daily Halba'!$F283*'Daily Halba'!$G283</f>
        <v>784.21999999999991</v>
      </c>
      <c r="I283" s="54">
        <f>'Daily Halba'!$C283+'Daily Halba'!$F283</f>
        <v>1766</v>
      </c>
      <c r="J283" s="55">
        <f>'Daily Halba'!$I283*'Daily Halba'!$G283</f>
        <v>2451.2079999999996</v>
      </c>
      <c r="K283" s="56">
        <f>'ODOMETERS Halba'!L279</f>
        <v>315</v>
      </c>
      <c r="L283" s="57">
        <v>1.1738999999999999</v>
      </c>
      <c r="M283" s="58">
        <f>'Daily Halba'!$K283*'Daily Halba'!$L283</f>
        <v>369.77850000000001</v>
      </c>
      <c r="N283" s="71">
        <v>15</v>
      </c>
      <c r="O283" s="71">
        <v>4</v>
      </c>
      <c r="P283" s="71">
        <v>30</v>
      </c>
      <c r="Q283" s="71"/>
      <c r="R283" s="71"/>
      <c r="S283" s="71">
        <v>235</v>
      </c>
      <c r="T283" s="71">
        <v>5</v>
      </c>
      <c r="U283" s="61">
        <f>SUM('Daily Halba'!$E283,'Daily Halba'!$H283,$M283:$T283)</f>
        <v>3109.9864999999995</v>
      </c>
      <c r="V283" s="22"/>
      <c r="W283" s="62">
        <v>308</v>
      </c>
      <c r="X283" s="62"/>
      <c r="Y283" s="62">
        <v>96</v>
      </c>
      <c r="Z283" s="62"/>
      <c r="AA283" s="63"/>
      <c r="AB283" s="64"/>
      <c r="AC283" s="64"/>
      <c r="AD283" s="64"/>
      <c r="AE283" s="65">
        <f t="shared" si="6"/>
        <v>0</v>
      </c>
      <c r="AF283" s="66"/>
      <c r="AG283" s="66"/>
      <c r="AH283" s="66"/>
      <c r="AI283" s="66"/>
      <c r="AJ283" s="66"/>
      <c r="AK283" s="66"/>
      <c r="AL283" s="66"/>
      <c r="AM283" s="66"/>
      <c r="AN283" s="67">
        <f t="shared" si="7"/>
        <v>0</v>
      </c>
      <c r="AO283" s="66"/>
      <c r="AP283" s="68">
        <f t="shared" si="8"/>
        <v>404</v>
      </c>
      <c r="AQ283" s="69"/>
      <c r="AR283" s="22"/>
      <c r="AS283" s="70">
        <f>'Daily Halba'!$U283-'Daily Halba'!$AP283</f>
        <v>2705.9864999999995</v>
      </c>
      <c r="AT283" s="5"/>
      <c r="AU283" s="5"/>
      <c r="AV283" s="5"/>
    </row>
    <row r="284" spans="1:48" ht="12.75" customHeight="1" x14ac:dyDescent="0.3">
      <c r="A284" s="49">
        <v>46182</v>
      </c>
      <c r="B284" s="82" t="s">
        <v>25</v>
      </c>
      <c r="C284" s="51">
        <f>'ODOMETERS Halba'!J280</f>
        <v>876</v>
      </c>
      <c r="D284" s="52">
        <v>1.3651</v>
      </c>
      <c r="E284" s="53">
        <f>'Daily Halba'!$C284*'Daily Halba'!$D284</f>
        <v>1195.8276000000001</v>
      </c>
      <c r="F284" s="54">
        <f>'ODOMETERS Halba'!K280</f>
        <v>793</v>
      </c>
      <c r="G284" s="52">
        <v>1.3651</v>
      </c>
      <c r="H284" s="53">
        <f>'Daily Halba'!$F284*'Daily Halba'!$G284</f>
        <v>1082.5243</v>
      </c>
      <c r="I284" s="54">
        <f>'Daily Halba'!$C284+'Daily Halba'!$F284</f>
        <v>1669</v>
      </c>
      <c r="J284" s="55">
        <f>'Daily Halba'!$I284*'Daily Halba'!$G284</f>
        <v>2278.3519000000001</v>
      </c>
      <c r="K284" s="56">
        <f>'ODOMETERS Halba'!L280</f>
        <v>708</v>
      </c>
      <c r="L284" s="57">
        <v>1.1599999999999999</v>
      </c>
      <c r="M284" s="58">
        <f>'Daily Halba'!$K284*'Daily Halba'!$L284</f>
        <v>821.28</v>
      </c>
      <c r="N284" s="71">
        <v>3</v>
      </c>
      <c r="O284" s="71">
        <v>31</v>
      </c>
      <c r="P284" s="71"/>
      <c r="Q284" s="71"/>
      <c r="R284" s="71"/>
      <c r="S284" s="71">
        <v>10190</v>
      </c>
      <c r="T284" s="71">
        <v>6</v>
      </c>
      <c r="U284" s="61">
        <f>SUM('Daily Halba'!$E284,'Daily Halba'!$H284,$M284:$T284)</f>
        <v>13329.6319</v>
      </c>
      <c r="V284" s="22"/>
      <c r="W284" s="62">
        <f>390+406</f>
        <v>796</v>
      </c>
      <c r="X284" s="62"/>
      <c r="Y284" s="62">
        <v>135</v>
      </c>
      <c r="Z284" s="62"/>
      <c r="AA284" s="72"/>
      <c r="AB284" s="73"/>
      <c r="AC284" s="73"/>
      <c r="AD284" s="73"/>
      <c r="AE284" s="86">
        <f t="shared" si="6"/>
        <v>0</v>
      </c>
      <c r="AF284" s="74"/>
      <c r="AG284" s="74"/>
      <c r="AH284" s="74"/>
      <c r="AI284" s="74"/>
      <c r="AJ284" s="74"/>
      <c r="AK284" s="74"/>
      <c r="AL284" s="74"/>
      <c r="AM284" s="74"/>
      <c r="AN284" s="87">
        <f t="shared" si="7"/>
        <v>0</v>
      </c>
      <c r="AO284" s="74"/>
      <c r="AP284" s="88">
        <f t="shared" si="8"/>
        <v>931</v>
      </c>
      <c r="AQ284" s="75"/>
      <c r="AR284" s="22"/>
      <c r="AS284" s="70">
        <f>'Daily Halba'!$U284-'Daily Halba'!$AP284</f>
        <v>12398.6319</v>
      </c>
      <c r="AT284" s="5"/>
      <c r="AU284" s="5"/>
      <c r="AV284" s="5"/>
    </row>
    <row r="285" spans="1:48" ht="12.75" customHeight="1" x14ac:dyDescent="0.3">
      <c r="A285" s="49">
        <v>46183</v>
      </c>
      <c r="B285" s="82"/>
      <c r="C285" s="51">
        <f>'ODOMETERS Halba'!J281</f>
        <v>2012</v>
      </c>
      <c r="D285" s="52">
        <v>1.3651</v>
      </c>
      <c r="E285" s="53">
        <f>'Daily Halba'!$C285*'Daily Halba'!$D285</f>
        <v>2746.5812000000001</v>
      </c>
      <c r="F285" s="54">
        <f>'ODOMETERS Halba'!K281</f>
        <v>1713</v>
      </c>
      <c r="G285" s="52">
        <v>1.3651</v>
      </c>
      <c r="H285" s="53">
        <f>'Daily Halba'!$F285*'Daily Halba'!$G285</f>
        <v>2338.4162999999999</v>
      </c>
      <c r="I285" s="54">
        <f>'Daily Halba'!$C285+'Daily Halba'!$F285</f>
        <v>3725</v>
      </c>
      <c r="J285" s="55">
        <f>'Daily Halba'!$I285*'Daily Halba'!$G285</f>
        <v>5084.9974999999995</v>
      </c>
      <c r="K285" s="56">
        <f>'ODOMETERS Halba'!L281</f>
        <v>721</v>
      </c>
      <c r="L285" s="57">
        <v>1.1599999999999999</v>
      </c>
      <c r="M285" s="58">
        <f>'Daily Halba'!$K285*'Daily Halba'!$L285</f>
        <v>836.3599999999999</v>
      </c>
      <c r="N285" s="71">
        <f>4+300/89.7+4+4+21+15</f>
        <v>51.34448160535117</v>
      </c>
      <c r="O285" s="71">
        <f>(200+400+400+400+400+400+400+400)/89.7</f>
        <v>33.444816053511701</v>
      </c>
      <c r="P285" s="71">
        <f>14*3</f>
        <v>42</v>
      </c>
      <c r="Q285" s="71"/>
      <c r="R285" s="71"/>
      <c r="S285" s="71">
        <f>28+162</f>
        <v>190</v>
      </c>
      <c r="T285" s="71">
        <f>(100+250+150+250+150+250+250+150+150)/89.7</f>
        <v>18.952062430323299</v>
      </c>
      <c r="U285" s="61">
        <f>SUM('Daily Halba'!$E285,'Daily Halba'!$H285,$M285:$T285)</f>
        <v>6257.098860089186</v>
      </c>
      <c r="V285" s="22"/>
      <c r="W285" s="62">
        <f>10+125+90+30+30+15+20+15+5+20+40+40+40+290</f>
        <v>770</v>
      </c>
      <c r="X285" s="62"/>
      <c r="Y285" s="62">
        <f>(20+10+30+20+20+30+30+20+30)*1.3651</f>
        <v>286.67099999999999</v>
      </c>
      <c r="Z285" s="62"/>
      <c r="AA285" s="63"/>
      <c r="AB285" s="64"/>
      <c r="AC285" s="64"/>
      <c r="AD285" s="64"/>
      <c r="AE285" s="65">
        <f t="shared" si="6"/>
        <v>0</v>
      </c>
      <c r="AF285" s="66"/>
      <c r="AG285" s="66">
        <v>100</v>
      </c>
      <c r="AH285" s="66"/>
      <c r="AI285" s="66">
        <v>8</v>
      </c>
      <c r="AJ285" s="66"/>
      <c r="AK285" s="66"/>
      <c r="AL285" s="66"/>
      <c r="AM285" s="66"/>
      <c r="AN285" s="67">
        <f t="shared" si="7"/>
        <v>108</v>
      </c>
      <c r="AO285" s="66"/>
      <c r="AP285" s="68">
        <f t="shared" si="8"/>
        <v>1164.671</v>
      </c>
      <c r="AQ285" s="69"/>
      <c r="AR285" s="22"/>
      <c r="AS285" s="70">
        <f>'Daily Halba'!$U285-'Daily Halba'!$AP285</f>
        <v>5092.4278600891857</v>
      </c>
      <c r="AT285" s="5"/>
      <c r="AU285" s="5"/>
      <c r="AV285" s="19"/>
    </row>
    <row r="286" spans="1:48" ht="12.75" customHeight="1" x14ac:dyDescent="0.3">
      <c r="A286" s="49">
        <v>46184</v>
      </c>
      <c r="B286" s="82"/>
      <c r="C286" s="51">
        <f>'ODOMETERS Halba'!J282</f>
        <v>1802</v>
      </c>
      <c r="D286" s="52">
        <v>1.3651</v>
      </c>
      <c r="E286" s="53">
        <f>'Daily Halba'!$C286*'Daily Halba'!$D286</f>
        <v>2459.9101999999998</v>
      </c>
      <c r="F286" s="54">
        <f>'ODOMETERS Halba'!K282</f>
        <v>1780</v>
      </c>
      <c r="G286" s="52">
        <v>1.3651</v>
      </c>
      <c r="H286" s="53">
        <f>'Daily Halba'!$F286*'Daily Halba'!$G286</f>
        <v>2429.8780000000002</v>
      </c>
      <c r="I286" s="54">
        <f>'Daily Halba'!$C286+'Daily Halba'!$F286</f>
        <v>3582</v>
      </c>
      <c r="J286" s="55">
        <f>'Daily Halba'!$I286*'Daily Halba'!$G286</f>
        <v>4889.7882</v>
      </c>
      <c r="K286" s="56">
        <f>'ODOMETERS Halba'!L282</f>
        <v>2136</v>
      </c>
      <c r="L286" s="57">
        <v>1.1599999999999999</v>
      </c>
      <c r="M286" s="58">
        <f>'Daily Halba'!$K286*'Daily Halba'!$L286</f>
        <v>2477.7599999999998</v>
      </c>
      <c r="N286" s="71">
        <v>10</v>
      </c>
      <c r="O286" s="71">
        <v>31</v>
      </c>
      <c r="P286" s="71"/>
      <c r="Q286" s="71"/>
      <c r="R286" s="71"/>
      <c r="S286" s="71">
        <v>1852</v>
      </c>
      <c r="T286" s="71">
        <v>13</v>
      </c>
      <c r="U286" s="61">
        <f>SUM('Daily Halba'!$E286,'Daily Halba'!$H286,$M286:$T286)</f>
        <v>9273.5481999999993</v>
      </c>
      <c r="V286" s="22"/>
      <c r="W286" s="62">
        <f>464+1856</f>
        <v>2320</v>
      </c>
      <c r="X286" s="62"/>
      <c r="Y286" s="62">
        <v>273</v>
      </c>
      <c r="Z286" s="62">
        <v>1</v>
      </c>
      <c r="AA286" s="72"/>
      <c r="AB286" s="73"/>
      <c r="AC286" s="73"/>
      <c r="AD286" s="73"/>
      <c r="AE286" s="86">
        <f t="shared" si="6"/>
        <v>0</v>
      </c>
      <c r="AF286" s="74"/>
      <c r="AG286" s="74"/>
      <c r="AH286" s="74"/>
      <c r="AI286" s="74"/>
      <c r="AJ286" s="74"/>
      <c r="AK286" s="74"/>
      <c r="AL286" s="74"/>
      <c r="AM286" s="74"/>
      <c r="AN286" s="87">
        <f t="shared" si="7"/>
        <v>0</v>
      </c>
      <c r="AO286" s="74"/>
      <c r="AP286" s="88">
        <f t="shared" si="8"/>
        <v>2594</v>
      </c>
      <c r="AQ286" s="75"/>
      <c r="AR286" s="22"/>
      <c r="AS286" s="70">
        <f>'Daily Halba'!$U286-'Daily Halba'!$AP286</f>
        <v>6679.5481999999993</v>
      </c>
      <c r="AT286" s="5"/>
      <c r="AU286" s="5"/>
      <c r="AV286" s="5"/>
    </row>
    <row r="287" spans="1:48" ht="12.75" customHeight="1" x14ac:dyDescent="0.3">
      <c r="A287" s="49">
        <v>46185</v>
      </c>
      <c r="B287" s="82" t="s">
        <v>24</v>
      </c>
      <c r="C287" s="51">
        <f>'ODOMETERS Halba'!J283</f>
        <v>1249</v>
      </c>
      <c r="D287" s="52">
        <v>1.3651</v>
      </c>
      <c r="E287" s="53">
        <f>'Daily Halba'!$C287*'Daily Halba'!$D287</f>
        <v>1705.0099</v>
      </c>
      <c r="F287" s="54">
        <f>'ODOMETERS Halba'!K283</f>
        <v>890</v>
      </c>
      <c r="G287" s="52">
        <v>1.3651</v>
      </c>
      <c r="H287" s="53">
        <f>'Daily Halba'!$F287*'Daily Halba'!$G287</f>
        <v>1214.9390000000001</v>
      </c>
      <c r="I287" s="54">
        <f>'Daily Halba'!$C287+'Daily Halba'!$F287</f>
        <v>2139</v>
      </c>
      <c r="J287" s="55">
        <f>'Daily Halba'!$I287*'Daily Halba'!$G287</f>
        <v>2919.9488999999999</v>
      </c>
      <c r="K287" s="56">
        <f>'ODOMETERS Halba'!L283</f>
        <v>182</v>
      </c>
      <c r="L287" s="57">
        <v>1.1599999999999999</v>
      </c>
      <c r="M287" s="58">
        <f>'Daily Halba'!$K287*'Daily Halba'!$L287</f>
        <v>211.11999999999998</v>
      </c>
      <c r="N287" s="71">
        <v>4</v>
      </c>
      <c r="O287" s="71">
        <v>3</v>
      </c>
      <c r="P287" s="71"/>
      <c r="Q287" s="71"/>
      <c r="R287" s="71"/>
      <c r="S287" s="71">
        <v>250</v>
      </c>
      <c r="T287" s="71">
        <v>8</v>
      </c>
      <c r="U287" s="61">
        <f>SUM('Daily Halba'!$E287,'Daily Halba'!$H287,$M287:$T287)</f>
        <v>3396.0689000000002</v>
      </c>
      <c r="V287" s="22"/>
      <c r="W287" s="62">
        <f>123+683</f>
        <v>806</v>
      </c>
      <c r="X287" s="62"/>
      <c r="Y287" s="62">
        <v>136.5</v>
      </c>
      <c r="Z287" s="62"/>
      <c r="AA287" s="63"/>
      <c r="AB287" s="64"/>
      <c r="AC287" s="64"/>
      <c r="AD287" s="64"/>
      <c r="AE287" s="65">
        <f t="shared" si="6"/>
        <v>0</v>
      </c>
      <c r="AF287" s="66"/>
      <c r="AG287" s="66"/>
      <c r="AH287" s="66"/>
      <c r="AI287" s="66"/>
      <c r="AJ287" s="66"/>
      <c r="AK287" s="66"/>
      <c r="AL287" s="66"/>
      <c r="AM287" s="66"/>
      <c r="AN287" s="67">
        <f t="shared" si="7"/>
        <v>0</v>
      </c>
      <c r="AO287" s="66"/>
      <c r="AP287" s="68">
        <f t="shared" si="8"/>
        <v>942.5</v>
      </c>
      <c r="AQ287" s="69"/>
      <c r="AR287" s="22"/>
      <c r="AS287" s="70">
        <f>'Daily Halba'!$U287-'Daily Halba'!$AP287</f>
        <v>2453.5689000000002</v>
      </c>
      <c r="AT287" s="5"/>
      <c r="AU287" s="5"/>
      <c r="AV287" s="5"/>
    </row>
    <row r="288" spans="1:48" ht="12.75" customHeight="1" x14ac:dyDescent="0.3">
      <c r="A288" s="49">
        <v>46185</v>
      </c>
      <c r="B288" s="82" t="s">
        <v>25</v>
      </c>
      <c r="C288" s="51">
        <f>'ODOMETERS Halba'!J284</f>
        <v>1082</v>
      </c>
      <c r="D288" s="52">
        <v>1.3278000000000001</v>
      </c>
      <c r="E288" s="53">
        <f>'Daily Halba'!$C288*'Daily Halba'!$D288</f>
        <v>1436.6796000000002</v>
      </c>
      <c r="F288" s="54">
        <f>'ODOMETERS Halba'!K284</f>
        <v>501</v>
      </c>
      <c r="G288" s="52">
        <v>1.3278000000000001</v>
      </c>
      <c r="H288" s="53">
        <f>'Daily Halba'!$F288*'Daily Halba'!$G288</f>
        <v>665.2278</v>
      </c>
      <c r="I288" s="54">
        <f>'Daily Halba'!$C288+'Daily Halba'!$F288</f>
        <v>1583</v>
      </c>
      <c r="J288" s="55">
        <f>'Daily Halba'!$I288*'Daily Halba'!$G288</f>
        <v>2101.9074000000001</v>
      </c>
      <c r="K288" s="56">
        <f>'ODOMETERS Halba'!L284</f>
        <v>1492</v>
      </c>
      <c r="L288" s="57">
        <v>1.1337999999999999</v>
      </c>
      <c r="M288" s="58">
        <f>'Daily Halba'!$K288*'Daily Halba'!$L288</f>
        <v>1691.6296</v>
      </c>
      <c r="N288" s="71">
        <v>35</v>
      </c>
      <c r="O288" s="71">
        <v>9</v>
      </c>
      <c r="P288" s="71"/>
      <c r="Q288" s="71"/>
      <c r="R288" s="71"/>
      <c r="S288" s="71">
        <v>35</v>
      </c>
      <c r="T288" s="71">
        <v>7.5</v>
      </c>
      <c r="U288" s="61">
        <f>SUM('Daily Halba'!$E288,'Daily Halba'!$H288,$M288:$T288)</f>
        <v>3880.0370000000003</v>
      </c>
      <c r="V288" s="22"/>
      <c r="W288" s="62">
        <f>176+1338</f>
        <v>1514</v>
      </c>
      <c r="X288" s="62"/>
      <c r="Y288" s="62">
        <v>136</v>
      </c>
      <c r="Z288" s="62">
        <v>62</v>
      </c>
      <c r="AA288" s="72"/>
      <c r="AB288" s="73"/>
      <c r="AC288" s="73"/>
      <c r="AD288" s="73"/>
      <c r="AE288" s="86">
        <f t="shared" si="6"/>
        <v>0</v>
      </c>
      <c r="AF288" s="74"/>
      <c r="AG288" s="74"/>
      <c r="AH288" s="74"/>
      <c r="AI288" s="74"/>
      <c r="AJ288" s="74"/>
      <c r="AK288" s="74"/>
      <c r="AL288" s="74"/>
      <c r="AM288" s="74"/>
      <c r="AN288" s="87">
        <f t="shared" si="7"/>
        <v>0</v>
      </c>
      <c r="AO288" s="74"/>
      <c r="AP288" s="88">
        <f t="shared" si="8"/>
        <v>1712</v>
      </c>
      <c r="AQ288" s="75"/>
      <c r="AR288" s="22"/>
      <c r="AS288" s="70">
        <f>'Daily Halba'!$U288-'Daily Halba'!$AP288</f>
        <v>2168.0370000000003</v>
      </c>
      <c r="AT288" s="5"/>
      <c r="AU288" s="5"/>
      <c r="AV288" s="5"/>
    </row>
    <row r="289" spans="1:48" ht="12.75" customHeight="1" x14ac:dyDescent="0.3">
      <c r="A289" s="49">
        <v>46186</v>
      </c>
      <c r="B289" s="82"/>
      <c r="C289" s="51">
        <f>'ODOMETERS Halba'!J285</f>
        <v>2667</v>
      </c>
      <c r="D289" s="52">
        <v>1.3278000000000001</v>
      </c>
      <c r="E289" s="53">
        <f>'Daily Halba'!$C289*'Daily Halba'!$D289</f>
        <v>3541.2426</v>
      </c>
      <c r="F289" s="54">
        <f>'ODOMETERS Halba'!K285</f>
        <v>1689</v>
      </c>
      <c r="G289" s="52">
        <v>1.3278000000000001</v>
      </c>
      <c r="H289" s="53">
        <f>'Daily Halba'!$F289*'Daily Halba'!$G289</f>
        <v>2242.6541999999999</v>
      </c>
      <c r="I289" s="54">
        <f>'Daily Halba'!$C289+'Daily Halba'!$F289</f>
        <v>4356</v>
      </c>
      <c r="J289" s="55">
        <f>'Daily Halba'!$I289*'Daily Halba'!$G289</f>
        <v>5783.8968000000004</v>
      </c>
      <c r="K289" s="56">
        <f>'ODOMETERS Halba'!L285</f>
        <v>633</v>
      </c>
      <c r="L289" s="57">
        <v>1.1337999999999999</v>
      </c>
      <c r="M289" s="58">
        <f>'Daily Halba'!$K289*'Daily Halba'!$L289</f>
        <v>717.69539999999995</v>
      </c>
      <c r="N289" s="71">
        <f>350/89.7+7+7</f>
        <v>17.901895206243033</v>
      </c>
      <c r="O289" s="71">
        <f>(800+800+800)/89.7+10</f>
        <v>36.755852842809361</v>
      </c>
      <c r="P289" s="71">
        <v>30</v>
      </c>
      <c r="Q289" s="71">
        <v>6</v>
      </c>
      <c r="R289" s="71"/>
      <c r="S289" s="71">
        <f>135+15+100+243</f>
        <v>493</v>
      </c>
      <c r="T289" s="71">
        <f>(150+300+225+150+150+250+150+300+150+150)/89.7</f>
        <v>22.017837235228537</v>
      </c>
      <c r="U289" s="61">
        <f>SUM('Daily Halba'!$E289,'Daily Halba'!$H289,$M289:$T289)</f>
        <v>7107.2677852842808</v>
      </c>
      <c r="V289" s="22"/>
      <c r="W289" s="62">
        <f>10+60+200*1.1338+10+30+20+15+30+80+350</f>
        <v>831.76</v>
      </c>
      <c r="X289" s="62"/>
      <c r="Y289" s="62">
        <f>(20+40+18+27+30+20+20+30+9+20+20+20+40)*1.3278</f>
        <v>416.92920000000004</v>
      </c>
      <c r="Z289" s="62">
        <v>-15</v>
      </c>
      <c r="AA289" s="63"/>
      <c r="AB289" s="64"/>
      <c r="AC289" s="64"/>
      <c r="AD289" s="64"/>
      <c r="AE289" s="65">
        <f t="shared" si="6"/>
        <v>0</v>
      </c>
      <c r="AF289" s="66"/>
      <c r="AG289" s="66"/>
      <c r="AH289" s="66"/>
      <c r="AI289" s="66">
        <v>8</v>
      </c>
      <c r="AJ289" s="66"/>
      <c r="AK289" s="66"/>
      <c r="AL289" s="66"/>
      <c r="AM289" s="66"/>
      <c r="AN289" s="67">
        <f t="shared" si="7"/>
        <v>8</v>
      </c>
      <c r="AO289" s="66"/>
      <c r="AP289" s="68">
        <f t="shared" si="8"/>
        <v>1241.6892</v>
      </c>
      <c r="AQ289" s="69"/>
      <c r="AR289" s="22"/>
      <c r="AS289" s="70">
        <f>'Daily Halba'!$U289-'Daily Halba'!$AP289</f>
        <v>5865.578585284281</v>
      </c>
      <c r="AT289" s="5"/>
      <c r="AU289" s="5"/>
      <c r="AV289" s="19"/>
    </row>
    <row r="290" spans="1:48" ht="12.75" customHeight="1" x14ac:dyDescent="0.3">
      <c r="A290" s="49">
        <v>46187</v>
      </c>
      <c r="B290" s="82"/>
      <c r="C290" s="51">
        <f>'ODOMETERS Halba'!J286</f>
        <v>4710</v>
      </c>
      <c r="D290" s="52">
        <v>1.3278000000000001</v>
      </c>
      <c r="E290" s="53">
        <f>'Daily Halba'!$C290*'Daily Halba'!$D290</f>
        <v>6253.9380000000001</v>
      </c>
      <c r="F290" s="54">
        <f>'ODOMETERS Halba'!K286</f>
        <v>2729</v>
      </c>
      <c r="G290" s="52">
        <v>1.3278000000000001</v>
      </c>
      <c r="H290" s="53">
        <f>'Daily Halba'!$F290*'Daily Halba'!$G290</f>
        <v>3623.5662000000002</v>
      </c>
      <c r="I290" s="54">
        <f>'Daily Halba'!$C290+'Daily Halba'!$F290</f>
        <v>7439</v>
      </c>
      <c r="J290" s="55">
        <f>'Daily Halba'!$I290*'Daily Halba'!$G290</f>
        <v>9877.5042000000012</v>
      </c>
      <c r="K290" s="56">
        <f>'ODOMETERS Halba'!L286</f>
        <v>694</v>
      </c>
      <c r="L290" s="57">
        <v>1.1337999999999999</v>
      </c>
      <c r="M290" s="58">
        <f>'Daily Halba'!$K290*'Daily Halba'!$L290</f>
        <v>786.85719999999992</v>
      </c>
      <c r="N290" s="71">
        <f>7</f>
        <v>7</v>
      </c>
      <c r="O290" s="71">
        <f>1400/89.7+5</f>
        <v>20.607580824972128</v>
      </c>
      <c r="P290" s="71">
        <v>30</v>
      </c>
      <c r="Q290" s="71"/>
      <c r="R290" s="71"/>
      <c r="S290" s="71"/>
      <c r="T290" s="71">
        <f>825/89.7</f>
        <v>9.1973244147157196</v>
      </c>
      <c r="U290" s="61">
        <f>SUM('Daily Halba'!$E290,'Daily Halba'!$H290,$M290:$T290)</f>
        <v>10731.166305239687</v>
      </c>
      <c r="V290" s="22"/>
      <c r="W290" s="62">
        <f>215+20+50+1200/89.7+25+2000*1.3278+9+60+300+10+20+30</f>
        <v>3407.9779264214048</v>
      </c>
      <c r="X290" s="62">
        <f>1500*1.3278</f>
        <v>1991.7</v>
      </c>
      <c r="Y290" s="62">
        <f>(18+20+10+20+20+40+27)*1.3278</f>
        <v>205.80900000000003</v>
      </c>
      <c r="Z290" s="62">
        <v>5</v>
      </c>
      <c r="AA290" s="72"/>
      <c r="AB290" s="73"/>
      <c r="AC290" s="73"/>
      <c r="AD290" s="73"/>
      <c r="AE290" s="86">
        <f t="shared" si="6"/>
        <v>0</v>
      </c>
      <c r="AF290" s="74"/>
      <c r="AG290" s="74"/>
      <c r="AH290" s="74"/>
      <c r="AI290" s="74">
        <f>25+8</f>
        <v>33</v>
      </c>
      <c r="AJ290" s="74"/>
      <c r="AK290" s="74"/>
      <c r="AL290" s="74"/>
      <c r="AM290" s="74"/>
      <c r="AN290" s="87">
        <f t="shared" si="7"/>
        <v>33</v>
      </c>
      <c r="AO290" s="74">
        <v>2500</v>
      </c>
      <c r="AP290" s="88">
        <f t="shared" si="8"/>
        <v>8143.4869264214049</v>
      </c>
      <c r="AQ290" s="75"/>
      <c r="AR290" s="22"/>
      <c r="AS290" s="70">
        <f>'Daily Halba'!$U290-'Daily Halba'!$AP290</f>
        <v>2587.6793788182822</v>
      </c>
      <c r="AT290" s="5"/>
      <c r="AU290" s="5"/>
      <c r="AV290" s="19"/>
    </row>
    <row r="291" spans="1:48" ht="12.75" customHeight="1" x14ac:dyDescent="0.3">
      <c r="A291" s="49">
        <v>46188</v>
      </c>
      <c r="B291" s="82" t="s">
        <v>24</v>
      </c>
      <c r="C291" s="51">
        <f>'ODOMETERS Halba'!J287</f>
        <v>1605</v>
      </c>
      <c r="D291" s="52">
        <v>1.3278000000000001</v>
      </c>
      <c r="E291" s="53">
        <f>'Daily Halba'!$C291*'Daily Halba'!$D291</f>
        <v>2131.1190000000001</v>
      </c>
      <c r="F291" s="54">
        <f>'ODOMETERS Halba'!K287</f>
        <v>1270</v>
      </c>
      <c r="G291" s="52">
        <v>1.3278000000000001</v>
      </c>
      <c r="H291" s="53">
        <f>'Daily Halba'!$F291*'Daily Halba'!$G291</f>
        <v>1686.306</v>
      </c>
      <c r="I291" s="54">
        <f>'Daily Halba'!$C291+'Daily Halba'!$F291</f>
        <v>2875</v>
      </c>
      <c r="J291" s="55">
        <f>'Daily Halba'!$I291*'Daily Halba'!$G291</f>
        <v>3817.4250000000002</v>
      </c>
      <c r="K291" s="56">
        <f>'ODOMETERS Halba'!L287</f>
        <v>693</v>
      </c>
      <c r="L291" s="57">
        <v>1.1337999999999999</v>
      </c>
      <c r="M291" s="58">
        <f>'Daily Halba'!$K291*'Daily Halba'!$L291</f>
        <v>785.72339999999997</v>
      </c>
      <c r="N291" s="71">
        <f>4+7+4</f>
        <v>15</v>
      </c>
      <c r="O291" s="71"/>
      <c r="P291" s="71"/>
      <c r="Q291" s="71"/>
      <c r="R291" s="71"/>
      <c r="S291" s="71"/>
      <c r="T291" s="71">
        <f>(150+150+150+75+150)/89.7</f>
        <v>7.5250836120401337</v>
      </c>
      <c r="U291" s="61">
        <f>SUM('Daily Halba'!$E291,'Daily Halba'!$H291,$M291:$T291)</f>
        <v>4625.6734836120404</v>
      </c>
      <c r="V291" s="22"/>
      <c r="W291" s="62">
        <f>50+40*1.3278+50+13+10+20</f>
        <v>196.11199999999999</v>
      </c>
      <c r="X291" s="62"/>
      <c r="Y291" s="62">
        <f>(20+45+20+20+10+20+45)*1.3278</f>
        <v>239.00400000000002</v>
      </c>
      <c r="Z291" s="62"/>
      <c r="AA291" s="63"/>
      <c r="AB291" s="64"/>
      <c r="AC291" s="64"/>
      <c r="AD291" s="64"/>
      <c r="AE291" s="65">
        <f t="shared" si="6"/>
        <v>0</v>
      </c>
      <c r="AF291" s="66"/>
      <c r="AG291" s="66"/>
      <c r="AH291" s="66"/>
      <c r="AI291" s="66">
        <v>8</v>
      </c>
      <c r="AJ291" s="66"/>
      <c r="AK291" s="66">
        <v>20</v>
      </c>
      <c r="AL291" s="66"/>
      <c r="AM291" s="66"/>
      <c r="AN291" s="67">
        <f t="shared" si="7"/>
        <v>28</v>
      </c>
      <c r="AO291" s="66">
        <v>2000</v>
      </c>
      <c r="AP291" s="68">
        <f t="shared" si="8"/>
        <v>2463.116</v>
      </c>
      <c r="AQ291" s="69"/>
      <c r="AR291" s="22"/>
      <c r="AS291" s="70">
        <f>'Daily Halba'!$U291-'Daily Halba'!$AP291</f>
        <v>2162.5574836120404</v>
      </c>
      <c r="AT291" s="5"/>
      <c r="AU291" s="5"/>
      <c r="AV291" s="19"/>
    </row>
    <row r="292" spans="1:48" ht="12.75" customHeight="1" x14ac:dyDescent="0.3">
      <c r="A292" s="49">
        <v>46188</v>
      </c>
      <c r="B292" s="82" t="s">
        <v>25</v>
      </c>
      <c r="C292" s="51">
        <f>'ODOMETERS Halba'!J288</f>
        <v>1772</v>
      </c>
      <c r="D292" s="52">
        <v>1.3099000000000001</v>
      </c>
      <c r="E292" s="53">
        <f>'Daily Halba'!$C292*'Daily Halba'!$D292</f>
        <v>2321.1428000000001</v>
      </c>
      <c r="F292" s="54">
        <f>'ODOMETERS Halba'!K288</f>
        <v>85</v>
      </c>
      <c r="G292" s="52">
        <v>1.3099000000000001</v>
      </c>
      <c r="H292" s="53">
        <f>'Daily Halba'!$F292*'Daily Halba'!$G292</f>
        <v>111.34150000000001</v>
      </c>
      <c r="I292" s="54">
        <f>'Daily Halba'!$C292+'Daily Halba'!$F292</f>
        <v>1857</v>
      </c>
      <c r="J292" s="55">
        <f>'Daily Halba'!$I292*'Daily Halba'!$G292</f>
        <v>2432.4843000000001</v>
      </c>
      <c r="K292" s="56">
        <f>'ODOMETERS Halba'!L288</f>
        <v>771</v>
      </c>
      <c r="L292" s="57">
        <v>1.1175999999999999</v>
      </c>
      <c r="M292" s="58">
        <f>'Daily Halba'!$K292*'Daily Halba'!$L292</f>
        <v>861.66959999999995</v>
      </c>
      <c r="N292" s="71">
        <f>300/89.7</f>
        <v>3.3444816053511706</v>
      </c>
      <c r="O292" s="71">
        <f>800/89.7+10+1100/89.7</f>
        <v>31.181716833890746</v>
      </c>
      <c r="P292" s="71">
        <f>15+55</f>
        <v>70</v>
      </c>
      <c r="Q292" s="71"/>
      <c r="R292" s="71"/>
      <c r="S292" s="71">
        <v>150</v>
      </c>
      <c r="T292" s="71">
        <f>1050/89.7</f>
        <v>11.705685618729097</v>
      </c>
      <c r="U292" s="61">
        <f>SUM('Daily Halba'!$E292,'Daily Halba'!$H292,$M292:$T292)</f>
        <v>3560.3857840579713</v>
      </c>
      <c r="V292" s="22"/>
      <c r="W292" s="62">
        <f>40+500*1.1176+40+30+20</f>
        <v>688.8</v>
      </c>
      <c r="X292" s="62"/>
      <c r="Y292" s="62">
        <f>(20+30+30+20+30)*1.3099</f>
        <v>170.28700000000001</v>
      </c>
      <c r="Z292" s="62"/>
      <c r="AA292" s="72"/>
      <c r="AB292" s="73"/>
      <c r="AC292" s="73"/>
      <c r="AD292" s="73"/>
      <c r="AE292" s="86">
        <f t="shared" si="6"/>
        <v>0</v>
      </c>
      <c r="AF292" s="74"/>
      <c r="AG292" s="74"/>
      <c r="AH292" s="74">
        <v>25</v>
      </c>
      <c r="AI292" s="74"/>
      <c r="AJ292" s="74"/>
      <c r="AK292" s="74">
        <f>300/89.7</f>
        <v>3.3444816053511706</v>
      </c>
      <c r="AL292" s="74"/>
      <c r="AM292" s="74"/>
      <c r="AN292" s="87">
        <f t="shared" si="7"/>
        <v>28.34448160535117</v>
      </c>
      <c r="AO292" s="74"/>
      <c r="AP292" s="88">
        <f t="shared" si="8"/>
        <v>887.43148160535111</v>
      </c>
      <c r="AQ292" s="75"/>
      <c r="AR292" s="22"/>
      <c r="AS292" s="70">
        <f>'Daily Halba'!$U292-'Daily Halba'!$AP292</f>
        <v>2672.9543024526201</v>
      </c>
      <c r="AT292" s="5"/>
      <c r="AU292" s="5"/>
      <c r="AV292" s="5"/>
    </row>
    <row r="293" spans="1:48" ht="12.75" customHeight="1" x14ac:dyDescent="0.3">
      <c r="A293" s="49">
        <v>46189</v>
      </c>
      <c r="B293" s="82"/>
      <c r="C293" s="51">
        <f>'ODOMETERS Halba'!J289</f>
        <v>3338</v>
      </c>
      <c r="D293" s="52">
        <v>1.3099000000000001</v>
      </c>
      <c r="E293" s="53">
        <f>'Daily Halba'!$C293*'Daily Halba'!$D293</f>
        <v>4372.4462000000003</v>
      </c>
      <c r="F293" s="54">
        <f>'ODOMETERS Halba'!K289</f>
        <v>2919</v>
      </c>
      <c r="G293" s="52">
        <v>1.3099000000000001</v>
      </c>
      <c r="H293" s="53">
        <f>'Daily Halba'!$F293*'Daily Halba'!$G293</f>
        <v>3823.5981000000002</v>
      </c>
      <c r="I293" s="54">
        <f>'Daily Halba'!$C293+'Daily Halba'!$F293</f>
        <v>6257</v>
      </c>
      <c r="J293" s="55">
        <f>'Daily Halba'!$I293*'Daily Halba'!$G293</f>
        <v>8196.0442999999996</v>
      </c>
      <c r="K293" s="56">
        <f>'ODOMETERS Halba'!L289</f>
        <v>638</v>
      </c>
      <c r="L293" s="57">
        <v>1.1175999999999999</v>
      </c>
      <c r="M293" s="58">
        <f>'Daily Halba'!$K293*'Daily Halba'!$L293</f>
        <v>713.02879999999993</v>
      </c>
      <c r="N293" s="71">
        <f>5+8+7+4+350/89.7</f>
        <v>27.901895206243033</v>
      </c>
      <c r="O293" s="71">
        <f>(1600/89.7)</f>
        <v>17.837235228539576</v>
      </c>
      <c r="P293" s="71">
        <v>75</v>
      </c>
      <c r="Q293" s="71"/>
      <c r="R293" s="71"/>
      <c r="S293" s="71">
        <f>1360+150+80</f>
        <v>1590</v>
      </c>
      <c r="T293" s="71">
        <f>150/89.7+600/89.7</f>
        <v>8.3612040133779271</v>
      </c>
      <c r="U293" s="61">
        <f>SUM('Daily Halba'!$E293,'Daily Halba'!$H293,$M293:$T293)</f>
        <v>10628.173434448161</v>
      </c>
      <c r="V293" s="22"/>
      <c r="W293" s="62">
        <f>50+80+35+30+234*Table_2[[#This Row],[Mezout P]]+200+50+48+30+20+30+1000*Table_2[[#This Row],[Benzine 2 P]]+70+20+30+47+10</f>
        <v>2321.4184</v>
      </c>
      <c r="X293" s="62">
        <f>1000*1.3099</f>
        <v>1309.9000000000001</v>
      </c>
      <c r="Y293" s="62">
        <f>(20+20+20+20+20+20)*1.3099</f>
        <v>157.18800000000002</v>
      </c>
      <c r="Z293" s="62"/>
      <c r="AA293" s="63"/>
      <c r="AB293" s="64"/>
      <c r="AC293" s="64"/>
      <c r="AD293" s="64"/>
      <c r="AE293" s="65">
        <f t="shared" si="6"/>
        <v>0</v>
      </c>
      <c r="AF293" s="66"/>
      <c r="AG293" s="66">
        <f>200+50+100+150+300</f>
        <v>800</v>
      </c>
      <c r="AH293" s="66"/>
      <c r="AI293" s="66">
        <f>12+400/89.7+8</f>
        <v>24.459308807134896</v>
      </c>
      <c r="AJ293" s="66"/>
      <c r="AK293" s="66">
        <f>600/89.7</f>
        <v>6.6889632107023411</v>
      </c>
      <c r="AL293" s="66"/>
      <c r="AM293" s="66"/>
      <c r="AN293" s="67">
        <f t="shared" si="7"/>
        <v>831.14827201783726</v>
      </c>
      <c r="AO293" s="66"/>
      <c r="AP293" s="68">
        <f t="shared" si="8"/>
        <v>4619.6546720178376</v>
      </c>
      <c r="AQ293" s="69"/>
      <c r="AR293" s="22"/>
      <c r="AS293" s="70">
        <f>'Daily Halba'!$U293-'Daily Halba'!$AP293</f>
        <v>6008.5187624303235</v>
      </c>
      <c r="AT293" s="5"/>
      <c r="AU293" s="5"/>
      <c r="AV293" s="5"/>
    </row>
    <row r="294" spans="1:48" ht="12.75" customHeight="1" x14ac:dyDescent="0.3">
      <c r="A294" s="49">
        <v>46190</v>
      </c>
      <c r="B294" s="82"/>
      <c r="C294" s="51">
        <f>'ODOMETERS Halba'!J290</f>
        <v>2046</v>
      </c>
      <c r="D294" s="52">
        <v>1.3099000000000001</v>
      </c>
      <c r="E294" s="53">
        <f>'Daily Halba'!$C294*'Daily Halba'!$D294</f>
        <v>2680.0554000000002</v>
      </c>
      <c r="F294" s="54">
        <f>'ODOMETERS Halba'!K290</f>
        <v>1167</v>
      </c>
      <c r="G294" s="52">
        <v>1.3099000000000001</v>
      </c>
      <c r="H294" s="53">
        <f>'Daily Halba'!$F294*'Daily Halba'!$G294</f>
        <v>1528.6533000000002</v>
      </c>
      <c r="I294" s="54">
        <f>'Daily Halba'!$C294+'Daily Halba'!$F294</f>
        <v>3213</v>
      </c>
      <c r="J294" s="55">
        <f>'Daily Halba'!$I294*'Daily Halba'!$G294</f>
        <v>4208.7087000000001</v>
      </c>
      <c r="K294" s="56">
        <f>'ODOMETERS Halba'!L290</f>
        <v>649</v>
      </c>
      <c r="L294" s="57">
        <v>1.1175999999999999</v>
      </c>
      <c r="M294" s="58">
        <f>'Daily Halba'!$K294*'Daily Halba'!$L294</f>
        <v>725.3223999999999</v>
      </c>
      <c r="N294" s="71">
        <f>8+4+8+350/89.7+350/89.7+350/89.7</f>
        <v>31.705685618729099</v>
      </c>
      <c r="O294" s="71">
        <f>900/89.7</f>
        <v>10.033444816053512</v>
      </c>
      <c r="P294" s="71"/>
      <c r="Q294" s="71"/>
      <c r="R294" s="71"/>
      <c r="S294" s="71"/>
      <c r="T294" s="71">
        <f>(150+200+150+150+250)/89.7</f>
        <v>10.033444816053512</v>
      </c>
      <c r="U294" s="61">
        <f>SUM('Daily Halba'!$E294,'Daily Halba'!$H294,$M294:$T294)</f>
        <v>4985.8036752508369</v>
      </c>
      <c r="V294" s="22"/>
      <c r="W294" s="62">
        <f>20+20+1000/89.7+10+20+35+38+10+10+140*1.1176</f>
        <v>330.6122720178372</v>
      </c>
      <c r="X294" s="62"/>
      <c r="Y294" s="62">
        <f>(18+20+27+20+20+30+20)*1.3099</f>
        <v>203.03450000000001</v>
      </c>
      <c r="Z294" s="62">
        <v>10</v>
      </c>
      <c r="AA294" s="72"/>
      <c r="AB294" s="73"/>
      <c r="AC294" s="73">
        <v>123</v>
      </c>
      <c r="AD294" s="73"/>
      <c r="AE294" s="86">
        <f t="shared" si="6"/>
        <v>123</v>
      </c>
      <c r="AF294" s="74"/>
      <c r="AG294" s="74"/>
      <c r="AH294" s="74"/>
      <c r="AI294" s="74">
        <v>8</v>
      </c>
      <c r="AJ294" s="74">
        <v>51</v>
      </c>
      <c r="AK294" s="74">
        <f>300/89.7</f>
        <v>3.3444816053511706</v>
      </c>
      <c r="AL294" s="74"/>
      <c r="AM294" s="74"/>
      <c r="AN294" s="87">
        <f t="shared" si="7"/>
        <v>62.34448160535117</v>
      </c>
      <c r="AO294" s="74"/>
      <c r="AP294" s="88">
        <f t="shared" si="8"/>
        <v>728.9912536231883</v>
      </c>
      <c r="AQ294" s="75"/>
      <c r="AR294" s="22"/>
      <c r="AS294" s="70">
        <f>'Daily Halba'!$U294-'Daily Halba'!$AP294</f>
        <v>4256.8124216276483</v>
      </c>
      <c r="AT294" s="5"/>
      <c r="AU294" s="5"/>
      <c r="AV294" s="5"/>
    </row>
    <row r="295" spans="1:48" ht="12.75" customHeight="1" x14ac:dyDescent="0.3">
      <c r="A295" s="49">
        <v>46191</v>
      </c>
      <c r="B295" s="82"/>
      <c r="C295" s="51">
        <f>'ODOMETERS Halba'!J291</f>
        <v>2408</v>
      </c>
      <c r="D295" s="52">
        <v>1.3099000000000001</v>
      </c>
      <c r="E295" s="53">
        <f>'Daily Halba'!$C295*'Daily Halba'!$D295</f>
        <v>3154.2392</v>
      </c>
      <c r="F295" s="54">
        <f>'ODOMETERS Halba'!K291</f>
        <v>2255</v>
      </c>
      <c r="G295" s="52">
        <v>1.3099000000000001</v>
      </c>
      <c r="H295" s="53">
        <f>'Daily Halba'!$F295*'Daily Halba'!$G295</f>
        <v>2953.8245000000002</v>
      </c>
      <c r="I295" s="54">
        <f>'Daily Halba'!$C295+'Daily Halba'!$F295</f>
        <v>4663</v>
      </c>
      <c r="J295" s="55">
        <f>'Daily Halba'!$I295*'Daily Halba'!$G295</f>
        <v>6108.0637000000006</v>
      </c>
      <c r="K295" s="56">
        <f>'ODOMETERS Halba'!L291</f>
        <v>1842</v>
      </c>
      <c r="L295" s="57">
        <v>1.1175999999999999</v>
      </c>
      <c r="M295" s="58">
        <f>'Daily Halba'!$K295*'Daily Halba'!$L295</f>
        <v>2058.6192000000001</v>
      </c>
      <c r="N295" s="71">
        <v>12</v>
      </c>
      <c r="O295" s="71">
        <v>17</v>
      </c>
      <c r="P295" s="71">
        <v>14</v>
      </c>
      <c r="Q295" s="71"/>
      <c r="R295" s="71"/>
      <c r="S295" s="71">
        <v>628</v>
      </c>
      <c r="T295" s="71">
        <v>13.37</v>
      </c>
      <c r="U295" s="61">
        <f>SUM('Daily Halba'!$E295,'Daily Halba'!$H295,$M295:$T295)</f>
        <v>8851.0529000000006</v>
      </c>
      <c r="V295" s="22"/>
      <c r="W295" s="62">
        <f>447+845</f>
        <v>1292</v>
      </c>
      <c r="X295" s="62">
        <v>1310</v>
      </c>
      <c r="Y295" s="62">
        <v>248</v>
      </c>
      <c r="Z295" s="62">
        <v>19</v>
      </c>
      <c r="AA295" s="63"/>
      <c r="AB295" s="64"/>
      <c r="AC295" s="64"/>
      <c r="AD295" s="64"/>
      <c r="AE295" s="65">
        <f t="shared" si="6"/>
        <v>0</v>
      </c>
      <c r="AF295" s="66"/>
      <c r="AG295" s="66"/>
      <c r="AH295" s="66"/>
      <c r="AI295" s="66"/>
      <c r="AJ295" s="66"/>
      <c r="AK295" s="66"/>
      <c r="AL295" s="66"/>
      <c r="AM295" s="66"/>
      <c r="AN295" s="67">
        <f t="shared" si="7"/>
        <v>0</v>
      </c>
      <c r="AO295" s="66"/>
      <c r="AP295" s="68">
        <f t="shared" si="8"/>
        <v>2869</v>
      </c>
      <c r="AQ295" s="69"/>
      <c r="AR295" s="22"/>
      <c r="AS295" s="70">
        <f>'Daily Halba'!$U295-'Daily Halba'!$AP295</f>
        <v>5982.0529000000006</v>
      </c>
      <c r="AT295" s="5"/>
      <c r="AU295" s="5"/>
      <c r="AV295" s="5"/>
    </row>
    <row r="296" spans="1:48" ht="12.75" customHeight="1" x14ac:dyDescent="0.3">
      <c r="A296" s="49">
        <v>46192</v>
      </c>
      <c r="B296" s="82" t="s">
        <v>24</v>
      </c>
      <c r="C296" s="51">
        <f>'ODOMETERS Halba'!J292</f>
        <v>586</v>
      </c>
      <c r="D296" s="52">
        <v>1.3099000000000001</v>
      </c>
      <c r="E296" s="53">
        <f>'Daily Halba'!$C296*'Daily Halba'!$D296</f>
        <v>767.60140000000001</v>
      </c>
      <c r="F296" s="54">
        <f>'ODOMETERS Halba'!K292</f>
        <v>1452</v>
      </c>
      <c r="G296" s="52">
        <v>1.3099000000000001</v>
      </c>
      <c r="H296" s="53">
        <f>'Daily Halba'!$F296*'Daily Halba'!$G296</f>
        <v>1901.9748000000002</v>
      </c>
      <c r="I296" s="54">
        <f>'Daily Halba'!$C296+'Daily Halba'!$F296</f>
        <v>2038</v>
      </c>
      <c r="J296" s="55">
        <f>'Daily Halba'!$I296*'Daily Halba'!$G296</f>
        <v>2669.5762</v>
      </c>
      <c r="K296" s="56">
        <f>'ODOMETERS Halba'!L292</f>
        <v>413</v>
      </c>
      <c r="L296" s="57">
        <v>1.1175999999999999</v>
      </c>
      <c r="M296" s="58">
        <f>'Daily Halba'!$K296*'Daily Halba'!$L296</f>
        <v>461.56879999999995</v>
      </c>
      <c r="N296" s="71">
        <v>9</v>
      </c>
      <c r="O296" s="71">
        <v>5</v>
      </c>
      <c r="P296" s="71"/>
      <c r="Q296" s="71"/>
      <c r="R296" s="71"/>
      <c r="S296" s="71">
        <v>63</v>
      </c>
      <c r="T296" s="71">
        <v>11</v>
      </c>
      <c r="U296" s="61">
        <f>SUM('Daily Halba'!$E296,'Daily Halba'!$H296,$M296:$T296)</f>
        <v>3219.1450000000004</v>
      </c>
      <c r="V296" s="22"/>
      <c r="W296" s="62">
        <v>326</v>
      </c>
      <c r="X296" s="62"/>
      <c r="Y296" s="62">
        <v>205</v>
      </c>
      <c r="Z296" s="62"/>
      <c r="AA296" s="72"/>
      <c r="AB296" s="73"/>
      <c r="AC296" s="73"/>
      <c r="AD296" s="73"/>
      <c r="AE296" s="86">
        <f t="shared" si="6"/>
        <v>0</v>
      </c>
      <c r="AF296" s="74"/>
      <c r="AG296" s="74"/>
      <c r="AH296" s="74"/>
      <c r="AI296" s="74"/>
      <c r="AJ296" s="74"/>
      <c r="AK296" s="74"/>
      <c r="AL296" s="74"/>
      <c r="AM296" s="74"/>
      <c r="AN296" s="87">
        <f t="shared" si="7"/>
        <v>0</v>
      </c>
      <c r="AO296" s="74"/>
      <c r="AP296" s="88">
        <f t="shared" si="8"/>
        <v>531</v>
      </c>
      <c r="AQ296" s="75"/>
      <c r="AR296" s="22"/>
      <c r="AS296" s="70">
        <f>'Daily Halba'!$U296-'Daily Halba'!$AP296</f>
        <v>2688.1450000000004</v>
      </c>
      <c r="AT296" s="5"/>
      <c r="AU296" s="5"/>
      <c r="AV296" s="5"/>
    </row>
    <row r="297" spans="1:48" ht="12.75" customHeight="1" x14ac:dyDescent="0.3">
      <c r="A297" s="49">
        <v>46192</v>
      </c>
      <c r="B297" s="82" t="s">
        <v>25</v>
      </c>
      <c r="C297" s="51">
        <f>'ODOMETERS Halba'!J293</f>
        <v>1247</v>
      </c>
      <c r="D297" s="52">
        <v>1.2887</v>
      </c>
      <c r="E297" s="53">
        <f>'Daily Halba'!$C297*'Daily Halba'!$D297</f>
        <v>1607.0089</v>
      </c>
      <c r="F297" s="54">
        <f>'ODOMETERS Halba'!K293</f>
        <v>1004</v>
      </c>
      <c r="G297" s="52">
        <v>1.2887</v>
      </c>
      <c r="H297" s="53">
        <f>'Daily Halba'!$F297*'Daily Halba'!$G297</f>
        <v>1293.8548000000001</v>
      </c>
      <c r="I297" s="54">
        <f>'Daily Halba'!$C297+'Daily Halba'!$F297</f>
        <v>2251</v>
      </c>
      <c r="J297" s="55">
        <f>'Daily Halba'!$I297*'Daily Halba'!$G297</f>
        <v>2900.8636999999999</v>
      </c>
      <c r="K297" s="56">
        <f>'ODOMETERS Halba'!L293</f>
        <v>310</v>
      </c>
      <c r="L297" s="57">
        <v>1.0948</v>
      </c>
      <c r="M297" s="58">
        <f>'Daily Halba'!$K297*'Daily Halba'!$L297</f>
        <v>339.38799999999998</v>
      </c>
      <c r="N297" s="71">
        <v>4</v>
      </c>
      <c r="O297" s="71">
        <v>24</v>
      </c>
      <c r="P297" s="71">
        <v>28</v>
      </c>
      <c r="Q297" s="71"/>
      <c r="R297" s="71"/>
      <c r="S297" s="71">
        <v>120</v>
      </c>
      <c r="T297" s="71">
        <v>7</v>
      </c>
      <c r="U297" s="61">
        <f>SUM('Daily Halba'!$E297,'Daily Halba'!$H297,$M297:$T297)</f>
        <v>3423.2516999999998</v>
      </c>
      <c r="V297" s="22"/>
      <c r="W297" s="62">
        <v>259</v>
      </c>
      <c r="X297" s="62"/>
      <c r="Y297" s="62">
        <v>90</v>
      </c>
      <c r="Z297" s="62">
        <v>7</v>
      </c>
      <c r="AA297" s="63"/>
      <c r="AB297" s="64"/>
      <c r="AC297" s="64"/>
      <c r="AD297" s="64"/>
      <c r="AE297" s="65">
        <f t="shared" si="6"/>
        <v>0</v>
      </c>
      <c r="AF297" s="66"/>
      <c r="AG297" s="66"/>
      <c r="AH297" s="66"/>
      <c r="AI297" s="66"/>
      <c r="AJ297" s="66"/>
      <c r="AK297" s="66"/>
      <c r="AL297" s="66"/>
      <c r="AM297" s="66"/>
      <c r="AN297" s="67">
        <f t="shared" si="7"/>
        <v>0</v>
      </c>
      <c r="AO297" s="66"/>
      <c r="AP297" s="68">
        <f t="shared" si="8"/>
        <v>356</v>
      </c>
      <c r="AQ297" s="69"/>
      <c r="AR297" s="22"/>
      <c r="AS297" s="70">
        <f>'Daily Halba'!$U297-'Daily Halba'!$AP297</f>
        <v>3067.2516999999998</v>
      </c>
      <c r="AT297" s="5"/>
      <c r="AU297" s="5"/>
      <c r="AV297" s="5"/>
    </row>
    <row r="298" spans="1:48" ht="12.75" customHeight="1" x14ac:dyDescent="0.3">
      <c r="A298" s="49">
        <v>46193</v>
      </c>
      <c r="B298" s="82"/>
      <c r="C298" s="51">
        <f>'ODOMETERS Halba'!J294</f>
        <v>2088</v>
      </c>
      <c r="D298" s="52">
        <v>1.2887</v>
      </c>
      <c r="E298" s="53">
        <f>'Daily Halba'!$C298*'Daily Halba'!$D298</f>
        <v>2690.8055999999997</v>
      </c>
      <c r="F298" s="54">
        <f>'ODOMETERS Halba'!K294</f>
        <v>2318</v>
      </c>
      <c r="G298" s="52">
        <v>1.2887</v>
      </c>
      <c r="H298" s="53">
        <f>'Daily Halba'!$F298*'Daily Halba'!$G298</f>
        <v>2987.2066</v>
      </c>
      <c r="I298" s="54">
        <f>'Daily Halba'!$C298+'Daily Halba'!$F298</f>
        <v>4406</v>
      </c>
      <c r="J298" s="55">
        <f>'Daily Halba'!$I298*'Daily Halba'!$G298</f>
        <v>5678.0122000000001</v>
      </c>
      <c r="K298" s="56">
        <f>'ODOMETERS Halba'!L294</f>
        <v>487</v>
      </c>
      <c r="L298" s="57">
        <v>1.0948</v>
      </c>
      <c r="M298" s="58">
        <f>'Daily Halba'!$K298*'Daily Halba'!$L298</f>
        <v>533.16759999999999</v>
      </c>
      <c r="N298" s="71">
        <f>700/89.7+5+300/89.7</f>
        <v>16.148272017837236</v>
      </c>
      <c r="O298" s="71">
        <f>1900/89.7</f>
        <v>21.181716833890746</v>
      </c>
      <c r="P298" s="71">
        <v>28</v>
      </c>
      <c r="Q298" s="71"/>
      <c r="R298" s="71"/>
      <c r="S298" s="71">
        <f>10</f>
        <v>10</v>
      </c>
      <c r="T298" s="71">
        <f>(150+150+150+150+300+100+150)/89.7</f>
        <v>12.820512820512819</v>
      </c>
      <c r="U298" s="61">
        <f>SUM('Daily Halba'!$E298,'Daily Halba'!$H298,$M298:$T298)</f>
        <v>6299.3303016722402</v>
      </c>
      <c r="V298" s="22"/>
      <c r="W298" s="62">
        <f>20+50+15+10+64+15+25*1.2887+30+20+10+30+14</f>
        <v>310.21749999999997</v>
      </c>
      <c r="X298" s="62"/>
      <c r="Y298" s="62">
        <f>(36+20+20+20+27+27+20+9+20+40+10+20)*1.2887</f>
        <v>346.66030000000001</v>
      </c>
      <c r="Z298" s="62">
        <v>-8</v>
      </c>
      <c r="AA298" s="72"/>
      <c r="AB298" s="73"/>
      <c r="AC298" s="73"/>
      <c r="AD298" s="73"/>
      <c r="AE298" s="86">
        <f t="shared" si="6"/>
        <v>0</v>
      </c>
      <c r="AF298" s="74"/>
      <c r="AG298" s="74"/>
      <c r="AH298" s="74"/>
      <c r="AI298" s="74">
        <f>8+32</f>
        <v>40</v>
      </c>
      <c r="AJ298" s="74"/>
      <c r="AK298" s="74"/>
      <c r="AL298" s="74">
        <v>170</v>
      </c>
      <c r="AM298" s="74"/>
      <c r="AN298" s="87">
        <f t="shared" si="7"/>
        <v>210</v>
      </c>
      <c r="AO298" s="74"/>
      <c r="AP298" s="88">
        <f t="shared" si="8"/>
        <v>858.87779999999998</v>
      </c>
      <c r="AQ298" s="75" t="s">
        <v>235</v>
      </c>
      <c r="AR298" s="22"/>
      <c r="AS298" s="70">
        <f>'Daily Halba'!$U298-'Daily Halba'!$AP298</f>
        <v>5440.45250167224</v>
      </c>
      <c r="AT298" s="5"/>
      <c r="AU298" s="5"/>
      <c r="AV298" s="19"/>
    </row>
    <row r="299" spans="1:48" ht="12.75" customHeight="1" x14ac:dyDescent="0.3">
      <c r="A299" s="49">
        <v>46194</v>
      </c>
      <c r="B299" s="82"/>
      <c r="C299" s="51">
        <f>'ODOMETERS Halba'!J295</f>
        <v>2804</v>
      </c>
      <c r="D299" s="52">
        <v>1.2887</v>
      </c>
      <c r="E299" s="53">
        <f>'Daily Halba'!$C299*'Daily Halba'!$D299</f>
        <v>3613.5147999999999</v>
      </c>
      <c r="F299" s="54">
        <f>'ODOMETERS Halba'!K295</f>
        <v>2520</v>
      </c>
      <c r="G299" s="52">
        <v>1.2887</v>
      </c>
      <c r="H299" s="53">
        <f>'Daily Halba'!$F299*'Daily Halba'!$G299</f>
        <v>3247.5239999999999</v>
      </c>
      <c r="I299" s="54">
        <f>'Daily Halba'!$C299+'Daily Halba'!$F299</f>
        <v>5324</v>
      </c>
      <c r="J299" s="55">
        <f>'Daily Halba'!$I299*'Daily Halba'!$G299</f>
        <v>6861.0387999999994</v>
      </c>
      <c r="K299" s="56">
        <f>'ODOMETERS Halba'!L295</f>
        <v>1989</v>
      </c>
      <c r="L299" s="57">
        <v>1.0948</v>
      </c>
      <c r="M299" s="58">
        <f>'Daily Halba'!$K299*'Daily Halba'!$L299</f>
        <v>2177.5572000000002</v>
      </c>
      <c r="N299" s="71">
        <v>26</v>
      </c>
      <c r="O299" s="71">
        <v>15.6</v>
      </c>
      <c r="P299" s="71">
        <v>28</v>
      </c>
      <c r="Q299" s="71"/>
      <c r="R299" s="71"/>
      <c r="S299" s="71">
        <v>100</v>
      </c>
      <c r="T299" s="71">
        <v>17.829999999999998</v>
      </c>
      <c r="U299" s="61">
        <f>SUM('Daily Halba'!$E299,'Daily Halba'!$H299,$M299:$T299)</f>
        <v>9226.0260000000017</v>
      </c>
      <c r="V299" s="22"/>
      <c r="W299" s="62">
        <f>659+1095</f>
        <v>1754</v>
      </c>
      <c r="X299" s="62">
        <v>1289</v>
      </c>
      <c r="Y299" s="62">
        <v>320</v>
      </c>
      <c r="Z299" s="62">
        <v>-5</v>
      </c>
      <c r="AA299" s="63"/>
      <c r="AB299" s="64"/>
      <c r="AC299" s="64"/>
      <c r="AD299" s="64"/>
      <c r="AE299" s="65">
        <f t="shared" si="6"/>
        <v>0</v>
      </c>
      <c r="AF299" s="66"/>
      <c r="AG299" s="66"/>
      <c r="AH299" s="66"/>
      <c r="AI299" s="66"/>
      <c r="AJ299" s="66"/>
      <c r="AK299" s="66"/>
      <c r="AL299" s="66"/>
      <c r="AM299" s="66"/>
      <c r="AN299" s="67">
        <f t="shared" si="7"/>
        <v>0</v>
      </c>
      <c r="AO299" s="66"/>
      <c r="AP299" s="68">
        <f t="shared" si="8"/>
        <v>3358</v>
      </c>
      <c r="AQ299" s="69"/>
      <c r="AR299" s="22"/>
      <c r="AS299" s="70">
        <f>'Daily Halba'!$U299-'Daily Halba'!$AP299</f>
        <v>5868.0260000000017</v>
      </c>
      <c r="AT299" s="5"/>
      <c r="AU299" s="5"/>
      <c r="AV299" s="5"/>
    </row>
    <row r="300" spans="1:48" ht="12.75" customHeight="1" x14ac:dyDescent="0.3">
      <c r="A300" s="49">
        <v>46195</v>
      </c>
      <c r="B300" s="82"/>
      <c r="C300" s="51">
        <f>'ODOMETERS Halba'!J296</f>
        <v>4910</v>
      </c>
      <c r="D300" s="52">
        <v>1.2887</v>
      </c>
      <c r="E300" s="53">
        <f>'Daily Halba'!$C300*'Daily Halba'!$D300</f>
        <v>6327.5169999999998</v>
      </c>
      <c r="F300" s="54">
        <f>'ODOMETERS Halba'!K296</f>
        <v>2967</v>
      </c>
      <c r="G300" s="52">
        <v>1.2887</v>
      </c>
      <c r="H300" s="53">
        <f>'Daily Halba'!$F300*'Daily Halba'!$G300</f>
        <v>3823.5728999999997</v>
      </c>
      <c r="I300" s="54">
        <f>'Daily Halba'!$C300+'Daily Halba'!$F300</f>
        <v>7877</v>
      </c>
      <c r="J300" s="55">
        <f>'Daily Halba'!$I300*'Daily Halba'!$G300</f>
        <v>10151.089899999999</v>
      </c>
      <c r="K300" s="56">
        <f>'ODOMETERS Halba'!L296</f>
        <v>1647</v>
      </c>
      <c r="L300" s="57">
        <v>1.0948</v>
      </c>
      <c r="M300" s="58">
        <f>'Daily Halba'!$K300*'Daily Halba'!$L300</f>
        <v>1803.1356000000001</v>
      </c>
      <c r="N300" s="71">
        <f>600/89.7+350/89.7</f>
        <v>10.590858416945373</v>
      </c>
      <c r="O300" s="71">
        <f>300/89.7+10+1100/89.7</f>
        <v>25.607580824972128</v>
      </c>
      <c r="P300" s="71">
        <v>14</v>
      </c>
      <c r="Q300" s="71">
        <v>12</v>
      </c>
      <c r="R300" s="71"/>
      <c r="S300" s="71">
        <f>20</f>
        <v>20</v>
      </c>
      <c r="T300" s="71">
        <f>(300+300+150+400+150)/89.7</f>
        <v>14.492753623188406</v>
      </c>
      <c r="U300" s="61">
        <f>SUM('Daily Halba'!$E300,'Daily Halba'!$H300,$M300:$T300)</f>
        <v>12050.916692865103</v>
      </c>
      <c r="V300" s="22"/>
      <c r="W300" s="62">
        <f>20+30+50+1000/89.7+50+70+10+176*1.0948+10+10+70+2000*1.2887+1000*1.0948</f>
        <v>4196.0330720178372</v>
      </c>
      <c r="X300" s="62">
        <f>1500*1.2887</f>
        <v>1933.05</v>
      </c>
      <c r="Y300" s="62">
        <f>(30+30+20+18+50+9+20)*1.2887</f>
        <v>228.09989999999999</v>
      </c>
      <c r="Z300" s="62"/>
      <c r="AA300" s="72"/>
      <c r="AB300" s="73"/>
      <c r="AC300" s="73"/>
      <c r="AD300" s="73"/>
      <c r="AE300" s="86">
        <f t="shared" si="6"/>
        <v>0</v>
      </c>
      <c r="AF300" s="74"/>
      <c r="AG300" s="74"/>
      <c r="AH300" s="74"/>
      <c r="AI300" s="74">
        <v>28</v>
      </c>
      <c r="AJ300" s="74">
        <v>5</v>
      </c>
      <c r="AK300" s="74"/>
      <c r="AL300" s="74"/>
      <c r="AM300" s="74"/>
      <c r="AN300" s="87">
        <f t="shared" si="7"/>
        <v>33</v>
      </c>
      <c r="AO300" s="74"/>
      <c r="AP300" s="88">
        <f t="shared" si="8"/>
        <v>6390.1829720178375</v>
      </c>
      <c r="AQ300" s="75"/>
      <c r="AR300" s="22"/>
      <c r="AS300" s="70">
        <f>'Daily Halba'!$U300-'Daily Halba'!$AP300</f>
        <v>5660.7337208472654</v>
      </c>
      <c r="AT300" s="5"/>
      <c r="AU300" s="5"/>
      <c r="AV300" s="19"/>
    </row>
    <row r="301" spans="1:48" ht="12.75" customHeight="1" x14ac:dyDescent="0.3">
      <c r="A301" s="49">
        <v>46196</v>
      </c>
      <c r="B301" s="82" t="s">
        <v>24</v>
      </c>
      <c r="C301" s="51">
        <f>'ODOMETERS Halba'!J297</f>
        <v>1345</v>
      </c>
      <c r="D301" s="52">
        <v>1.2887</v>
      </c>
      <c r="E301" s="53">
        <f>'Daily Halba'!$C301*'Daily Halba'!$D301</f>
        <v>1733.3015</v>
      </c>
      <c r="F301" s="54">
        <f>'ODOMETERS Halba'!K297</f>
        <v>444</v>
      </c>
      <c r="G301" s="52">
        <v>1.2887</v>
      </c>
      <c r="H301" s="53">
        <f>'Daily Halba'!$F301*'Daily Halba'!$G301</f>
        <v>572.18279999999993</v>
      </c>
      <c r="I301" s="54">
        <f>'Daily Halba'!$C301+'Daily Halba'!$F301</f>
        <v>1789</v>
      </c>
      <c r="J301" s="55">
        <f>'Daily Halba'!$I301*'Daily Halba'!$G301</f>
        <v>2305.4843000000001</v>
      </c>
      <c r="K301" s="56">
        <f>'ODOMETERS Halba'!L297</f>
        <v>134</v>
      </c>
      <c r="L301" s="57">
        <v>1.0948</v>
      </c>
      <c r="M301" s="58">
        <f>'Daily Halba'!$K301*'Daily Halba'!$L301</f>
        <v>146.70320000000001</v>
      </c>
      <c r="N301" s="71">
        <f>7</f>
        <v>7</v>
      </c>
      <c r="O301" s="71"/>
      <c r="P301" s="71"/>
      <c r="Q301" s="71"/>
      <c r="R301" s="71"/>
      <c r="S301" s="71">
        <v>1000</v>
      </c>
      <c r="T301" s="71">
        <f>150/89.7</f>
        <v>1.6722408026755853</v>
      </c>
      <c r="U301" s="61">
        <f>SUM('Daily Halba'!$E301,'Daily Halba'!$H301,$M301:$T301)</f>
        <v>3460.8597408026758</v>
      </c>
      <c r="V301" s="22"/>
      <c r="W301" s="62">
        <f>6+30+40</f>
        <v>76</v>
      </c>
      <c r="X301" s="62"/>
      <c r="Y301" s="62">
        <f>57*1.2887</f>
        <v>73.4559</v>
      </c>
      <c r="Z301" s="62">
        <v>5</v>
      </c>
      <c r="AA301" s="63"/>
      <c r="AB301" s="64"/>
      <c r="AC301" s="64"/>
      <c r="AD301" s="64"/>
      <c r="AE301" s="65">
        <f t="shared" si="6"/>
        <v>0</v>
      </c>
      <c r="AF301" s="66"/>
      <c r="AG301" s="66"/>
      <c r="AH301" s="66"/>
      <c r="AI301" s="66"/>
      <c r="AJ301" s="66"/>
      <c r="AK301" s="66"/>
      <c r="AL301" s="66"/>
      <c r="AM301" s="66"/>
      <c r="AN301" s="67">
        <f t="shared" si="7"/>
        <v>0</v>
      </c>
      <c r="AO301" s="66"/>
      <c r="AP301" s="68">
        <f t="shared" si="8"/>
        <v>154.45589999999999</v>
      </c>
      <c r="AQ301" s="69"/>
      <c r="AR301" s="22"/>
      <c r="AS301" s="70">
        <f>'Daily Halba'!$U301-'Daily Halba'!$AP301</f>
        <v>3306.4038408026759</v>
      </c>
      <c r="AT301" s="5"/>
      <c r="AU301" s="5"/>
      <c r="AV301" s="5"/>
    </row>
    <row r="302" spans="1:48" ht="12.75" customHeight="1" x14ac:dyDescent="0.3">
      <c r="A302" s="49">
        <v>46196</v>
      </c>
      <c r="B302" s="82" t="s">
        <v>25</v>
      </c>
      <c r="C302" s="51">
        <f>'ODOMETERS Halba'!J298</f>
        <v>1687</v>
      </c>
      <c r="D302" s="52">
        <v>1.2769999999999999</v>
      </c>
      <c r="E302" s="53">
        <f>'Daily Halba'!$C302*'Daily Halba'!$D302</f>
        <v>2154.299</v>
      </c>
      <c r="F302" s="54">
        <f>'ODOMETERS Halba'!K298</f>
        <v>317</v>
      </c>
      <c r="G302" s="52">
        <v>1.2769999999999999</v>
      </c>
      <c r="H302" s="53">
        <f>'Daily Halba'!$F302*'Daily Halba'!$G302</f>
        <v>404.80899999999997</v>
      </c>
      <c r="I302" s="54">
        <f>'Daily Halba'!$C302+'Daily Halba'!$F302</f>
        <v>2004</v>
      </c>
      <c r="J302" s="55">
        <f>'Daily Halba'!$I302*'Daily Halba'!$G302</f>
        <v>2559.1079999999997</v>
      </c>
      <c r="K302" s="56">
        <f>'ODOMETERS Halba'!L298</f>
        <v>1019</v>
      </c>
      <c r="L302" s="57">
        <v>1.0803</v>
      </c>
      <c r="M302" s="58">
        <f>'Daily Halba'!$K302*'Daily Halba'!$L302</f>
        <v>1100.8257000000001</v>
      </c>
      <c r="N302" s="71">
        <v>8</v>
      </c>
      <c r="O302" s="71">
        <f>(300+400+300+400)/89.7</f>
        <v>15.607580824972128</v>
      </c>
      <c r="P302" s="71"/>
      <c r="Q302" s="71"/>
      <c r="R302" s="71"/>
      <c r="S302" s="71"/>
      <c r="T302" s="71"/>
      <c r="U302" s="61">
        <f>SUM('Daily Halba'!$E302,'Daily Halba'!$H302,$M302:$T302)</f>
        <v>3683.5412808249725</v>
      </c>
      <c r="V302" s="22"/>
      <c r="W302" s="62">
        <f>58+50+5+30+5000/89.7+10+10+43+170*1.0803+20+540</f>
        <v>1005.3923600891862</v>
      </c>
      <c r="X302" s="62"/>
      <c r="Y302" s="62">
        <f>30*1.277</f>
        <v>38.309999999999995</v>
      </c>
      <c r="Z302" s="62">
        <v>9</v>
      </c>
      <c r="AA302" s="72"/>
      <c r="AB302" s="73"/>
      <c r="AC302" s="73"/>
      <c r="AD302" s="73"/>
      <c r="AE302" s="86">
        <f t="shared" si="6"/>
        <v>0</v>
      </c>
      <c r="AF302" s="74"/>
      <c r="AG302" s="74"/>
      <c r="AH302" s="74"/>
      <c r="AI302" s="74"/>
      <c r="AJ302" s="74"/>
      <c r="AK302" s="74">
        <f>900/89.7</f>
        <v>10.033444816053512</v>
      </c>
      <c r="AL302" s="74">
        <v>14</v>
      </c>
      <c r="AM302" s="74"/>
      <c r="AN302" s="87">
        <f t="shared" si="7"/>
        <v>24.03344481605351</v>
      </c>
      <c r="AO302" s="74"/>
      <c r="AP302" s="88">
        <f t="shared" si="8"/>
        <v>1076.7358049052398</v>
      </c>
      <c r="AQ302" s="75"/>
      <c r="AR302" s="22"/>
      <c r="AS302" s="70">
        <f>'Daily Halba'!$U302-'Daily Halba'!$AP302</f>
        <v>2606.805475919733</v>
      </c>
      <c r="AT302" s="5"/>
      <c r="AU302" s="5"/>
      <c r="AV302" s="5"/>
    </row>
    <row r="303" spans="1:48" ht="12.75" customHeight="1" x14ac:dyDescent="0.3">
      <c r="A303" s="49">
        <v>46197</v>
      </c>
      <c r="B303" s="82"/>
      <c r="C303" s="51">
        <f>'ODOMETERS Halba'!J299</f>
        <v>2553</v>
      </c>
      <c r="D303" s="52">
        <v>1.2769999999999999</v>
      </c>
      <c r="E303" s="53">
        <f>'Daily Halba'!$C303*'Daily Halba'!$D303</f>
        <v>3260.1809999999996</v>
      </c>
      <c r="F303" s="54">
        <f>'ODOMETERS Halba'!K299</f>
        <v>1928</v>
      </c>
      <c r="G303" s="52">
        <v>1.2769999999999999</v>
      </c>
      <c r="H303" s="53">
        <f>'Daily Halba'!$F303*'Daily Halba'!$G303</f>
        <v>2462.056</v>
      </c>
      <c r="I303" s="54">
        <f>'Daily Halba'!$C303+'Daily Halba'!$F303</f>
        <v>4481</v>
      </c>
      <c r="J303" s="55">
        <f>'Daily Halba'!$I303*'Daily Halba'!$G303</f>
        <v>5722.2369999999992</v>
      </c>
      <c r="K303" s="56">
        <f>'ODOMETERS Halba'!L299</f>
        <v>1106</v>
      </c>
      <c r="L303" s="57">
        <v>1.0803</v>
      </c>
      <c r="M303" s="58">
        <f>'Daily Halba'!$K303*'Daily Halba'!$L303</f>
        <v>1194.8117999999999</v>
      </c>
      <c r="N303" s="71">
        <v>19</v>
      </c>
      <c r="O303" s="71">
        <v>41</v>
      </c>
      <c r="P303" s="71">
        <v>40</v>
      </c>
      <c r="Q303" s="71"/>
      <c r="R303" s="71"/>
      <c r="S303" s="71">
        <v>4450</v>
      </c>
      <c r="T303" s="71">
        <v>16</v>
      </c>
      <c r="U303" s="61">
        <f>SUM('Daily Halba'!$E303,'Daily Halba'!$H303,$M303:$T303)</f>
        <v>11483.048799999999</v>
      </c>
      <c r="V303" s="22"/>
      <c r="W303" s="62">
        <f>1292+260</f>
        <v>1552</v>
      </c>
      <c r="X303" s="62"/>
      <c r="Y303" s="62">
        <v>253</v>
      </c>
      <c r="Z303" s="62">
        <v>18</v>
      </c>
      <c r="AA303" s="63"/>
      <c r="AB303" s="64"/>
      <c r="AC303" s="64"/>
      <c r="AD303" s="64"/>
      <c r="AE303" s="65">
        <f t="shared" si="6"/>
        <v>0</v>
      </c>
      <c r="AF303" s="66"/>
      <c r="AG303" s="66"/>
      <c r="AH303" s="66"/>
      <c r="AI303" s="66"/>
      <c r="AJ303" s="66"/>
      <c r="AK303" s="66"/>
      <c r="AL303" s="66"/>
      <c r="AM303" s="66"/>
      <c r="AN303" s="67">
        <f t="shared" si="7"/>
        <v>0</v>
      </c>
      <c r="AO303" s="66"/>
      <c r="AP303" s="68">
        <f t="shared" si="8"/>
        <v>1823</v>
      </c>
      <c r="AQ303" s="69"/>
      <c r="AR303" s="22"/>
      <c r="AS303" s="70">
        <f>'Daily Halba'!$U303-'Daily Halba'!$AP303</f>
        <v>9660.0487999999987</v>
      </c>
      <c r="AT303" s="5"/>
      <c r="AU303" s="5"/>
      <c r="AV303" s="5"/>
    </row>
    <row r="304" spans="1:48" ht="12.75" customHeight="1" x14ac:dyDescent="0.3">
      <c r="A304" s="49">
        <v>46198</v>
      </c>
      <c r="B304" s="82"/>
      <c r="C304" s="51">
        <f>'ODOMETERS Halba'!J300</f>
        <v>2614</v>
      </c>
      <c r="D304" s="52">
        <v>1.2769999999999999</v>
      </c>
      <c r="E304" s="53">
        <f>'Daily Halba'!$C304*'Daily Halba'!$D304</f>
        <v>3338.078</v>
      </c>
      <c r="F304" s="54">
        <f>'ODOMETERS Halba'!K300</f>
        <v>2248</v>
      </c>
      <c r="G304" s="52">
        <v>1.2769999999999999</v>
      </c>
      <c r="H304" s="53">
        <f>'Daily Halba'!$F304*'Daily Halba'!$G304</f>
        <v>2870.6959999999999</v>
      </c>
      <c r="I304" s="54">
        <f>'Daily Halba'!$C304+'Daily Halba'!$F304</f>
        <v>4862</v>
      </c>
      <c r="J304" s="55">
        <f>'Daily Halba'!$I304*'Daily Halba'!$G304</f>
        <v>6208.7739999999994</v>
      </c>
      <c r="K304" s="56">
        <f>'ODOMETERS Halba'!L300</f>
        <v>1203</v>
      </c>
      <c r="L304" s="57">
        <v>1.0803</v>
      </c>
      <c r="M304" s="58">
        <f>'Daily Halba'!$K304*'Daily Halba'!$L304</f>
        <v>1299.6009000000001</v>
      </c>
      <c r="N304" s="71">
        <v>12</v>
      </c>
      <c r="O304" s="71">
        <v>23</v>
      </c>
      <c r="P304" s="71">
        <v>65</v>
      </c>
      <c r="Q304" s="71"/>
      <c r="R304" s="71"/>
      <c r="S304" s="71">
        <v>645</v>
      </c>
      <c r="T304" s="71">
        <v>10</v>
      </c>
      <c r="U304" s="61">
        <f>SUM('Daily Halba'!$E304,'Daily Halba'!$H304,$M304:$T304)</f>
        <v>8263.3748999999989</v>
      </c>
      <c r="V304" s="22"/>
      <c r="W304" s="62">
        <v>692</v>
      </c>
      <c r="X304" s="62">
        <v>1277</v>
      </c>
      <c r="Y304" s="62">
        <v>210</v>
      </c>
      <c r="Z304" s="62">
        <v>10</v>
      </c>
      <c r="AA304" s="72"/>
      <c r="AB304" s="73"/>
      <c r="AC304" s="73"/>
      <c r="AD304" s="73"/>
      <c r="AE304" s="86">
        <f t="shared" si="6"/>
        <v>0</v>
      </c>
      <c r="AF304" s="74"/>
      <c r="AG304" s="74"/>
      <c r="AH304" s="74"/>
      <c r="AI304" s="74"/>
      <c r="AJ304" s="74"/>
      <c r="AK304" s="74"/>
      <c r="AL304" s="74"/>
      <c r="AM304" s="74"/>
      <c r="AN304" s="87">
        <f t="shared" si="7"/>
        <v>0</v>
      </c>
      <c r="AO304" s="74"/>
      <c r="AP304" s="88">
        <f t="shared" si="8"/>
        <v>2189</v>
      </c>
      <c r="AQ304" s="75"/>
      <c r="AR304" s="22"/>
      <c r="AS304" s="70">
        <f>'Daily Halba'!$U304-'Daily Halba'!$AP304</f>
        <v>6074.3748999999989</v>
      </c>
      <c r="AT304" s="5"/>
      <c r="AU304" s="5"/>
      <c r="AV304" s="5"/>
    </row>
    <row r="305" spans="1:48" ht="12.75" customHeight="1" x14ac:dyDescent="0.3">
      <c r="A305" s="49">
        <v>46199</v>
      </c>
      <c r="B305" s="82"/>
      <c r="C305" s="51">
        <f>'ODOMETERS Halba'!J301</f>
        <v>2256</v>
      </c>
      <c r="D305" s="52">
        <v>1.2715000000000001</v>
      </c>
      <c r="E305" s="53">
        <f>'Daily Halba'!$C305*'Daily Halba'!$D305</f>
        <v>2868.5040000000004</v>
      </c>
      <c r="F305" s="54">
        <f>'ODOMETERS Halba'!K301</f>
        <v>1547</v>
      </c>
      <c r="G305" s="52">
        <v>1.2715000000000001</v>
      </c>
      <c r="H305" s="53">
        <f>'Daily Halba'!$F305*'Daily Halba'!$G305</f>
        <v>1967.0105000000001</v>
      </c>
      <c r="I305" s="54">
        <f>'Daily Halba'!$C305+'Daily Halba'!$F305</f>
        <v>3803</v>
      </c>
      <c r="J305" s="55">
        <f>'Daily Halba'!$I305*'Daily Halba'!$G305</f>
        <v>4835.5145000000002</v>
      </c>
      <c r="K305" s="56">
        <f>'ODOMETERS Halba'!L301</f>
        <v>1395</v>
      </c>
      <c r="L305" s="57">
        <v>1.0596000000000001</v>
      </c>
      <c r="M305" s="58">
        <f>'Daily Halba'!$K305*'Daily Halba'!$L305</f>
        <v>1478.1420000000001</v>
      </c>
      <c r="N305" s="71">
        <v>44</v>
      </c>
      <c r="O305" s="71">
        <f>(400+400+400+400+300+300+400)/89.7</f>
        <v>28.985507246376812</v>
      </c>
      <c r="P305" s="71">
        <v>26</v>
      </c>
      <c r="Q305" s="71"/>
      <c r="R305" s="71"/>
      <c r="S305" s="71">
        <v>10</v>
      </c>
      <c r="T305" s="71">
        <f>(300+150+150+250+250+250+100+150)/89.7</f>
        <v>17.837235228539576</v>
      </c>
      <c r="U305" s="61">
        <f>SUM('Daily Halba'!$E305,'Daily Halba'!$H305,$M305:$T305)</f>
        <v>6440.4792424749166</v>
      </c>
      <c r="V305" s="22"/>
      <c r="W305" s="62">
        <f>20+134*1.0596+10+10+370+50+10+10+183*1.0596+10+5+10+10+45+20</f>
        <v>915.89319999999998</v>
      </c>
      <c r="X305" s="62"/>
      <c r="Y305" s="62">
        <f>(20+10+30+30+30+20+20+40)*1.2715+20*1.0596</f>
        <v>275.49200000000002</v>
      </c>
      <c r="Z305" s="62">
        <v>-29</v>
      </c>
      <c r="AA305" s="63">
        <v>210</v>
      </c>
      <c r="AB305" s="64"/>
      <c r="AC305" s="64"/>
      <c r="AD305" s="64"/>
      <c r="AE305" s="65">
        <f t="shared" si="6"/>
        <v>210</v>
      </c>
      <c r="AF305" s="66"/>
      <c r="AG305" s="66"/>
      <c r="AH305" s="66"/>
      <c r="AI305" s="66">
        <v>8</v>
      </c>
      <c r="AJ305" s="66"/>
      <c r="AK305" s="66">
        <v>40</v>
      </c>
      <c r="AL305" s="66"/>
      <c r="AM305" s="66"/>
      <c r="AN305" s="67">
        <f t="shared" si="7"/>
        <v>48</v>
      </c>
      <c r="AO305" s="66"/>
      <c r="AP305" s="68">
        <f t="shared" si="8"/>
        <v>1420.3851999999999</v>
      </c>
      <c r="AQ305" s="69"/>
      <c r="AR305" s="22"/>
      <c r="AS305" s="70">
        <f>'Daily Halba'!$U305-'Daily Halba'!$AP305</f>
        <v>5020.0940424749169</v>
      </c>
      <c r="AT305" s="5"/>
      <c r="AU305" s="5"/>
      <c r="AV305" s="19"/>
    </row>
    <row r="306" spans="1:48" ht="12.75" customHeight="1" x14ac:dyDescent="0.3">
      <c r="A306" s="49">
        <v>46200</v>
      </c>
      <c r="B306" s="82"/>
      <c r="C306" s="51">
        <f>'ODOMETERS Halba'!J302</f>
        <v>2229</v>
      </c>
      <c r="D306" s="52">
        <v>1.2715000000000001</v>
      </c>
      <c r="E306" s="53">
        <f>'Daily Halba'!$C306*'Daily Halba'!$D306</f>
        <v>2834.1735000000003</v>
      </c>
      <c r="F306" s="54">
        <f>'ODOMETERS Halba'!K302</f>
        <v>1864</v>
      </c>
      <c r="G306" s="52">
        <v>1.2715000000000001</v>
      </c>
      <c r="H306" s="53">
        <f>'Daily Halba'!$F306*'Daily Halba'!$G306</f>
        <v>2370.076</v>
      </c>
      <c r="I306" s="54">
        <f>'Daily Halba'!$C306+'Daily Halba'!$F306</f>
        <v>4093</v>
      </c>
      <c r="J306" s="55">
        <f>'Daily Halba'!$I306*'Daily Halba'!$G306</f>
        <v>5204.2494999999999</v>
      </c>
      <c r="K306" s="56">
        <f>'ODOMETERS Halba'!L302</f>
        <v>1375</v>
      </c>
      <c r="L306" s="57">
        <v>1.0596000000000001</v>
      </c>
      <c r="M306" s="58">
        <f>'Daily Halba'!$K306*'Daily Halba'!$L306</f>
        <v>1456.95</v>
      </c>
      <c r="N306" s="71">
        <f>3+4+4+5+10</f>
        <v>26</v>
      </c>
      <c r="O306" s="71">
        <f>(400+300+400+400+400+400)/89.7</f>
        <v>25.641025641025639</v>
      </c>
      <c r="P306" s="71">
        <f>26+13</f>
        <v>39</v>
      </c>
      <c r="Q306" s="71"/>
      <c r="R306" s="71"/>
      <c r="S306" s="71">
        <f>500+270+40</f>
        <v>810</v>
      </c>
      <c r="T306" s="71">
        <f>(150+150+300+100+150)/89.7</f>
        <v>9.4760312151616493</v>
      </c>
      <c r="U306" s="61">
        <f>SUM('Daily Halba'!$E306,'Daily Halba'!$H306,$M306:$T306)</f>
        <v>7571.3165568561872</v>
      </c>
      <c r="V306" s="22"/>
      <c r="W306" s="62">
        <f>50+65+20+50+17+20+400/89.7+30+10+300+10</f>
        <v>576.4593088071349</v>
      </c>
      <c r="X306" s="62"/>
      <c r="Y306" s="62">
        <f>(18+20+20+20+10+40+18+27)*1.2715</f>
        <v>219.96950000000001</v>
      </c>
      <c r="Z306" s="62">
        <v>4</v>
      </c>
      <c r="AA306" s="72"/>
      <c r="AB306" s="73"/>
      <c r="AC306" s="73">
        <v>116</v>
      </c>
      <c r="AD306" s="73"/>
      <c r="AE306" s="86">
        <f t="shared" si="6"/>
        <v>116</v>
      </c>
      <c r="AF306" s="74"/>
      <c r="AG306" s="74"/>
      <c r="AH306" s="74"/>
      <c r="AI306" s="74">
        <f>500/89.7+8</f>
        <v>13.574136008918618</v>
      </c>
      <c r="AJ306" s="74"/>
      <c r="AK306" s="74">
        <f>10+20</f>
        <v>30</v>
      </c>
      <c r="AL306" s="74"/>
      <c r="AM306" s="74"/>
      <c r="AN306" s="87">
        <f t="shared" si="7"/>
        <v>43.574136008918614</v>
      </c>
      <c r="AO306" s="74"/>
      <c r="AP306" s="88">
        <f t="shared" si="8"/>
        <v>960.00294481605351</v>
      </c>
      <c r="AQ306" s="75"/>
      <c r="AR306" s="22"/>
      <c r="AS306" s="70">
        <f>'Daily Halba'!$U306-'Daily Halba'!$AP306</f>
        <v>6611.3136120401341</v>
      </c>
      <c r="AT306" s="5"/>
      <c r="AU306" s="5"/>
      <c r="AV306" s="5"/>
    </row>
    <row r="307" spans="1:48" ht="12.75" customHeight="1" x14ac:dyDescent="0.3">
      <c r="A307" s="49">
        <v>46201</v>
      </c>
      <c r="B307" s="82"/>
      <c r="C307" s="51">
        <f>'ODOMETERS Halba'!J303</f>
        <v>2228</v>
      </c>
      <c r="D307" s="52">
        <v>1.2715000000000001</v>
      </c>
      <c r="E307" s="53">
        <f>'Daily Halba'!$C307*'Daily Halba'!$D307</f>
        <v>2832.902</v>
      </c>
      <c r="F307" s="54">
        <f>'ODOMETERS Halba'!K303</f>
        <v>1843</v>
      </c>
      <c r="G307" s="52">
        <v>1.2715000000000001</v>
      </c>
      <c r="H307" s="53">
        <f>'Daily Halba'!$F307*'Daily Halba'!$G307</f>
        <v>2343.3745000000004</v>
      </c>
      <c r="I307" s="54">
        <f>'Daily Halba'!$C307+'Daily Halba'!$F307</f>
        <v>4071</v>
      </c>
      <c r="J307" s="55">
        <f>'Daily Halba'!$I307*'Daily Halba'!$G307</f>
        <v>5176.2764999999999</v>
      </c>
      <c r="K307" s="56">
        <f>'ODOMETERS Halba'!L303</f>
        <v>329</v>
      </c>
      <c r="L307" s="57">
        <v>1.0596000000000001</v>
      </c>
      <c r="M307" s="58">
        <f>'Daily Halba'!$K307*'Daily Halba'!$L307</f>
        <v>348.60840000000002</v>
      </c>
      <c r="N307" s="71">
        <v>39</v>
      </c>
      <c r="O307" s="71">
        <f>2000/89.7</f>
        <v>22.296544035674469</v>
      </c>
      <c r="P307" s="71">
        <v>26</v>
      </c>
      <c r="Q307" s="71"/>
      <c r="R307" s="71"/>
      <c r="S307" s="71">
        <f>500</f>
        <v>500</v>
      </c>
      <c r="T307" s="71">
        <f>(1050+225)/89.7</f>
        <v>14.214046822742475</v>
      </c>
      <c r="U307" s="61">
        <f>SUM('Daily Halba'!$E307,'Daily Halba'!$H307,$M307:$T307)</f>
        <v>6126.3954908584174</v>
      </c>
      <c r="V307" s="22"/>
      <c r="W307" s="62">
        <f>20+30+10+20+20+10+10+20+20+20+20+15</f>
        <v>215</v>
      </c>
      <c r="X307" s="62"/>
      <c r="Y307" s="62">
        <f>(30+20+37+20+30+20+20+20+40)*1.2715</f>
        <v>301.34550000000002</v>
      </c>
      <c r="Z307" s="62"/>
      <c r="AA307" s="63"/>
      <c r="AB307" s="64"/>
      <c r="AC307" s="64"/>
      <c r="AD307" s="64"/>
      <c r="AE307" s="65">
        <f t="shared" si="6"/>
        <v>0</v>
      </c>
      <c r="AF307" s="66"/>
      <c r="AG307" s="66">
        <v>500</v>
      </c>
      <c r="AH307" s="66"/>
      <c r="AI307" s="66">
        <v>48</v>
      </c>
      <c r="AJ307" s="66"/>
      <c r="AK307" s="66"/>
      <c r="AL307" s="66"/>
      <c r="AM307" s="66"/>
      <c r="AN307" s="67">
        <f t="shared" si="7"/>
        <v>548</v>
      </c>
      <c r="AO307" s="66"/>
      <c r="AP307" s="68">
        <f t="shared" si="8"/>
        <v>1064.3454999999999</v>
      </c>
      <c r="AQ307" s="69"/>
      <c r="AR307" s="22"/>
      <c r="AS307" s="70">
        <f>'Daily Halba'!$U307-'Daily Halba'!$AP307</f>
        <v>5062.049990858417</v>
      </c>
      <c r="AT307" s="5"/>
      <c r="AU307" s="5"/>
      <c r="AV307" s="19"/>
    </row>
    <row r="308" spans="1:48" ht="12.75" customHeight="1" x14ac:dyDescent="0.3">
      <c r="A308" s="49">
        <v>46202</v>
      </c>
      <c r="B308" s="82" t="s">
        <v>24</v>
      </c>
      <c r="C308" s="51">
        <f>'ODOMETERS Halba'!J304</f>
        <v>2931</v>
      </c>
      <c r="D308" s="52">
        <v>1.2715000000000001</v>
      </c>
      <c r="E308" s="53">
        <f>'Daily Halba'!$C308*'Daily Halba'!$D308</f>
        <v>3726.7665000000002</v>
      </c>
      <c r="F308" s="54">
        <f>'ODOMETERS Halba'!K304</f>
        <v>3036</v>
      </c>
      <c r="G308" s="52">
        <v>1.2715000000000001</v>
      </c>
      <c r="H308" s="53">
        <f>'Daily Halba'!$F308*'Daily Halba'!$G308</f>
        <v>3860.2740000000003</v>
      </c>
      <c r="I308" s="54">
        <f>'Daily Halba'!$C308+'Daily Halba'!$F308</f>
        <v>5967</v>
      </c>
      <c r="J308" s="55">
        <f>'Daily Halba'!$I308*'Daily Halba'!$G308</f>
        <v>7587.0405000000001</v>
      </c>
      <c r="K308" s="56">
        <f>'ODOMETERS Halba'!L304</f>
        <v>475</v>
      </c>
      <c r="L308" s="57">
        <v>1.0596000000000001</v>
      </c>
      <c r="M308" s="58">
        <f>'Daily Halba'!$K308*'Daily Halba'!$L308</f>
        <v>503.31000000000006</v>
      </c>
      <c r="N308" s="71">
        <f>7</f>
        <v>7</v>
      </c>
      <c r="O308" s="71">
        <f>(400+400+400+400)/89.7</f>
        <v>17.837235228539576</v>
      </c>
      <c r="P308" s="71">
        <f>13*3</f>
        <v>39</v>
      </c>
      <c r="Q308" s="71"/>
      <c r="R308" s="71"/>
      <c r="S308" s="71"/>
      <c r="T308" s="71">
        <f>(150+300+200+100)/89.7</f>
        <v>8.3612040133779253</v>
      </c>
      <c r="U308" s="61">
        <f>SUM('Daily Halba'!$E308,'Daily Halba'!$H308,$M308:$T308)</f>
        <v>8162.5489392419186</v>
      </c>
      <c r="V308" s="22"/>
      <c r="W308" s="62">
        <f>13+75+1500*1.2715+30+11+30+22+60+150+10</f>
        <v>2308.25</v>
      </c>
      <c r="X308" s="62">
        <f>1000*1.2715</f>
        <v>1271.5</v>
      </c>
      <c r="Y308" s="62">
        <f>(20+18+40+20+10)*1.2715+34</f>
        <v>171.322</v>
      </c>
      <c r="Z308" s="62"/>
      <c r="AA308" s="72"/>
      <c r="AB308" s="73"/>
      <c r="AC308" s="73"/>
      <c r="AD308" s="73"/>
      <c r="AE308" s="86">
        <f t="shared" si="6"/>
        <v>0</v>
      </c>
      <c r="AF308" s="74"/>
      <c r="AG308" s="74"/>
      <c r="AH308" s="74">
        <f>30+500/89.7</f>
        <v>35.574136008918614</v>
      </c>
      <c r="AI308" s="74">
        <v>10</v>
      </c>
      <c r="AJ308" s="74"/>
      <c r="AK308" s="74"/>
      <c r="AL308" s="74"/>
      <c r="AM308" s="74"/>
      <c r="AN308" s="87">
        <f t="shared" si="7"/>
        <v>45.574136008918614</v>
      </c>
      <c r="AO308" s="74"/>
      <c r="AP308" s="88">
        <f t="shared" si="8"/>
        <v>3796.6461360089188</v>
      </c>
      <c r="AQ308" s="75"/>
      <c r="AR308" s="22"/>
      <c r="AS308" s="70">
        <f>'Daily Halba'!$U308-'Daily Halba'!$AP308</f>
        <v>4365.9028032329998</v>
      </c>
      <c r="AT308" s="5"/>
      <c r="AU308" s="5"/>
      <c r="AV308" s="19"/>
    </row>
    <row r="309" spans="1:48" ht="12.75" customHeight="1" x14ac:dyDescent="0.3">
      <c r="A309" s="49">
        <v>46202</v>
      </c>
      <c r="B309" s="82" t="s">
        <v>25</v>
      </c>
      <c r="C309" s="51">
        <f>'ODOMETERS Halba'!J305</f>
        <v>433</v>
      </c>
      <c r="D309" s="52">
        <v>1.2475000000000001</v>
      </c>
      <c r="E309" s="53">
        <f>'Daily Halba'!$C309*'Daily Halba'!$D309</f>
        <v>540.16750000000002</v>
      </c>
      <c r="F309" s="54">
        <f>'ODOMETERS Halba'!K305</f>
        <v>253</v>
      </c>
      <c r="G309" s="52">
        <v>1.2475000000000001</v>
      </c>
      <c r="H309" s="53">
        <f>'Daily Halba'!$F309*'Daily Halba'!$G309</f>
        <v>315.61750000000001</v>
      </c>
      <c r="I309" s="54">
        <f>'Daily Halba'!$C309+'Daily Halba'!$F309</f>
        <v>686</v>
      </c>
      <c r="J309" s="55">
        <f>'Daily Halba'!$I309*'Daily Halba'!$G309</f>
        <v>855.78500000000008</v>
      </c>
      <c r="K309" s="56">
        <f>'ODOMETERS Halba'!L305</f>
        <v>125</v>
      </c>
      <c r="L309" s="57">
        <v>1.0228999999999999</v>
      </c>
      <c r="M309" s="58">
        <f>'Daily Halba'!$K309*'Daily Halba'!$L309</f>
        <v>127.86249999999998</v>
      </c>
      <c r="N309" s="71">
        <v>40</v>
      </c>
      <c r="O309" s="71"/>
      <c r="P309" s="71">
        <v>13</v>
      </c>
      <c r="Q309" s="71"/>
      <c r="R309" s="71"/>
      <c r="S309" s="71">
        <v>20</v>
      </c>
      <c r="T309" s="71">
        <f>(150+450)/89.7</f>
        <v>6.6889632107023411</v>
      </c>
      <c r="U309" s="61">
        <f>SUM('Daily Halba'!$E309,'Daily Halba'!$H309,$M309:$T309)</f>
        <v>1063.3364632107023</v>
      </c>
      <c r="V309" s="22"/>
      <c r="W309" s="62">
        <f>70</f>
        <v>70</v>
      </c>
      <c r="X309" s="62"/>
      <c r="Y309" s="62">
        <f>(20+18+18+35+60)*1.2475</f>
        <v>188.3725</v>
      </c>
      <c r="Z309" s="62"/>
      <c r="AA309" s="63"/>
      <c r="AB309" s="64"/>
      <c r="AC309" s="64"/>
      <c r="AD309" s="64"/>
      <c r="AE309" s="65">
        <f t="shared" si="6"/>
        <v>0</v>
      </c>
      <c r="AF309" s="66"/>
      <c r="AG309" s="66"/>
      <c r="AH309" s="66"/>
      <c r="AI309" s="66"/>
      <c r="AJ309" s="66"/>
      <c r="AK309" s="66"/>
      <c r="AL309" s="66"/>
      <c r="AM309" s="66"/>
      <c r="AN309" s="67">
        <f t="shared" si="7"/>
        <v>0</v>
      </c>
      <c r="AO309" s="66"/>
      <c r="AP309" s="68">
        <f t="shared" si="8"/>
        <v>258.3725</v>
      </c>
      <c r="AQ309" s="69"/>
      <c r="AR309" s="22"/>
      <c r="AS309" s="70">
        <f>'Daily Halba'!$U309-'Daily Halba'!$AP309</f>
        <v>804.96396321070233</v>
      </c>
      <c r="AT309" s="5"/>
      <c r="AU309" s="5"/>
      <c r="AV309" s="5"/>
    </row>
    <row r="310" spans="1:48" ht="12.75" customHeight="1" x14ac:dyDescent="0.3">
      <c r="A310" s="49">
        <v>46203</v>
      </c>
      <c r="B310" s="82"/>
      <c r="C310" s="51">
        <f>'ODOMETERS Halba'!J306</f>
        <v>1293</v>
      </c>
      <c r="D310" s="52">
        <v>1.2475000000000001</v>
      </c>
      <c r="E310" s="53">
        <f>'Daily Halba'!$C310*'Daily Halba'!$D310</f>
        <v>1613.0175000000002</v>
      </c>
      <c r="F310" s="54">
        <f>'ODOMETERS Halba'!K306</f>
        <v>3950</v>
      </c>
      <c r="G310" s="52">
        <v>1.2475000000000001</v>
      </c>
      <c r="H310" s="53">
        <f>'Daily Halba'!$F310*'Daily Halba'!$G310</f>
        <v>4927.625</v>
      </c>
      <c r="I310" s="54">
        <f>'Daily Halba'!$C310+'Daily Halba'!$F310</f>
        <v>5243</v>
      </c>
      <c r="J310" s="55">
        <f>'Daily Halba'!$I310*'Daily Halba'!$G310</f>
        <v>6540.6424999999999</v>
      </c>
      <c r="K310" s="56">
        <f>'ODOMETERS Halba'!L306</f>
        <v>1719</v>
      </c>
      <c r="L310" s="57">
        <v>1.0228999999999999</v>
      </c>
      <c r="M310" s="58">
        <f>'Daily Halba'!$K310*'Daily Halba'!$L310</f>
        <v>1758.3650999999998</v>
      </c>
      <c r="N310" s="71">
        <f>700/89.7+350/89.7+3+750/89.7+20</f>
        <v>43.066889632107021</v>
      </c>
      <c r="O310" s="71">
        <f>(400+400+800+800+300+300)/89.7</f>
        <v>33.444816053511701</v>
      </c>
      <c r="P310" s="71"/>
      <c r="Q310" s="71"/>
      <c r="R310" s="71"/>
      <c r="S310" s="71">
        <f>300+220+80</f>
        <v>600</v>
      </c>
      <c r="T310" s="71">
        <f>(150+100+150+150+150+300+150+150+250)/89.7</f>
        <v>17.279821627647713</v>
      </c>
      <c r="U310" s="61">
        <f>SUM('Daily Halba'!$E310,'Daily Halba'!$H310,$M310:$T310)</f>
        <v>8992.7991273132666</v>
      </c>
      <c r="V310" s="22"/>
      <c r="W310" s="62">
        <f>20+50+11+25+46+100*1.0229+10+50+1000*1.0229+20+10</f>
        <v>1367.1899999999998</v>
      </c>
      <c r="X310" s="62"/>
      <c r="Y310" s="62">
        <f>(20+10+20+9+20+18+9+20+40+20+20+30+10)*1.2475</f>
        <v>306.88499999999999</v>
      </c>
      <c r="Z310" s="62">
        <v>8</v>
      </c>
      <c r="AA310" s="72"/>
      <c r="AB310" s="73"/>
      <c r="AC310" s="73"/>
      <c r="AD310" s="73"/>
      <c r="AE310" s="86">
        <f t="shared" si="6"/>
        <v>0</v>
      </c>
      <c r="AF310" s="74"/>
      <c r="AG310" s="74">
        <v>100</v>
      </c>
      <c r="AH310" s="74"/>
      <c r="AI310" s="74">
        <v>8</v>
      </c>
      <c r="AJ310" s="74"/>
      <c r="AK310" s="74">
        <f>(600+300)/89.7</f>
        <v>10.033444816053512</v>
      </c>
      <c r="AL310" s="74"/>
      <c r="AM310" s="74"/>
      <c r="AN310" s="87">
        <f t="shared" si="7"/>
        <v>118.03344481605352</v>
      </c>
      <c r="AO310" s="74"/>
      <c r="AP310" s="88">
        <f t="shared" si="8"/>
        <v>1800.1084448160534</v>
      </c>
      <c r="AQ310" s="75"/>
      <c r="AR310" s="22"/>
      <c r="AS310" s="70">
        <f>'Daily Halba'!$U310-'Daily Halba'!$AP310</f>
        <v>7192.6906824972129</v>
      </c>
      <c r="AT310" s="5"/>
      <c r="AU310" s="5"/>
      <c r="AV310" s="19"/>
    </row>
    <row r="311" spans="1:48" ht="12.75" customHeight="1" x14ac:dyDescent="0.3">
      <c r="A311" s="49">
        <v>46204</v>
      </c>
      <c r="B311" s="82"/>
      <c r="C311" s="51">
        <f>'ODOMETERS Halba'!J307</f>
        <v>2728</v>
      </c>
      <c r="D311" s="52">
        <v>1.2475000000000001</v>
      </c>
      <c r="E311" s="53">
        <f>'Daily Halba'!$C311*'Daily Halba'!$D311</f>
        <v>3403.1800000000003</v>
      </c>
      <c r="F311" s="54">
        <f>'ODOMETERS Halba'!K307</f>
        <v>2529</v>
      </c>
      <c r="G311" s="52">
        <v>1.2475000000000001</v>
      </c>
      <c r="H311" s="53">
        <f>'Daily Halba'!$F311*'Daily Halba'!$G311</f>
        <v>3154.9275000000002</v>
      </c>
      <c r="I311" s="54">
        <f>'Daily Halba'!$C311+'Daily Halba'!$F311</f>
        <v>5257</v>
      </c>
      <c r="J311" s="55">
        <f>'Daily Halba'!$I311*'Daily Halba'!$G311</f>
        <v>6558.1075000000001</v>
      </c>
      <c r="K311" s="56">
        <f>'ODOMETERS Halba'!L307</f>
        <v>700</v>
      </c>
      <c r="L311" s="57">
        <v>1.0228999999999999</v>
      </c>
      <c r="M311" s="58">
        <f>'Daily Halba'!$K311*'Daily Halba'!$L311</f>
        <v>716.03</v>
      </c>
      <c r="N311" s="71">
        <v>31.5</v>
      </c>
      <c r="O311" s="71">
        <v>24.5</v>
      </c>
      <c r="P311" s="71">
        <v>39</v>
      </c>
      <c r="Q311" s="71"/>
      <c r="R311" s="71"/>
      <c r="S311" s="71">
        <v>120</v>
      </c>
      <c r="T311" s="71">
        <v>21</v>
      </c>
      <c r="U311" s="61">
        <f>SUM('Daily Halba'!$E311,'Daily Halba'!$H311,$M311:$T311)</f>
        <v>7510.1374999999998</v>
      </c>
      <c r="V311" s="22"/>
      <c r="W311" s="62">
        <f>656+176</f>
        <v>832</v>
      </c>
      <c r="X311" s="62"/>
      <c r="Y311" s="62">
        <v>456.5</v>
      </c>
      <c r="Z311" s="62">
        <v>41</v>
      </c>
      <c r="AA311" s="63"/>
      <c r="AB311" s="64"/>
      <c r="AC311" s="64"/>
      <c r="AD311" s="64"/>
      <c r="AE311" s="65">
        <f t="shared" si="6"/>
        <v>0</v>
      </c>
      <c r="AF311" s="66"/>
      <c r="AG311" s="66"/>
      <c r="AH311" s="66"/>
      <c r="AI311" s="66"/>
      <c r="AJ311" s="66"/>
      <c r="AK311" s="66"/>
      <c r="AL311" s="66"/>
      <c r="AM311" s="66"/>
      <c r="AN311" s="67">
        <f t="shared" si="7"/>
        <v>0</v>
      </c>
      <c r="AO311" s="66"/>
      <c r="AP311" s="68">
        <f t="shared" si="8"/>
        <v>1329.5</v>
      </c>
      <c r="AQ311" s="69"/>
      <c r="AR311" s="22"/>
      <c r="AS311" s="70">
        <f>'Daily Halba'!$U311-'Daily Halba'!$AP311</f>
        <v>6180.6374999999998</v>
      </c>
      <c r="AT311" s="5"/>
      <c r="AU311" s="5"/>
      <c r="AV311" s="5"/>
    </row>
    <row r="312" spans="1:48" ht="12.75" customHeight="1" x14ac:dyDescent="0.3">
      <c r="A312" s="49">
        <v>46205</v>
      </c>
      <c r="B312" s="82"/>
      <c r="C312" s="51">
        <f>'ODOMETERS Halba'!J308</f>
        <v>5374</v>
      </c>
      <c r="D312" s="52">
        <v>1.2475000000000001</v>
      </c>
      <c r="E312" s="53">
        <f>'Daily Halba'!$C312*'Daily Halba'!$D312</f>
        <v>6704.0650000000005</v>
      </c>
      <c r="F312" s="54">
        <f>'ODOMETERS Halba'!K308</f>
        <v>2512</v>
      </c>
      <c r="G312" s="52">
        <v>1.2475000000000001</v>
      </c>
      <c r="H312" s="53">
        <f>'Daily Halba'!$F312*'Daily Halba'!$G312</f>
        <v>3133.7200000000003</v>
      </c>
      <c r="I312" s="54">
        <f>'Daily Halba'!$C312+'Daily Halba'!$F312</f>
        <v>7886</v>
      </c>
      <c r="J312" s="55">
        <f>'Daily Halba'!$I312*'Daily Halba'!$G312</f>
        <v>9837.7849999999999</v>
      </c>
      <c r="K312" s="56">
        <f>'ODOMETERS Halba'!L308</f>
        <v>2228</v>
      </c>
      <c r="L312" s="57">
        <v>1.0228999999999999</v>
      </c>
      <c r="M312" s="58">
        <f>'Daily Halba'!$K312*'Daily Halba'!$L312</f>
        <v>2279.0211999999997</v>
      </c>
      <c r="N312" s="71">
        <v>39</v>
      </c>
      <c r="O312" s="71">
        <v>37</v>
      </c>
      <c r="P312" s="71"/>
      <c r="Q312" s="71"/>
      <c r="R312" s="71"/>
      <c r="S312" s="71">
        <v>140</v>
      </c>
      <c r="T312" s="71">
        <v>19.5</v>
      </c>
      <c r="U312" s="61">
        <f>SUM('Daily Halba'!$E312,'Daily Halba'!$H312,$M312:$T312)</f>
        <v>12352.306199999999</v>
      </c>
      <c r="V312" s="22"/>
      <c r="W312" s="62">
        <f>292+1535+3743</f>
        <v>5570</v>
      </c>
      <c r="X312" s="62"/>
      <c r="Y312" s="62">
        <v>363</v>
      </c>
      <c r="Z312" s="62">
        <v>15</v>
      </c>
      <c r="AA312" s="72"/>
      <c r="AB312" s="73"/>
      <c r="AC312" s="73"/>
      <c r="AD312" s="73"/>
      <c r="AE312" s="86">
        <f t="shared" si="6"/>
        <v>0</v>
      </c>
      <c r="AF312" s="74"/>
      <c r="AG312" s="74"/>
      <c r="AH312" s="74"/>
      <c r="AI312" s="74"/>
      <c r="AJ312" s="74"/>
      <c r="AK312" s="74"/>
      <c r="AL312" s="74"/>
      <c r="AM312" s="74"/>
      <c r="AN312" s="87">
        <f t="shared" si="7"/>
        <v>0</v>
      </c>
      <c r="AO312" s="74"/>
      <c r="AP312" s="88">
        <f t="shared" si="8"/>
        <v>5948</v>
      </c>
      <c r="AQ312" s="75"/>
      <c r="AR312" s="22"/>
      <c r="AS312" s="70">
        <f>'Daily Halba'!$U312-'Daily Halba'!$AP312</f>
        <v>6404.3061999999991</v>
      </c>
      <c r="AT312" s="5"/>
      <c r="AU312" s="5"/>
      <c r="AV312" s="5"/>
    </row>
    <row r="313" spans="1:48" ht="12.75" customHeight="1" x14ac:dyDescent="0.3">
      <c r="A313" s="49">
        <v>46206</v>
      </c>
      <c r="B313" s="82" t="s">
        <v>24</v>
      </c>
      <c r="C313" s="51">
        <f>'ODOMETERS Halba'!J309</f>
        <v>1227</v>
      </c>
      <c r="D313" s="52">
        <v>1.2475000000000001</v>
      </c>
      <c r="E313" s="53">
        <f>'Daily Halba'!$C313*'Daily Halba'!$D313</f>
        <v>1530.6825000000001</v>
      </c>
      <c r="F313" s="54">
        <f>'ODOMETERS Halba'!K309</f>
        <v>1083</v>
      </c>
      <c r="G313" s="52">
        <v>1.2475000000000001</v>
      </c>
      <c r="H313" s="53">
        <f>'Daily Halba'!$F313*'Daily Halba'!$G313</f>
        <v>1351.0425</v>
      </c>
      <c r="I313" s="54">
        <f>'Daily Halba'!$C313+'Daily Halba'!$F313</f>
        <v>2310</v>
      </c>
      <c r="J313" s="55">
        <f>'Daily Halba'!$I313*'Daily Halba'!$G313</f>
        <v>2881.7249999999999</v>
      </c>
      <c r="K313" s="56">
        <f>'ODOMETERS Halba'!L309</f>
        <v>1791</v>
      </c>
      <c r="L313" s="57">
        <v>1.0228999999999999</v>
      </c>
      <c r="M313" s="58">
        <f>'Daily Halba'!$K313*'Daily Halba'!$L313</f>
        <v>1832.0138999999999</v>
      </c>
      <c r="N313" s="71"/>
      <c r="O313" s="71"/>
      <c r="P313" s="71"/>
      <c r="Q313" s="71"/>
      <c r="R313" s="71"/>
      <c r="S313" s="71">
        <v>580</v>
      </c>
      <c r="T313" s="71">
        <v>12</v>
      </c>
      <c r="U313" s="61">
        <f>SUM('Daily Halba'!$E313,'Daily Halba'!$H313,$M313:$T313)</f>
        <v>5305.7389000000003</v>
      </c>
      <c r="V313" s="22"/>
      <c r="W313" s="62">
        <f>135+1023</f>
        <v>1158</v>
      </c>
      <c r="X313" s="62"/>
      <c r="Y313" s="62">
        <v>231</v>
      </c>
      <c r="Z313" s="62">
        <v>1</v>
      </c>
      <c r="AA313" s="63"/>
      <c r="AB313" s="64"/>
      <c r="AC313" s="64"/>
      <c r="AD313" s="64"/>
      <c r="AE313" s="65">
        <f t="shared" si="6"/>
        <v>0</v>
      </c>
      <c r="AF313" s="66"/>
      <c r="AG313" s="66"/>
      <c r="AH313" s="66"/>
      <c r="AI313" s="66"/>
      <c r="AJ313" s="66"/>
      <c r="AK313" s="66"/>
      <c r="AL313" s="66"/>
      <c r="AM313" s="66"/>
      <c r="AN313" s="67">
        <f t="shared" si="7"/>
        <v>0</v>
      </c>
      <c r="AO313" s="66"/>
      <c r="AP313" s="68">
        <f t="shared" si="8"/>
        <v>1390</v>
      </c>
      <c r="AQ313" s="69"/>
      <c r="AR313" s="22"/>
      <c r="AS313" s="70">
        <f>'Daily Halba'!$U313-'Daily Halba'!$AP313</f>
        <v>3915.7389000000003</v>
      </c>
      <c r="AT313" s="5"/>
      <c r="AU313" s="5"/>
      <c r="AV313" s="5"/>
    </row>
    <row r="314" spans="1:48" ht="12.75" customHeight="1" x14ac:dyDescent="0.3">
      <c r="A314" s="49">
        <v>46206</v>
      </c>
      <c r="B314" s="82" t="s">
        <v>25</v>
      </c>
      <c r="C314" s="51">
        <f>'ODOMETERS Halba'!J310</f>
        <v>714</v>
      </c>
      <c r="D314" s="52">
        <v>1.2375</v>
      </c>
      <c r="E314" s="53">
        <f>'Daily Halba'!$C314*'Daily Halba'!$D314</f>
        <v>883.57500000000005</v>
      </c>
      <c r="F314" s="54">
        <f>'ODOMETERS Halba'!K310</f>
        <v>1759</v>
      </c>
      <c r="G314" s="52">
        <v>1.2375</v>
      </c>
      <c r="H314" s="53">
        <f>'Daily Halba'!$F314*'Daily Halba'!$G314</f>
        <v>2176.7625000000003</v>
      </c>
      <c r="I314" s="54">
        <f>'Daily Halba'!$C314+'Daily Halba'!$F314</f>
        <v>2473</v>
      </c>
      <c r="J314" s="55">
        <f>'Daily Halba'!$I314*'Daily Halba'!$G314</f>
        <v>3060.3375000000001</v>
      </c>
      <c r="K314" s="56">
        <f>'ODOMETERS Halba'!L310</f>
        <v>1129</v>
      </c>
      <c r="L314" s="57">
        <v>1.0005999999999999</v>
      </c>
      <c r="M314" s="58">
        <f>'Daily Halba'!$K314*'Daily Halba'!$L314</f>
        <v>1129.6774</v>
      </c>
      <c r="N314" s="71">
        <v>7</v>
      </c>
      <c r="O314" s="71">
        <v>21</v>
      </c>
      <c r="P314" s="71">
        <v>39</v>
      </c>
      <c r="Q314" s="71"/>
      <c r="R314" s="71"/>
      <c r="S314" s="71">
        <v>390</v>
      </c>
      <c r="T314" s="71">
        <v>11.7</v>
      </c>
      <c r="U314" s="61">
        <f>SUM('Daily Halba'!$E314,'Daily Halba'!$H314,$M314:$T314)</f>
        <v>4658.7148999999999</v>
      </c>
      <c r="V314" s="22"/>
      <c r="W314" s="62">
        <f>766+320</f>
        <v>1086</v>
      </c>
      <c r="X314" s="62"/>
      <c r="Y314" s="62">
        <v>264</v>
      </c>
      <c r="Z314" s="62"/>
      <c r="AA314" s="72"/>
      <c r="AB314" s="73"/>
      <c r="AC314" s="73"/>
      <c r="AD314" s="73"/>
      <c r="AE314" s="86">
        <f t="shared" si="6"/>
        <v>0</v>
      </c>
      <c r="AF314" s="74"/>
      <c r="AG314" s="74">
        <v>743</v>
      </c>
      <c r="AH314" s="74"/>
      <c r="AI314" s="74"/>
      <c r="AJ314" s="74"/>
      <c r="AK314" s="74"/>
      <c r="AL314" s="74"/>
      <c r="AM314" s="74"/>
      <c r="AN314" s="87">
        <f t="shared" si="7"/>
        <v>743</v>
      </c>
      <c r="AO314" s="74"/>
      <c r="AP314" s="88">
        <f t="shared" si="8"/>
        <v>2093</v>
      </c>
      <c r="AQ314" s="75"/>
      <c r="AR314" s="22"/>
      <c r="AS314" s="70">
        <f>'Daily Halba'!$U314-'Daily Halba'!$AP314</f>
        <v>2565.7148999999999</v>
      </c>
      <c r="AT314" s="5"/>
      <c r="AU314" s="5"/>
      <c r="AV314" s="5"/>
    </row>
    <row r="315" spans="1:48" ht="12.75" customHeight="1" x14ac:dyDescent="0.3">
      <c r="A315" s="49">
        <v>46207</v>
      </c>
      <c r="B315" s="82"/>
      <c r="C315" s="51">
        <f>'ODOMETERS Halba'!J311</f>
        <v>3388</v>
      </c>
      <c r="D315" s="52">
        <v>1.2375</v>
      </c>
      <c r="E315" s="53">
        <f>'Daily Halba'!$C315*'Daily Halba'!$D315</f>
        <v>4192.6500000000005</v>
      </c>
      <c r="F315" s="54">
        <f>'ODOMETERS Halba'!K311</f>
        <v>3134</v>
      </c>
      <c r="G315" s="52">
        <v>1.2375</v>
      </c>
      <c r="H315" s="53">
        <f>'Daily Halba'!$F315*'Daily Halba'!$G315</f>
        <v>3878.3250000000003</v>
      </c>
      <c r="I315" s="54">
        <f>'Daily Halba'!$C315+'Daily Halba'!$F315</f>
        <v>6522</v>
      </c>
      <c r="J315" s="55">
        <f>'Daily Halba'!$I315*'Daily Halba'!$G315</f>
        <v>8070.9750000000004</v>
      </c>
      <c r="K315" s="56">
        <f>'ODOMETERS Halba'!L311</f>
        <v>1109</v>
      </c>
      <c r="L315" s="57">
        <v>1.0005999999999999</v>
      </c>
      <c r="M315" s="58">
        <f>'Daily Halba'!$K315*'Daily Halba'!$L315</f>
        <v>1109.6653999999999</v>
      </c>
      <c r="N315" s="71">
        <v>7</v>
      </c>
      <c r="O315" s="71">
        <v>31</v>
      </c>
      <c r="P315" s="71">
        <v>13</v>
      </c>
      <c r="Q315" s="71"/>
      <c r="R315" s="71"/>
      <c r="S315" s="71">
        <v>20</v>
      </c>
      <c r="T315" s="71">
        <v>15</v>
      </c>
      <c r="U315" s="61">
        <f>SUM('Daily Halba'!$E315,'Daily Halba'!$H315,$M315:$T315)</f>
        <v>9266.6404000000002</v>
      </c>
      <c r="V315" s="22"/>
      <c r="W315" s="62">
        <f>726-165+600</f>
        <v>1161</v>
      </c>
      <c r="X315" s="62">
        <f>1500*1.2375</f>
        <v>1856.25</v>
      </c>
      <c r="Y315" s="62">
        <v>357</v>
      </c>
      <c r="Z315" s="62">
        <v>19</v>
      </c>
      <c r="AA315" s="63">
        <v>165</v>
      </c>
      <c r="AB315" s="64"/>
      <c r="AC315" s="64"/>
      <c r="AD315" s="64"/>
      <c r="AE315" s="65">
        <f t="shared" si="6"/>
        <v>165</v>
      </c>
      <c r="AF315" s="66"/>
      <c r="AG315" s="66"/>
      <c r="AH315" s="66"/>
      <c r="AI315" s="66"/>
      <c r="AJ315" s="66"/>
      <c r="AK315" s="66"/>
      <c r="AL315" s="66"/>
      <c r="AM315" s="66"/>
      <c r="AN315" s="67">
        <f t="shared" si="7"/>
        <v>0</v>
      </c>
      <c r="AO315" s="66"/>
      <c r="AP315" s="68">
        <f t="shared" si="8"/>
        <v>3558.25</v>
      </c>
      <c r="AQ315" s="69"/>
      <c r="AR315" s="22"/>
      <c r="AS315" s="70">
        <f>'Daily Halba'!$U315-'Daily Halba'!$AP315</f>
        <v>5708.3904000000002</v>
      </c>
      <c r="AT315" s="5"/>
      <c r="AU315" s="5"/>
      <c r="AV315" s="5"/>
    </row>
    <row r="316" spans="1:48" ht="12.75" customHeight="1" x14ac:dyDescent="0.3">
      <c r="A316" s="49">
        <v>46208</v>
      </c>
      <c r="B316" s="82"/>
      <c r="C316" s="51">
        <f>'ODOMETERS Halba'!J312</f>
        <v>2803</v>
      </c>
      <c r="D316" s="52">
        <v>1.2375</v>
      </c>
      <c r="E316" s="53">
        <f>'Daily Halba'!$C316*'Daily Halba'!$D316</f>
        <v>3468.7125000000001</v>
      </c>
      <c r="F316" s="54">
        <f>'ODOMETERS Halba'!K312</f>
        <v>2190</v>
      </c>
      <c r="G316" s="52">
        <v>1.2375</v>
      </c>
      <c r="H316" s="53">
        <f>'Daily Halba'!$F316*'Daily Halba'!$G316</f>
        <v>2710.125</v>
      </c>
      <c r="I316" s="54">
        <f>'Daily Halba'!$C316+'Daily Halba'!$F316</f>
        <v>4993</v>
      </c>
      <c r="J316" s="55">
        <f>'Daily Halba'!$I316*'Daily Halba'!$G316</f>
        <v>6178.8375000000005</v>
      </c>
      <c r="K316" s="56">
        <f>'ODOMETERS Halba'!L312</f>
        <v>334</v>
      </c>
      <c r="L316" s="57">
        <v>1.0005999999999999</v>
      </c>
      <c r="M316" s="58">
        <f>'Daily Halba'!$K316*'Daily Halba'!$L316</f>
        <v>334.2004</v>
      </c>
      <c r="N316" s="71">
        <f>600/89.7</f>
        <v>6.6889632107023411</v>
      </c>
      <c r="O316" s="71">
        <f>3000/89.7</f>
        <v>33.444816053511701</v>
      </c>
      <c r="P316" s="71">
        <v>26</v>
      </c>
      <c r="Q316" s="71">
        <v>5</v>
      </c>
      <c r="R316" s="71"/>
      <c r="S316" s="71">
        <v>30</v>
      </c>
      <c r="T316" s="71">
        <f>(150+150+160+450+900+150+30)/89.7</f>
        <v>22.185061315496096</v>
      </c>
      <c r="U316" s="61">
        <f>SUM('Daily Halba'!$E316,'Daily Halba'!$H316,$M316:$T316)</f>
        <v>6636.3567405797094</v>
      </c>
      <c r="V316" s="22"/>
      <c r="W316" s="62">
        <f>10+15+14+30+30+66+10+10</f>
        <v>185</v>
      </c>
      <c r="X316" s="62"/>
      <c r="Y316" s="62">
        <f>(20+20+10+10+9+60+40+40+60+47+40)*1.2375</f>
        <v>440.55</v>
      </c>
      <c r="Z316" s="62">
        <v>20</v>
      </c>
      <c r="AA316" s="72"/>
      <c r="AB316" s="73"/>
      <c r="AC316" s="73"/>
      <c r="AD316" s="73"/>
      <c r="AE316" s="86">
        <f t="shared" si="6"/>
        <v>0</v>
      </c>
      <c r="AF316" s="74"/>
      <c r="AG316" s="74"/>
      <c r="AH316" s="74"/>
      <c r="AI316" s="74">
        <f>500/89.7</f>
        <v>5.5741360089186172</v>
      </c>
      <c r="AJ316" s="74"/>
      <c r="AK316" s="74"/>
      <c r="AL316" s="74"/>
      <c r="AM316" s="74"/>
      <c r="AN316" s="87">
        <f t="shared" si="7"/>
        <v>5.5741360089186172</v>
      </c>
      <c r="AO316" s="74"/>
      <c r="AP316" s="88">
        <f t="shared" si="8"/>
        <v>651.12413600891853</v>
      </c>
      <c r="AQ316" s="75"/>
      <c r="AR316" s="22"/>
      <c r="AS316" s="70">
        <f>'Daily Halba'!$U316-'Daily Halba'!$AP316</f>
        <v>5985.2326045707905</v>
      </c>
      <c r="AT316" s="5"/>
      <c r="AU316" s="5"/>
      <c r="AV316" s="19"/>
    </row>
    <row r="317" spans="1:48" ht="12.75" customHeight="1" x14ac:dyDescent="0.3">
      <c r="A317" s="49">
        <v>46209</v>
      </c>
      <c r="B317" s="82"/>
      <c r="C317" s="51">
        <f>'ODOMETERS Halba'!J313</f>
        <v>3487</v>
      </c>
      <c r="D317" s="52">
        <v>1.2375</v>
      </c>
      <c r="E317" s="53">
        <f>'Daily Halba'!$C317*'Daily Halba'!$D317</f>
        <v>4315.1625000000004</v>
      </c>
      <c r="F317" s="54">
        <f>'ODOMETERS Halba'!K313</f>
        <v>3009</v>
      </c>
      <c r="G317" s="52">
        <v>1.2375</v>
      </c>
      <c r="H317" s="53">
        <f>'Daily Halba'!$F317*'Daily Halba'!$G317</f>
        <v>3723.6375000000003</v>
      </c>
      <c r="I317" s="54">
        <f>'Daily Halba'!$C317+'Daily Halba'!$F317</f>
        <v>6496</v>
      </c>
      <c r="J317" s="55">
        <f>'Daily Halba'!$I317*'Daily Halba'!$G317</f>
        <v>8038.8</v>
      </c>
      <c r="K317" s="56">
        <f>'ODOMETERS Halba'!L313</f>
        <v>1226</v>
      </c>
      <c r="L317" s="57">
        <v>1.0005999999999999</v>
      </c>
      <c r="M317" s="58">
        <f>'Daily Halba'!$K317*'Daily Halba'!$L317</f>
        <v>1226.7356</v>
      </c>
      <c r="N317" s="71">
        <v>12</v>
      </c>
      <c r="O317" s="71">
        <f>21</f>
        <v>21</v>
      </c>
      <c r="P317" s="71"/>
      <c r="Q317" s="71"/>
      <c r="R317" s="71"/>
      <c r="S317" s="71">
        <f>50+40+200+2294+1444-195+972+1757</f>
        <v>6562</v>
      </c>
      <c r="T317" s="71">
        <f>(300+300+450+400+300+250)/89.7</f>
        <v>22.296544035674469</v>
      </c>
      <c r="U317" s="61">
        <f>SUM('Daily Halba'!$E317,'Daily Halba'!$H317,$M317:$T317)</f>
        <v>15882.832144035676</v>
      </c>
      <c r="V317" s="22"/>
      <c r="W317" s="62">
        <f>30+29+15+15+20+20+100+10+10+15+20+20+190+70+6+65+20+10+20+25+5+500*1.0006</f>
        <v>1215.3</v>
      </c>
      <c r="X317" s="62">
        <f>1500*1.2375</f>
        <v>1856.25</v>
      </c>
      <c r="Y317" s="62">
        <f>(20+20+18+20+20+20+20+20+40+20+20+30+18+9)*1.2375</f>
        <v>365.0625</v>
      </c>
      <c r="Z317" s="62"/>
      <c r="AA317" s="63"/>
      <c r="AB317" s="64"/>
      <c r="AC317" s="64"/>
      <c r="AD317" s="64"/>
      <c r="AE317" s="65">
        <f t="shared" si="6"/>
        <v>0</v>
      </c>
      <c r="AF317" s="66"/>
      <c r="AG317" s="66"/>
      <c r="AH317" s="66"/>
      <c r="AI317" s="66">
        <v>13</v>
      </c>
      <c r="AJ317" s="66"/>
      <c r="AK317" s="66"/>
      <c r="AL317" s="66"/>
      <c r="AM317" s="66"/>
      <c r="AN317" s="67">
        <f t="shared" si="7"/>
        <v>13</v>
      </c>
      <c r="AO317" s="66"/>
      <c r="AP317" s="68">
        <f t="shared" si="8"/>
        <v>3449.6125000000002</v>
      </c>
      <c r="AQ317" s="69" t="s">
        <v>239</v>
      </c>
      <c r="AR317" s="22"/>
      <c r="AS317" s="70">
        <f>'Daily Halba'!$U317-'Daily Halba'!$AP317</f>
        <v>12433.219644035675</v>
      </c>
      <c r="AT317" s="5"/>
      <c r="AU317" s="19"/>
      <c r="AV317" s="19"/>
    </row>
    <row r="318" spans="1:48" ht="12.75" customHeight="1" x14ac:dyDescent="0.3">
      <c r="A318" s="49">
        <v>46210</v>
      </c>
      <c r="B318" s="82" t="s">
        <v>24</v>
      </c>
      <c r="C318" s="51">
        <f>'ODOMETERS Halba'!J314</f>
        <v>1573</v>
      </c>
      <c r="D318" s="52">
        <v>1.2375</v>
      </c>
      <c r="E318" s="53">
        <f>'Daily Halba'!$C318*'Daily Halba'!$D318</f>
        <v>1946.5875000000001</v>
      </c>
      <c r="F318" s="54">
        <f>'ODOMETERS Halba'!K314</f>
        <v>1196</v>
      </c>
      <c r="G318" s="52">
        <v>1.2375</v>
      </c>
      <c r="H318" s="53">
        <f>'Daily Halba'!$F318*'Daily Halba'!$G318</f>
        <v>1480.05</v>
      </c>
      <c r="I318" s="54">
        <f>'Daily Halba'!$C318+'Daily Halba'!$F318</f>
        <v>2769</v>
      </c>
      <c r="J318" s="55">
        <f>'Daily Halba'!$I318*'Daily Halba'!$G318</f>
        <v>3426.6375000000003</v>
      </c>
      <c r="K318" s="56">
        <f>'ODOMETERS Halba'!L314</f>
        <v>896</v>
      </c>
      <c r="L318" s="57">
        <v>1.0005999999999999</v>
      </c>
      <c r="M318" s="58">
        <f>'Daily Halba'!$K318*'Daily Halba'!$L318</f>
        <v>896.53759999999988</v>
      </c>
      <c r="N318" s="71"/>
      <c r="O318" s="71">
        <v>32</v>
      </c>
      <c r="P318" s="71">
        <v>13</v>
      </c>
      <c r="Q318" s="71"/>
      <c r="R318" s="71"/>
      <c r="S318" s="71">
        <v>450</v>
      </c>
      <c r="T318" s="71">
        <v>5</v>
      </c>
      <c r="U318" s="61">
        <f>SUM('Daily Halba'!$E318,'Daily Halba'!$H318,$M318:$T318)</f>
        <v>4823.1750999999995</v>
      </c>
      <c r="V318" s="22"/>
      <c r="W318" s="62">
        <v>501</v>
      </c>
      <c r="X318" s="62">
        <f>500*1.0006</f>
        <v>500.29999999999995</v>
      </c>
      <c r="Y318" s="62">
        <v>99</v>
      </c>
      <c r="Z318" s="62"/>
      <c r="AA318" s="72"/>
      <c r="AB318" s="73"/>
      <c r="AC318" s="73"/>
      <c r="AD318" s="73"/>
      <c r="AE318" s="86">
        <f t="shared" si="6"/>
        <v>0</v>
      </c>
      <c r="AF318" s="74"/>
      <c r="AG318" s="74"/>
      <c r="AH318" s="74"/>
      <c r="AI318" s="74"/>
      <c r="AJ318" s="74"/>
      <c r="AK318" s="74"/>
      <c r="AL318" s="74"/>
      <c r="AM318" s="74"/>
      <c r="AN318" s="87">
        <f t="shared" si="7"/>
        <v>0</v>
      </c>
      <c r="AO318" s="74"/>
      <c r="AP318" s="88">
        <f t="shared" si="8"/>
        <v>1100.3</v>
      </c>
      <c r="AQ318" s="75" t="s">
        <v>240</v>
      </c>
      <c r="AR318" s="22"/>
      <c r="AS318" s="70">
        <f>'Daily Halba'!$U318-'Daily Halba'!$AP318</f>
        <v>3722.8750999999993</v>
      </c>
      <c r="AT318" s="5"/>
      <c r="AU318" s="5"/>
      <c r="AV318" s="5"/>
    </row>
    <row r="319" spans="1:48" ht="12.75" customHeight="1" x14ac:dyDescent="0.3">
      <c r="A319" s="49">
        <v>46210</v>
      </c>
      <c r="B319" s="82" t="s">
        <v>25</v>
      </c>
      <c r="C319" s="51">
        <f>'ODOMETERS Halba'!J315</f>
        <v>963</v>
      </c>
      <c r="D319" s="52">
        <v>1.2302</v>
      </c>
      <c r="E319" s="53">
        <f>'Daily Halba'!$C319*'Daily Halba'!$D319</f>
        <v>1184.6825999999999</v>
      </c>
      <c r="F319" s="54">
        <f>'ODOMETERS Halba'!K315</f>
        <v>847</v>
      </c>
      <c r="G319" s="52">
        <v>1.2302</v>
      </c>
      <c r="H319" s="53">
        <f>'Daily Halba'!$F319*'Daily Halba'!$G319</f>
        <v>1041.9793999999999</v>
      </c>
      <c r="I319" s="54">
        <f>'Daily Halba'!$C319+'Daily Halba'!$F319</f>
        <v>1810</v>
      </c>
      <c r="J319" s="55">
        <f>'Daily Halba'!$I319*'Daily Halba'!$G319</f>
        <v>2226.6619999999998</v>
      </c>
      <c r="K319" s="56">
        <f>'ODOMETERS Halba'!L315</f>
        <v>666</v>
      </c>
      <c r="L319" s="57">
        <v>0.99219999999999997</v>
      </c>
      <c r="M319" s="58">
        <f>'Daily Halba'!$K319*'Daily Halba'!$L319</f>
        <v>660.80520000000001</v>
      </c>
      <c r="N319" s="71">
        <v>5</v>
      </c>
      <c r="O319" s="71"/>
      <c r="P319" s="71"/>
      <c r="Q319" s="71"/>
      <c r="R319" s="71"/>
      <c r="S319" s="71">
        <v>15</v>
      </c>
      <c r="T319" s="71">
        <v>5</v>
      </c>
      <c r="U319" s="61">
        <f>SUM('Daily Halba'!$E319,'Daily Halba'!$H319,$M319:$T319)</f>
        <v>2912.4672</v>
      </c>
      <c r="V319" s="22"/>
      <c r="W319" s="62">
        <f>700+139</f>
        <v>839</v>
      </c>
      <c r="X319" s="62"/>
      <c r="Y319" s="62">
        <v>98</v>
      </c>
      <c r="Z319" s="62"/>
      <c r="AA319" s="63"/>
      <c r="AB319" s="64"/>
      <c r="AC319" s="64"/>
      <c r="AD319" s="64"/>
      <c r="AE319" s="65">
        <f t="shared" si="6"/>
        <v>0</v>
      </c>
      <c r="AF319" s="66"/>
      <c r="AG319" s="66"/>
      <c r="AH319" s="66"/>
      <c r="AI319" s="66"/>
      <c r="AJ319" s="66"/>
      <c r="AK319" s="66"/>
      <c r="AL319" s="66"/>
      <c r="AM319" s="66"/>
      <c r="AN319" s="67">
        <f t="shared" si="7"/>
        <v>0</v>
      </c>
      <c r="AO319" s="66"/>
      <c r="AP319" s="68">
        <f t="shared" si="8"/>
        <v>937</v>
      </c>
      <c r="AQ319" s="69"/>
      <c r="AR319" s="22"/>
      <c r="AS319" s="70">
        <f>'Daily Halba'!$U319-'Daily Halba'!$AP319</f>
        <v>1975.4672</v>
      </c>
      <c r="AT319" s="5"/>
      <c r="AU319" s="5"/>
      <c r="AV319" s="5"/>
    </row>
    <row r="320" spans="1:48" ht="12.75" customHeight="1" x14ac:dyDescent="0.3">
      <c r="A320" s="49">
        <v>46211</v>
      </c>
      <c r="B320" s="82"/>
      <c r="C320" s="51">
        <f>'ODOMETERS Halba'!J316</f>
        <v>3656</v>
      </c>
      <c r="D320" s="52">
        <v>1.2302</v>
      </c>
      <c r="E320" s="53">
        <f>'Daily Halba'!$C320*'Daily Halba'!$D320</f>
        <v>4497.6112000000003</v>
      </c>
      <c r="F320" s="54">
        <f>'ODOMETERS Halba'!K316</f>
        <v>2112</v>
      </c>
      <c r="G320" s="52">
        <v>1.2302</v>
      </c>
      <c r="H320" s="53">
        <f>'Daily Halba'!$F320*'Daily Halba'!$G320</f>
        <v>2598.1823999999997</v>
      </c>
      <c r="I320" s="54">
        <f>'Daily Halba'!$C320+'Daily Halba'!$F320</f>
        <v>5768</v>
      </c>
      <c r="J320" s="55">
        <f>'Daily Halba'!$I320*'Daily Halba'!$G320</f>
        <v>7095.7936</v>
      </c>
      <c r="K320" s="56">
        <f>'ODOMETERS Halba'!L316</f>
        <v>774</v>
      </c>
      <c r="L320" s="57">
        <v>0.99219999999999997</v>
      </c>
      <c r="M320" s="58">
        <f>'Daily Halba'!$K320*'Daily Halba'!$L320</f>
        <v>767.96280000000002</v>
      </c>
      <c r="N320" s="71">
        <v>14</v>
      </c>
      <c r="O320" s="71">
        <v>22</v>
      </c>
      <c r="P320" s="71">
        <v>26</v>
      </c>
      <c r="Q320" s="71"/>
      <c r="R320" s="71"/>
      <c r="S320" s="71"/>
      <c r="T320" s="71">
        <v>24</v>
      </c>
      <c r="U320" s="61">
        <f>SUM('Daily Halba'!$E320,'Daily Halba'!$H320,$M320:$T320)</f>
        <v>7949.7564000000002</v>
      </c>
      <c r="V320" s="22"/>
      <c r="W320" s="62">
        <v>848</v>
      </c>
      <c r="X320" s="62">
        <f>1000*1.2302</f>
        <v>1230.2</v>
      </c>
      <c r="Y320" s="62">
        <v>394</v>
      </c>
      <c r="Z320" s="62">
        <v>1</v>
      </c>
      <c r="AA320" s="72"/>
      <c r="AB320" s="73"/>
      <c r="AC320" s="73"/>
      <c r="AD320" s="73"/>
      <c r="AE320" s="86">
        <f t="shared" si="6"/>
        <v>0</v>
      </c>
      <c r="AF320" s="74"/>
      <c r="AG320" s="74"/>
      <c r="AH320" s="74"/>
      <c r="AI320" s="74"/>
      <c r="AJ320" s="74"/>
      <c r="AK320" s="74"/>
      <c r="AL320" s="74"/>
      <c r="AM320" s="74"/>
      <c r="AN320" s="87">
        <f t="shared" si="7"/>
        <v>0</v>
      </c>
      <c r="AO320" s="74"/>
      <c r="AP320" s="88">
        <f t="shared" si="8"/>
        <v>2473.1999999999998</v>
      </c>
      <c r="AQ320" s="75"/>
      <c r="AR320" s="22"/>
      <c r="AS320" s="70">
        <f>'Daily Halba'!$U320-'Daily Halba'!$AP320</f>
        <v>5476.5564000000004</v>
      </c>
      <c r="AT320" s="5"/>
      <c r="AU320" s="5"/>
      <c r="AV320" s="5"/>
    </row>
    <row r="321" spans="1:49" ht="12.75" customHeight="1" x14ac:dyDescent="0.3">
      <c r="A321" s="49">
        <v>46212</v>
      </c>
      <c r="B321" s="82"/>
      <c r="C321" s="51">
        <f>'ODOMETERS Halba'!J317</f>
        <v>2822</v>
      </c>
      <c r="D321" s="52">
        <v>1.2302</v>
      </c>
      <c r="E321" s="53">
        <f>'Daily Halba'!$C321*'Daily Halba'!$D321</f>
        <v>3471.6243999999997</v>
      </c>
      <c r="F321" s="54">
        <f>'ODOMETERS Halba'!K317</f>
        <v>1911</v>
      </c>
      <c r="G321" s="52">
        <v>1.2302</v>
      </c>
      <c r="H321" s="53">
        <f>'Daily Halba'!$F321*'Daily Halba'!$G321</f>
        <v>2350.9121999999998</v>
      </c>
      <c r="I321" s="54">
        <f>'Daily Halba'!$C321+'Daily Halba'!$F321</f>
        <v>4733</v>
      </c>
      <c r="J321" s="55">
        <f>'Daily Halba'!$I321*'Daily Halba'!$G321</f>
        <v>5822.5365999999995</v>
      </c>
      <c r="K321" s="56">
        <f>'ODOMETERS Halba'!L317</f>
        <v>1165</v>
      </c>
      <c r="L321" s="57">
        <v>0.99219999999999997</v>
      </c>
      <c r="M321" s="58">
        <f>'Daily Halba'!$K321*'Daily Halba'!$L321</f>
        <v>1155.913</v>
      </c>
      <c r="N321" s="71">
        <v>21</v>
      </c>
      <c r="O321" s="71">
        <v>22.85</v>
      </c>
      <c r="P321" s="71">
        <v>37.5</v>
      </c>
      <c r="Q321" s="71"/>
      <c r="R321" s="71"/>
      <c r="S321" s="71">
        <v>250</v>
      </c>
      <c r="T321" s="71">
        <v>15.6</v>
      </c>
      <c r="U321" s="61">
        <f>SUM('Daily Halba'!$E321,'Daily Halba'!$H321,$M321:$T321)</f>
        <v>7325.3996000000006</v>
      </c>
      <c r="V321" s="22"/>
      <c r="W321" s="62">
        <f>573+392+615</f>
        <v>1580</v>
      </c>
      <c r="X321" s="62"/>
      <c r="Y321" s="62">
        <v>290</v>
      </c>
      <c r="Z321" s="62">
        <v>9</v>
      </c>
      <c r="AA321" s="63"/>
      <c r="AB321" s="64"/>
      <c r="AC321" s="64"/>
      <c r="AD321" s="64"/>
      <c r="AE321" s="65">
        <f t="shared" si="6"/>
        <v>0</v>
      </c>
      <c r="AF321" s="66"/>
      <c r="AG321" s="66"/>
      <c r="AH321" s="66"/>
      <c r="AI321" s="66"/>
      <c r="AJ321" s="66"/>
      <c r="AK321" s="66"/>
      <c r="AL321" s="66"/>
      <c r="AM321" s="66"/>
      <c r="AN321" s="67">
        <f t="shared" si="7"/>
        <v>0</v>
      </c>
      <c r="AO321" s="66"/>
      <c r="AP321" s="68">
        <f t="shared" si="8"/>
        <v>1879</v>
      </c>
      <c r="AQ321" s="69"/>
      <c r="AR321" s="22"/>
      <c r="AS321" s="70">
        <f>'Daily Halba'!$U321-'Daily Halba'!$AP321</f>
        <v>5446.3996000000006</v>
      </c>
      <c r="AT321" s="5"/>
      <c r="AU321" s="5"/>
      <c r="AV321" s="5"/>
    </row>
    <row r="322" spans="1:49" ht="12.75" customHeight="1" x14ac:dyDescent="0.3">
      <c r="A322" s="49">
        <v>46213</v>
      </c>
      <c r="B322" s="82" t="s">
        <v>24</v>
      </c>
      <c r="C322" s="51">
        <f>'ODOMETERS Halba'!J318</f>
        <v>1046</v>
      </c>
      <c r="D322" s="52">
        <v>1.2302</v>
      </c>
      <c r="E322" s="53">
        <f>'Daily Halba'!$C322*'Daily Halba'!$D322</f>
        <v>1286.7891999999999</v>
      </c>
      <c r="F322" s="54">
        <f>'ODOMETERS Halba'!K318</f>
        <v>759</v>
      </c>
      <c r="G322" s="52">
        <v>1.2302</v>
      </c>
      <c r="H322" s="53">
        <f>'Daily Halba'!$F322*'Daily Halba'!$G322</f>
        <v>933.72179999999992</v>
      </c>
      <c r="I322" s="54">
        <f>'Daily Halba'!$C322+'Daily Halba'!$F322</f>
        <v>1805</v>
      </c>
      <c r="J322" s="55">
        <f>'Daily Halba'!$I322*'Daily Halba'!$G322</f>
        <v>2220.511</v>
      </c>
      <c r="K322" s="56">
        <f>'ODOMETERS Halba'!L318</f>
        <v>448</v>
      </c>
      <c r="L322" s="57">
        <v>0.99219999999999997</v>
      </c>
      <c r="M322" s="58">
        <f>'Daily Halba'!$K322*'Daily Halba'!$L322</f>
        <v>444.50559999999996</v>
      </c>
      <c r="N322" s="71">
        <v>7</v>
      </c>
      <c r="O322" s="71">
        <v>4</v>
      </c>
      <c r="P322" s="71">
        <v>13</v>
      </c>
      <c r="Q322" s="71"/>
      <c r="R322" s="71"/>
      <c r="S322" s="71"/>
      <c r="T322" s="71">
        <v>7</v>
      </c>
      <c r="U322" s="61">
        <f>SUM('Daily Halba'!$E322,'Daily Halba'!$H322,$M322:$T322)</f>
        <v>2696.0165999999999</v>
      </c>
      <c r="V322" s="22"/>
      <c r="W322" s="62">
        <v>305</v>
      </c>
      <c r="X322" s="62"/>
      <c r="Y322" s="62">
        <v>121</v>
      </c>
      <c r="Z322" s="62"/>
      <c r="AA322" s="72"/>
      <c r="AB322" s="73"/>
      <c r="AC322" s="73"/>
      <c r="AD322" s="73"/>
      <c r="AE322" s="86">
        <f t="shared" si="6"/>
        <v>0</v>
      </c>
      <c r="AF322" s="74"/>
      <c r="AG322" s="74"/>
      <c r="AH322" s="74"/>
      <c r="AI322" s="74"/>
      <c r="AJ322" s="74"/>
      <c r="AK322" s="74"/>
      <c r="AL322" s="74"/>
      <c r="AM322" s="74"/>
      <c r="AN322" s="87">
        <f t="shared" si="7"/>
        <v>0</v>
      </c>
      <c r="AO322" s="74"/>
      <c r="AP322" s="88">
        <f t="shared" si="8"/>
        <v>426</v>
      </c>
      <c r="AQ322" s="75"/>
      <c r="AR322" s="22"/>
      <c r="AS322" s="70">
        <f>'Daily Halba'!$U322-'Daily Halba'!$AP322</f>
        <v>2270.0165999999999</v>
      </c>
      <c r="AT322" s="5"/>
      <c r="AU322" s="5"/>
      <c r="AV322" s="5"/>
    </row>
    <row r="323" spans="1:49" ht="12.75" customHeight="1" x14ac:dyDescent="0.3">
      <c r="A323" s="49">
        <v>46213</v>
      </c>
      <c r="B323" s="82" t="s">
        <v>25</v>
      </c>
      <c r="C323" s="51">
        <f>'ODOMETERS Halba'!J319</f>
        <v>1033</v>
      </c>
      <c r="D323" s="52">
        <v>1.238</v>
      </c>
      <c r="E323" s="53">
        <f>'Daily Halba'!$C323*'Daily Halba'!$D323</f>
        <v>1278.854</v>
      </c>
      <c r="F323" s="54">
        <f>'ODOMETERS Halba'!K319</f>
        <v>1147</v>
      </c>
      <c r="G323" s="52">
        <v>1.238</v>
      </c>
      <c r="H323" s="53">
        <f>'Daily Halba'!$F323*'Daily Halba'!$G323</f>
        <v>1419.9859999999999</v>
      </c>
      <c r="I323" s="54">
        <f>'Daily Halba'!$C323+'Daily Halba'!$F323</f>
        <v>2180</v>
      </c>
      <c r="J323" s="55">
        <f>'Daily Halba'!$I323*'Daily Halba'!$G323</f>
        <v>2698.84</v>
      </c>
      <c r="K323" s="56">
        <f>'ODOMETERS Halba'!L319</f>
        <v>535</v>
      </c>
      <c r="L323" s="57">
        <v>1.01</v>
      </c>
      <c r="M323" s="58">
        <f>'Daily Halba'!$K323*'Daily Halba'!$L323</f>
        <v>540.35</v>
      </c>
      <c r="N323" s="71">
        <v>12</v>
      </c>
      <c r="O323" s="71">
        <v>31</v>
      </c>
      <c r="P323" s="71">
        <v>25</v>
      </c>
      <c r="Q323" s="71"/>
      <c r="R323" s="71"/>
      <c r="S323" s="71">
        <v>351</v>
      </c>
      <c r="T323" s="71">
        <v>11.7</v>
      </c>
      <c r="U323" s="61">
        <f>SUM('Daily Halba'!$E323,'Daily Halba'!$H323,$M323:$T323)</f>
        <v>3669.89</v>
      </c>
      <c r="V323" s="22"/>
      <c r="W323" s="62">
        <f>37+399</f>
        <v>436</v>
      </c>
      <c r="X323" s="62"/>
      <c r="Y323" s="62">
        <v>172</v>
      </c>
      <c r="Z323" s="62">
        <v>3</v>
      </c>
      <c r="AA323" s="63"/>
      <c r="AB323" s="64"/>
      <c r="AC323" s="64"/>
      <c r="AD323" s="64"/>
      <c r="AE323" s="65">
        <f t="shared" si="6"/>
        <v>0</v>
      </c>
      <c r="AF323" s="66"/>
      <c r="AG323" s="66"/>
      <c r="AH323" s="66"/>
      <c r="AI323" s="66"/>
      <c r="AJ323" s="66"/>
      <c r="AK323" s="66"/>
      <c r="AL323" s="66"/>
      <c r="AM323" s="66"/>
      <c r="AN323" s="67">
        <f t="shared" si="7"/>
        <v>0</v>
      </c>
      <c r="AO323" s="66"/>
      <c r="AP323" s="68">
        <f t="shared" si="8"/>
        <v>611</v>
      </c>
      <c r="AQ323" s="69"/>
      <c r="AR323" s="22"/>
      <c r="AS323" s="70">
        <f>'Daily Halba'!$U323-'Daily Halba'!$AP323</f>
        <v>3058.89</v>
      </c>
      <c r="AT323" s="5"/>
      <c r="AU323" s="5"/>
      <c r="AV323" s="5"/>
    </row>
    <row r="324" spans="1:49" ht="12.75" customHeight="1" x14ac:dyDescent="0.3">
      <c r="A324" s="49">
        <v>46214</v>
      </c>
      <c r="B324" s="82"/>
      <c r="C324" s="51">
        <f>'ODOMETERS Halba'!J320</f>
        <v>3028</v>
      </c>
      <c r="D324" s="52">
        <v>1.238</v>
      </c>
      <c r="E324" s="53">
        <f>'Daily Halba'!$C324*'Daily Halba'!$D324</f>
        <v>3748.6639999999998</v>
      </c>
      <c r="F324" s="54">
        <f>'ODOMETERS Halba'!K320</f>
        <v>1762</v>
      </c>
      <c r="G324" s="52">
        <v>1.238</v>
      </c>
      <c r="H324" s="53">
        <f>'Daily Halba'!$F324*'Daily Halba'!$G324</f>
        <v>2181.3559999999998</v>
      </c>
      <c r="I324" s="54">
        <f>'Daily Halba'!$C324+'Daily Halba'!$F324</f>
        <v>4790</v>
      </c>
      <c r="J324" s="55">
        <f>'Daily Halba'!$I324*'Daily Halba'!$G324</f>
        <v>5930.0199999999995</v>
      </c>
      <c r="K324" s="56">
        <f>'ODOMETERS Halba'!L320</f>
        <v>3971</v>
      </c>
      <c r="L324" s="57">
        <v>1.01</v>
      </c>
      <c r="M324" s="58">
        <f>'Daily Halba'!$K324*'Daily Halba'!$L324</f>
        <v>4010.71</v>
      </c>
      <c r="N324" s="71">
        <v>68</v>
      </c>
      <c r="O324" s="71">
        <v>26</v>
      </c>
      <c r="P324" s="71">
        <v>38</v>
      </c>
      <c r="Q324" s="71"/>
      <c r="R324" s="71">
        <v>100</v>
      </c>
      <c r="S324" s="71">
        <f>1510+7452+3168</f>
        <v>12130</v>
      </c>
      <c r="T324" s="71">
        <v>15</v>
      </c>
      <c r="U324" s="61">
        <f>SUM('Daily Halba'!$E324,'Daily Halba'!$H324,$M324:$T324)</f>
        <v>22317.73</v>
      </c>
      <c r="V324" s="22"/>
      <c r="W324" s="62">
        <v>626</v>
      </c>
      <c r="X324" s="62"/>
      <c r="Y324" s="62">
        <v>300</v>
      </c>
      <c r="Z324" s="62">
        <v>11</v>
      </c>
      <c r="AA324" s="72"/>
      <c r="AB324" s="73"/>
      <c r="AC324" s="73"/>
      <c r="AD324" s="73"/>
      <c r="AE324" s="86">
        <f t="shared" si="6"/>
        <v>0</v>
      </c>
      <c r="AF324" s="74"/>
      <c r="AG324" s="74"/>
      <c r="AH324" s="74"/>
      <c r="AI324" s="74"/>
      <c r="AJ324" s="74"/>
      <c r="AK324" s="74"/>
      <c r="AL324" s="74"/>
      <c r="AM324" s="74"/>
      <c r="AN324" s="87">
        <f t="shared" si="7"/>
        <v>0</v>
      </c>
      <c r="AO324" s="74"/>
      <c r="AP324" s="88">
        <f t="shared" si="8"/>
        <v>937</v>
      </c>
      <c r="AQ324" s="75"/>
      <c r="AR324" s="22"/>
      <c r="AS324" s="70">
        <f>'Daily Halba'!$U324-'Daily Halba'!$AP324</f>
        <v>21380.73</v>
      </c>
      <c r="AT324" s="5"/>
      <c r="AU324" s="5"/>
      <c r="AV324" s="5"/>
    </row>
    <row r="325" spans="1:49" ht="12.75" customHeight="1" x14ac:dyDescent="0.3">
      <c r="A325" s="49">
        <v>46215</v>
      </c>
      <c r="B325" s="82"/>
      <c r="C325" s="51">
        <f>'ODOMETERS Halba'!J321</f>
        <v>2710</v>
      </c>
      <c r="D325" s="52">
        <v>1.238</v>
      </c>
      <c r="E325" s="53">
        <f>'Daily Halba'!$C325*'Daily Halba'!$D325</f>
        <v>3354.98</v>
      </c>
      <c r="F325" s="54">
        <f>'ODOMETERS Halba'!K321</f>
        <v>1783</v>
      </c>
      <c r="G325" s="52">
        <v>1.238</v>
      </c>
      <c r="H325" s="53">
        <f>'Daily Halba'!$F325*'Daily Halba'!$G325</f>
        <v>2207.3539999999998</v>
      </c>
      <c r="I325" s="54">
        <f>'Daily Halba'!$C325+'Daily Halba'!$F325</f>
        <v>4493</v>
      </c>
      <c r="J325" s="55">
        <f>'Daily Halba'!$I325*'Daily Halba'!$G325</f>
        <v>5562.3339999999998</v>
      </c>
      <c r="K325" s="56">
        <f>'ODOMETERS Halba'!L321</f>
        <v>838</v>
      </c>
      <c r="L325" s="57">
        <v>1.01</v>
      </c>
      <c r="M325" s="58">
        <f>'Daily Halba'!$K325*'Daily Halba'!$L325</f>
        <v>846.38</v>
      </c>
      <c r="N325" s="71">
        <f>8+300/89.7+50+4+4</f>
        <v>69.344481605351177</v>
      </c>
      <c r="O325" s="71">
        <v>35</v>
      </c>
      <c r="P325" s="71">
        <f>12.5*4</f>
        <v>50</v>
      </c>
      <c r="Q325" s="71"/>
      <c r="R325" s="71"/>
      <c r="S325" s="71">
        <f>10+334+20+1000</f>
        <v>1364</v>
      </c>
      <c r="T325" s="71">
        <f>(250+150+150+100+300+150+300+150+150+150+100+150)/89.7</f>
        <v>23.411371237458194</v>
      </c>
      <c r="U325" s="61">
        <f>SUM('Daily Halba'!$E325,'Daily Halba'!$H325,$M325:$T325)</f>
        <v>7950.4698528428098</v>
      </c>
      <c r="V325" s="22"/>
      <c r="W325" s="62">
        <f>10+20+15+10+10+10+40+10+5+30+20+50+10+500*1.01+15+20*1.238+12</f>
        <v>796.76</v>
      </c>
      <c r="X325" s="62"/>
      <c r="Y325" s="62">
        <f>(30+27+20+20+10+40+18+20+40+30+20+20+10+20+20)*1.238</f>
        <v>427.11</v>
      </c>
      <c r="Z325" s="62"/>
      <c r="AA325" s="63"/>
      <c r="AB325" s="64"/>
      <c r="AC325" s="64"/>
      <c r="AD325" s="64"/>
      <c r="AE325" s="65">
        <f t="shared" si="6"/>
        <v>0</v>
      </c>
      <c r="AF325" s="66"/>
      <c r="AG325" s="66"/>
      <c r="AH325" s="66"/>
      <c r="AI325" s="66">
        <f>20+8</f>
        <v>28</v>
      </c>
      <c r="AJ325" s="66"/>
      <c r="AK325" s="66"/>
      <c r="AL325" s="66"/>
      <c r="AM325" s="66"/>
      <c r="AN325" s="67">
        <f t="shared" si="7"/>
        <v>28</v>
      </c>
      <c r="AO325" s="66">
        <v>4500</v>
      </c>
      <c r="AP325" s="68">
        <f t="shared" si="8"/>
        <v>5751.87</v>
      </c>
      <c r="AQ325" s="69"/>
      <c r="AR325" s="22"/>
      <c r="AS325" s="70">
        <f>'Daily Halba'!$U325-'Daily Halba'!$AP325</f>
        <v>2198.5998528428099</v>
      </c>
      <c r="AT325" s="5"/>
      <c r="AU325" s="5"/>
      <c r="AV325" s="5"/>
      <c r="AW325" s="237"/>
    </row>
    <row r="326" spans="1:49" ht="12.75" customHeight="1" x14ac:dyDescent="0.3">
      <c r="A326" s="49">
        <v>46216</v>
      </c>
      <c r="B326" s="82"/>
      <c r="C326" s="51">
        <f>'ODOMETERS Halba'!J322</f>
        <v>2776</v>
      </c>
      <c r="D326" s="52">
        <v>1.238</v>
      </c>
      <c r="E326" s="53">
        <f>'Daily Halba'!$C326*'Daily Halba'!$D326</f>
        <v>3436.6880000000001</v>
      </c>
      <c r="F326" s="54">
        <f>'ODOMETERS Halba'!K322</f>
        <v>1749</v>
      </c>
      <c r="G326" s="52">
        <v>1.238</v>
      </c>
      <c r="H326" s="53">
        <f>'Daily Halba'!$F326*'Daily Halba'!$G326</f>
        <v>2165.2620000000002</v>
      </c>
      <c r="I326" s="54">
        <f>'Daily Halba'!$C326+'Daily Halba'!$F326</f>
        <v>4525</v>
      </c>
      <c r="J326" s="55">
        <f>'Daily Halba'!$I326*'Daily Halba'!$G326</f>
        <v>5601.95</v>
      </c>
      <c r="K326" s="56">
        <f>'ODOMETERS Halba'!L322</f>
        <v>5151</v>
      </c>
      <c r="L326" s="57">
        <v>1.01</v>
      </c>
      <c r="M326" s="58">
        <f>'Daily Halba'!$K326*'Daily Halba'!$L326</f>
        <v>5202.51</v>
      </c>
      <c r="N326" s="71">
        <v>16</v>
      </c>
      <c r="O326" s="71">
        <v>15</v>
      </c>
      <c r="P326" s="71">
        <v>12.5</v>
      </c>
      <c r="Q326" s="71"/>
      <c r="R326" s="71"/>
      <c r="S326" s="71"/>
      <c r="T326" s="71">
        <v>15</v>
      </c>
      <c r="U326" s="61">
        <f>SUM('Daily Halba'!$E326,'Daily Halba'!$H326,$M326:$T326)</f>
        <v>10862.960000000001</v>
      </c>
      <c r="V326" s="22"/>
      <c r="W326" s="62">
        <f>4000*1.01+793</f>
        <v>4833</v>
      </c>
      <c r="X326" s="62"/>
      <c r="Y326" s="62">
        <v>302</v>
      </c>
      <c r="Z326" s="62">
        <v>32</v>
      </c>
      <c r="AA326" s="72"/>
      <c r="AB326" s="73"/>
      <c r="AC326" s="73"/>
      <c r="AD326" s="73"/>
      <c r="AE326" s="86">
        <f t="shared" si="6"/>
        <v>0</v>
      </c>
      <c r="AF326" s="74"/>
      <c r="AG326" s="74"/>
      <c r="AH326" s="74"/>
      <c r="AI326" s="74"/>
      <c r="AJ326" s="74"/>
      <c r="AK326" s="74"/>
      <c r="AL326" s="74"/>
      <c r="AM326" s="74"/>
      <c r="AN326" s="87">
        <f t="shared" si="7"/>
        <v>0</v>
      </c>
      <c r="AO326" s="74"/>
      <c r="AP326" s="88">
        <f t="shared" si="8"/>
        <v>5167</v>
      </c>
      <c r="AQ326" s="75"/>
      <c r="AR326" s="22"/>
      <c r="AS326" s="70">
        <f>'Daily Halba'!$U326-'Daily Halba'!$AP326</f>
        <v>5695.9600000000009</v>
      </c>
      <c r="AT326" s="5"/>
      <c r="AU326" s="5"/>
      <c r="AV326" s="5"/>
    </row>
    <row r="327" spans="1:49" ht="12.75" customHeight="1" x14ac:dyDescent="0.3">
      <c r="A327" s="49"/>
      <c r="B327" s="82"/>
      <c r="C327" s="51"/>
      <c r="D327" s="52"/>
      <c r="E327" s="53"/>
      <c r="F327" s="54"/>
      <c r="G327" s="52"/>
      <c r="H327" s="53"/>
      <c r="I327" s="54"/>
      <c r="J327" s="53"/>
      <c r="K327" s="83"/>
      <c r="L327" s="57"/>
      <c r="M327" s="58"/>
      <c r="N327" s="71"/>
      <c r="O327" s="71"/>
      <c r="P327" s="71"/>
      <c r="Q327" s="71"/>
      <c r="R327" s="71"/>
      <c r="S327" s="71"/>
      <c r="T327" s="71"/>
      <c r="U327" s="61">
        <f>SUM('Daily Halba'!$E327,'Daily Halba'!$H327,$M327:$T327)</f>
        <v>0</v>
      </c>
      <c r="V327" s="22"/>
      <c r="W327" s="62"/>
      <c r="X327" s="62"/>
      <c r="Y327" s="62"/>
      <c r="Z327" s="62"/>
      <c r="AA327" s="63"/>
      <c r="AB327" s="64"/>
      <c r="AC327" s="64"/>
      <c r="AD327" s="64"/>
      <c r="AE327" s="65">
        <f t="shared" si="6"/>
        <v>0</v>
      </c>
      <c r="AF327" s="66"/>
      <c r="AG327" s="66"/>
      <c r="AH327" s="66"/>
      <c r="AI327" s="66"/>
      <c r="AJ327" s="66"/>
      <c r="AK327" s="66"/>
      <c r="AL327" s="66"/>
      <c r="AM327" s="66"/>
      <c r="AN327" s="67">
        <f t="shared" si="7"/>
        <v>0</v>
      </c>
      <c r="AO327" s="66"/>
      <c r="AP327" s="68">
        <f t="shared" si="8"/>
        <v>0</v>
      </c>
      <c r="AQ327" s="69"/>
      <c r="AR327" s="22"/>
      <c r="AS327" s="70">
        <f>'Daily Halba'!$U327-'Daily Halba'!$AP327</f>
        <v>0</v>
      </c>
      <c r="AT327" s="5"/>
      <c r="AU327" s="5"/>
      <c r="AV327" s="5"/>
    </row>
    <row r="328" spans="1:49" ht="12.75" customHeight="1" x14ac:dyDescent="0.3">
      <c r="A328" s="49"/>
      <c r="B328" s="82"/>
      <c r="C328" s="51"/>
      <c r="D328" s="52"/>
      <c r="E328" s="53"/>
      <c r="F328" s="54"/>
      <c r="G328" s="52"/>
      <c r="H328" s="53"/>
      <c r="I328" s="54"/>
      <c r="J328" s="53"/>
      <c r="K328" s="83"/>
      <c r="L328" s="57"/>
      <c r="M328" s="58"/>
      <c r="N328" s="71"/>
      <c r="O328" s="71"/>
      <c r="P328" s="71"/>
      <c r="Q328" s="71"/>
      <c r="R328" s="71"/>
      <c r="S328" s="71"/>
      <c r="T328" s="71"/>
      <c r="U328" s="61">
        <f>SUM('Daily Halba'!$E328,'Daily Halba'!$H328,$M328:$T328)</f>
        <v>0</v>
      </c>
      <c r="V328" s="22"/>
      <c r="W328" s="62"/>
      <c r="X328" s="62"/>
      <c r="Y328" s="62"/>
      <c r="Z328" s="62"/>
      <c r="AA328" s="72"/>
      <c r="AB328" s="73"/>
      <c r="AC328" s="73"/>
      <c r="AD328" s="73"/>
      <c r="AE328" s="86">
        <f t="shared" si="6"/>
        <v>0</v>
      </c>
      <c r="AF328" s="74"/>
      <c r="AG328" s="74"/>
      <c r="AH328" s="74"/>
      <c r="AI328" s="74"/>
      <c r="AJ328" s="74"/>
      <c r="AK328" s="74"/>
      <c r="AL328" s="74"/>
      <c r="AM328" s="74"/>
      <c r="AN328" s="87">
        <f t="shared" si="7"/>
        <v>0</v>
      </c>
      <c r="AO328" s="74"/>
      <c r="AP328" s="88">
        <f t="shared" si="8"/>
        <v>0</v>
      </c>
      <c r="AQ328" s="75"/>
      <c r="AR328" s="22"/>
      <c r="AS328" s="70">
        <f>'Daily Halba'!$U328-'Daily Halba'!$AP328</f>
        <v>0</v>
      </c>
      <c r="AT328" s="5"/>
      <c r="AU328" s="5"/>
      <c r="AV328" s="5"/>
    </row>
    <row r="329" spans="1:49" ht="12.75" customHeight="1" x14ac:dyDescent="0.3">
      <c r="A329" s="49"/>
      <c r="B329" s="82"/>
      <c r="C329" s="51"/>
      <c r="D329" s="52"/>
      <c r="E329" s="53"/>
      <c r="F329" s="54"/>
      <c r="G329" s="52"/>
      <c r="H329" s="53"/>
      <c r="I329" s="54"/>
      <c r="J329" s="53"/>
      <c r="K329" s="83"/>
      <c r="L329" s="57"/>
      <c r="M329" s="58"/>
      <c r="N329" s="71"/>
      <c r="O329" s="71"/>
      <c r="P329" s="71"/>
      <c r="Q329" s="71"/>
      <c r="R329" s="71"/>
      <c r="S329" s="71"/>
      <c r="T329" s="71"/>
      <c r="U329" s="61">
        <f>SUM('Daily Halba'!$E329,'Daily Halba'!$H329,$M329:$T329)</f>
        <v>0</v>
      </c>
      <c r="V329" s="22"/>
      <c r="W329" s="62"/>
      <c r="X329" s="62"/>
      <c r="Y329" s="62"/>
      <c r="Z329" s="79"/>
      <c r="AA329" s="63"/>
      <c r="AB329" s="64"/>
      <c r="AC329" s="64"/>
      <c r="AD329" s="64"/>
      <c r="AE329" s="65">
        <f t="shared" si="6"/>
        <v>0</v>
      </c>
      <c r="AF329" s="66"/>
      <c r="AG329" s="66"/>
      <c r="AH329" s="66"/>
      <c r="AI329" s="66"/>
      <c r="AJ329" s="66"/>
      <c r="AK329" s="66"/>
      <c r="AL329" s="66"/>
      <c r="AM329" s="66"/>
      <c r="AN329" s="67">
        <f t="shared" si="7"/>
        <v>0</v>
      </c>
      <c r="AO329" s="66"/>
      <c r="AP329" s="68">
        <f t="shared" si="8"/>
        <v>0</v>
      </c>
      <c r="AQ329" s="69"/>
      <c r="AR329" s="22"/>
      <c r="AS329" s="70">
        <f>'Daily Halba'!$U329-'Daily Halba'!$AP329</f>
        <v>0</v>
      </c>
      <c r="AT329" s="5"/>
      <c r="AU329" s="5"/>
      <c r="AV329" s="5"/>
    </row>
    <row r="330" spans="1:49" ht="12.75" customHeight="1" x14ac:dyDescent="0.3">
      <c r="A330" s="49"/>
      <c r="B330" s="82"/>
      <c r="C330" s="51"/>
      <c r="D330" s="52"/>
      <c r="E330" s="53"/>
      <c r="F330" s="54"/>
      <c r="G330" s="52"/>
      <c r="H330" s="53"/>
      <c r="I330" s="54"/>
      <c r="J330" s="53"/>
      <c r="K330" s="83"/>
      <c r="L330" s="57"/>
      <c r="M330" s="58"/>
      <c r="N330" s="71"/>
      <c r="O330" s="71"/>
      <c r="P330" s="71"/>
      <c r="Q330" s="71"/>
      <c r="R330" s="71"/>
      <c r="S330" s="71"/>
      <c r="T330" s="71"/>
      <c r="U330" s="61">
        <f>SUM('Daily Halba'!$E330,'Daily Halba'!$H330,$M330:$T330)</f>
        <v>0</v>
      </c>
      <c r="V330" s="22"/>
      <c r="W330" s="85"/>
      <c r="X330" s="85"/>
      <c r="Y330" s="85"/>
      <c r="Z330" s="85"/>
      <c r="AA330" s="72"/>
      <c r="AB330" s="73"/>
      <c r="AC330" s="73"/>
      <c r="AD330" s="73"/>
      <c r="AE330" s="86">
        <f t="shared" si="6"/>
        <v>0</v>
      </c>
      <c r="AF330" s="74"/>
      <c r="AG330" s="74"/>
      <c r="AH330" s="74"/>
      <c r="AI330" s="74"/>
      <c r="AJ330" s="74"/>
      <c r="AK330" s="74"/>
      <c r="AL330" s="74"/>
      <c r="AM330" s="74"/>
      <c r="AN330" s="87">
        <f t="shared" si="7"/>
        <v>0</v>
      </c>
      <c r="AO330" s="74"/>
      <c r="AP330" s="88">
        <f t="shared" si="8"/>
        <v>0</v>
      </c>
      <c r="AQ330" s="75"/>
      <c r="AR330" s="22"/>
      <c r="AS330" s="70">
        <f>'Daily Halba'!$U330-'Daily Halba'!$AP330</f>
        <v>0</v>
      </c>
      <c r="AT330" s="5"/>
      <c r="AU330" s="5"/>
      <c r="AV330" s="5"/>
    </row>
    <row r="331" spans="1:49" ht="12.75" customHeight="1" x14ac:dyDescent="0.3">
      <c r="A331" s="49"/>
      <c r="B331" s="82"/>
      <c r="C331" s="51"/>
      <c r="D331" s="52"/>
      <c r="E331" s="53"/>
      <c r="F331" s="54"/>
      <c r="G331" s="52"/>
      <c r="H331" s="53"/>
      <c r="I331" s="54"/>
      <c r="J331" s="53"/>
      <c r="K331" s="83"/>
      <c r="L331" s="57"/>
      <c r="M331" s="58"/>
      <c r="N331" s="71"/>
      <c r="O331" s="71"/>
      <c r="P331" s="71"/>
      <c r="Q331" s="71"/>
      <c r="R331" s="71"/>
      <c r="S331" s="71"/>
      <c r="T331" s="71"/>
      <c r="U331" s="61">
        <f>SUM('Daily Halba'!$E331,'Daily Halba'!$H331,$M331:$T331)</f>
        <v>0</v>
      </c>
      <c r="V331" s="22"/>
      <c r="W331" s="62"/>
      <c r="X331" s="62"/>
      <c r="Y331" s="62"/>
      <c r="Z331" s="79"/>
      <c r="AA331" s="63"/>
      <c r="AB331" s="64"/>
      <c r="AC331" s="64"/>
      <c r="AD331" s="64"/>
      <c r="AE331" s="65">
        <f t="shared" si="6"/>
        <v>0</v>
      </c>
      <c r="AF331" s="66"/>
      <c r="AG331" s="66"/>
      <c r="AH331" s="66"/>
      <c r="AI331" s="66"/>
      <c r="AJ331" s="66"/>
      <c r="AK331" s="66"/>
      <c r="AL331" s="66"/>
      <c r="AM331" s="66"/>
      <c r="AN331" s="67">
        <f t="shared" si="7"/>
        <v>0</v>
      </c>
      <c r="AO331" s="66"/>
      <c r="AP331" s="68">
        <f t="shared" si="8"/>
        <v>0</v>
      </c>
      <c r="AQ331" s="69"/>
      <c r="AR331" s="22"/>
      <c r="AS331" s="70">
        <f>'Daily Halba'!$U331-'Daily Halba'!$AP331</f>
        <v>0</v>
      </c>
      <c r="AT331" s="5"/>
      <c r="AU331" s="5"/>
      <c r="AV331" s="5"/>
    </row>
    <row r="332" spans="1:49" ht="12.75" customHeight="1" x14ac:dyDescent="0.3">
      <c r="A332" s="49"/>
      <c r="B332" s="82"/>
      <c r="C332" s="51"/>
      <c r="D332" s="52"/>
      <c r="E332" s="53"/>
      <c r="F332" s="54"/>
      <c r="G332" s="52"/>
      <c r="H332" s="53"/>
      <c r="I332" s="54"/>
      <c r="J332" s="53"/>
      <c r="K332" s="83"/>
      <c r="L332" s="57"/>
      <c r="M332" s="58"/>
      <c r="N332" s="71"/>
      <c r="O332" s="71"/>
      <c r="P332" s="71"/>
      <c r="Q332" s="71"/>
      <c r="R332" s="71"/>
      <c r="S332" s="71"/>
      <c r="T332" s="71"/>
      <c r="U332" s="61">
        <f>SUM('Daily Halba'!$E332,'Daily Halba'!$H332,$M332:$T332)</f>
        <v>0</v>
      </c>
      <c r="V332" s="22"/>
      <c r="W332" s="85"/>
      <c r="X332" s="85"/>
      <c r="Y332" s="85"/>
      <c r="Z332" s="85"/>
      <c r="AA332" s="72"/>
      <c r="AB332" s="73"/>
      <c r="AC332" s="73"/>
      <c r="AD332" s="73"/>
      <c r="AE332" s="86">
        <f t="shared" si="6"/>
        <v>0</v>
      </c>
      <c r="AF332" s="74"/>
      <c r="AG332" s="74"/>
      <c r="AH332" s="74"/>
      <c r="AI332" s="74"/>
      <c r="AJ332" s="74"/>
      <c r="AK332" s="74"/>
      <c r="AL332" s="74"/>
      <c r="AM332" s="74"/>
      <c r="AN332" s="87">
        <f t="shared" si="7"/>
        <v>0</v>
      </c>
      <c r="AO332" s="74"/>
      <c r="AP332" s="88">
        <f t="shared" si="8"/>
        <v>0</v>
      </c>
      <c r="AQ332" s="75"/>
      <c r="AR332" s="22"/>
      <c r="AS332" s="70">
        <f>'Daily Halba'!$U332-'Daily Halba'!$AP332</f>
        <v>0</v>
      </c>
      <c r="AT332" s="5"/>
      <c r="AU332" s="5"/>
      <c r="AV332" s="5"/>
    </row>
    <row r="333" spans="1:49" ht="12.75" customHeight="1" x14ac:dyDescent="0.3">
      <c r="A333" s="49"/>
      <c r="B333" s="82"/>
      <c r="C333" s="51"/>
      <c r="D333" s="52"/>
      <c r="E333" s="53"/>
      <c r="F333" s="54"/>
      <c r="G333" s="52"/>
      <c r="H333" s="53"/>
      <c r="I333" s="54"/>
      <c r="J333" s="53"/>
      <c r="K333" s="83"/>
      <c r="L333" s="57"/>
      <c r="M333" s="58"/>
      <c r="N333" s="71"/>
      <c r="O333" s="71"/>
      <c r="P333" s="71"/>
      <c r="Q333" s="71"/>
      <c r="R333" s="71"/>
      <c r="S333" s="71"/>
      <c r="T333" s="71"/>
      <c r="U333" s="61">
        <f>SUM('Daily Halba'!$E333,'Daily Halba'!$H333,$M333:$T333)</f>
        <v>0</v>
      </c>
      <c r="V333" s="22"/>
      <c r="W333" s="62"/>
      <c r="X333" s="62"/>
      <c r="Y333" s="62"/>
      <c r="Z333" s="79"/>
      <c r="AA333" s="63"/>
      <c r="AB333" s="64"/>
      <c r="AC333" s="64"/>
      <c r="AD333" s="64"/>
      <c r="AE333" s="65">
        <f t="shared" si="6"/>
        <v>0</v>
      </c>
      <c r="AF333" s="66"/>
      <c r="AG333" s="66"/>
      <c r="AH333" s="66"/>
      <c r="AI333" s="66"/>
      <c r="AJ333" s="66"/>
      <c r="AK333" s="66"/>
      <c r="AL333" s="66"/>
      <c r="AM333" s="66"/>
      <c r="AN333" s="67">
        <f t="shared" si="7"/>
        <v>0</v>
      </c>
      <c r="AO333" s="66"/>
      <c r="AP333" s="68">
        <f t="shared" si="8"/>
        <v>0</v>
      </c>
      <c r="AQ333" s="69"/>
      <c r="AR333" s="22"/>
      <c r="AS333" s="70">
        <f>'Daily Halba'!$U333-'Daily Halba'!$AP333</f>
        <v>0</v>
      </c>
      <c r="AT333" s="5"/>
      <c r="AU333" s="5"/>
      <c r="AV333" s="5"/>
    </row>
    <row r="334" spans="1:49" ht="12.75" customHeight="1" x14ac:dyDescent="0.3">
      <c r="A334" s="49"/>
      <c r="B334" s="82"/>
      <c r="C334" s="51"/>
      <c r="D334" s="52"/>
      <c r="E334" s="53"/>
      <c r="F334" s="54"/>
      <c r="G334" s="52"/>
      <c r="H334" s="53"/>
      <c r="I334" s="54"/>
      <c r="J334" s="53"/>
      <c r="K334" s="83"/>
      <c r="L334" s="57"/>
      <c r="M334" s="58"/>
      <c r="N334" s="71"/>
      <c r="O334" s="71"/>
      <c r="P334" s="71"/>
      <c r="Q334" s="71"/>
      <c r="R334" s="71"/>
      <c r="S334" s="71"/>
      <c r="T334" s="71"/>
      <c r="U334" s="61">
        <f>SUM('Daily Halba'!$E334,'Daily Halba'!$H334,$M334:$T334)</f>
        <v>0</v>
      </c>
      <c r="V334" s="22"/>
      <c r="W334" s="85"/>
      <c r="X334" s="85"/>
      <c r="Y334" s="85"/>
      <c r="Z334" s="85"/>
      <c r="AA334" s="72"/>
      <c r="AB334" s="73"/>
      <c r="AC334" s="73"/>
      <c r="AD334" s="73"/>
      <c r="AE334" s="86">
        <f t="shared" si="6"/>
        <v>0</v>
      </c>
      <c r="AF334" s="74"/>
      <c r="AG334" s="74"/>
      <c r="AH334" s="74"/>
      <c r="AI334" s="74"/>
      <c r="AJ334" s="74"/>
      <c r="AK334" s="74"/>
      <c r="AL334" s="74"/>
      <c r="AM334" s="74"/>
      <c r="AN334" s="87">
        <f t="shared" si="7"/>
        <v>0</v>
      </c>
      <c r="AO334" s="74"/>
      <c r="AP334" s="88">
        <f t="shared" si="8"/>
        <v>0</v>
      </c>
      <c r="AQ334" s="75"/>
      <c r="AR334" s="22"/>
      <c r="AS334" s="70">
        <f>'Daily Halba'!$U334-'Daily Halba'!$AP334</f>
        <v>0</v>
      </c>
      <c r="AT334" s="5"/>
      <c r="AU334" s="5"/>
      <c r="AV334" s="5"/>
    </row>
    <row r="335" spans="1:49" ht="12.75" customHeight="1" x14ac:dyDescent="0.3">
      <c r="A335" s="49"/>
      <c r="B335" s="82"/>
      <c r="C335" s="51"/>
      <c r="D335" s="52"/>
      <c r="E335" s="53"/>
      <c r="F335" s="54"/>
      <c r="G335" s="52"/>
      <c r="H335" s="53"/>
      <c r="I335" s="54"/>
      <c r="J335" s="53"/>
      <c r="K335" s="83"/>
      <c r="L335" s="57"/>
      <c r="M335" s="58"/>
      <c r="N335" s="71"/>
      <c r="O335" s="71"/>
      <c r="P335" s="71"/>
      <c r="Q335" s="71"/>
      <c r="R335" s="71"/>
      <c r="S335" s="71"/>
      <c r="T335" s="71"/>
      <c r="U335" s="61">
        <f>SUM('Daily Halba'!$E335,'Daily Halba'!$H335,$M335:$T335)</f>
        <v>0</v>
      </c>
      <c r="V335" s="22"/>
      <c r="W335" s="62"/>
      <c r="X335" s="62"/>
      <c r="Y335" s="62"/>
      <c r="Z335" s="79"/>
      <c r="AA335" s="63"/>
      <c r="AB335" s="64"/>
      <c r="AC335" s="64"/>
      <c r="AD335" s="64"/>
      <c r="AE335" s="65">
        <f t="shared" si="6"/>
        <v>0</v>
      </c>
      <c r="AF335" s="66"/>
      <c r="AG335" s="66"/>
      <c r="AH335" s="66"/>
      <c r="AI335" s="66"/>
      <c r="AJ335" s="66"/>
      <c r="AK335" s="66"/>
      <c r="AL335" s="66"/>
      <c r="AM335" s="66"/>
      <c r="AN335" s="67">
        <f t="shared" si="7"/>
        <v>0</v>
      </c>
      <c r="AO335" s="66"/>
      <c r="AP335" s="68">
        <f t="shared" si="8"/>
        <v>0</v>
      </c>
      <c r="AQ335" s="69"/>
      <c r="AR335" s="22"/>
      <c r="AS335" s="70">
        <f>'Daily Halba'!$U335-'Daily Halba'!$AP335</f>
        <v>0</v>
      </c>
      <c r="AT335" s="5"/>
      <c r="AU335" s="5"/>
      <c r="AV335" s="5"/>
    </row>
    <row r="336" spans="1:49" ht="12.75" customHeight="1" x14ac:dyDescent="0.3">
      <c r="A336" s="49"/>
      <c r="B336" s="82"/>
      <c r="C336" s="51"/>
      <c r="D336" s="52"/>
      <c r="E336" s="53"/>
      <c r="F336" s="54"/>
      <c r="G336" s="52"/>
      <c r="H336" s="53"/>
      <c r="I336" s="54"/>
      <c r="J336" s="53"/>
      <c r="K336" s="83"/>
      <c r="L336" s="57"/>
      <c r="M336" s="58"/>
      <c r="N336" s="71"/>
      <c r="O336" s="71"/>
      <c r="P336" s="71"/>
      <c r="Q336" s="71"/>
      <c r="R336" s="71"/>
      <c r="S336" s="71"/>
      <c r="T336" s="71"/>
      <c r="U336" s="61">
        <f>SUM('Daily Halba'!$E336,'Daily Halba'!$H336,$M336:$T336)</f>
        <v>0</v>
      </c>
      <c r="V336" s="22"/>
      <c r="W336" s="85"/>
      <c r="X336" s="85"/>
      <c r="Y336" s="85"/>
      <c r="Z336" s="85"/>
      <c r="AA336" s="72"/>
      <c r="AB336" s="73"/>
      <c r="AC336" s="73"/>
      <c r="AD336" s="73"/>
      <c r="AE336" s="86">
        <f t="shared" si="6"/>
        <v>0</v>
      </c>
      <c r="AF336" s="74"/>
      <c r="AG336" s="74"/>
      <c r="AH336" s="74"/>
      <c r="AI336" s="74"/>
      <c r="AJ336" s="74"/>
      <c r="AK336" s="74"/>
      <c r="AL336" s="74"/>
      <c r="AM336" s="74"/>
      <c r="AN336" s="87">
        <f t="shared" si="7"/>
        <v>0</v>
      </c>
      <c r="AO336" s="74"/>
      <c r="AP336" s="88">
        <f t="shared" si="8"/>
        <v>0</v>
      </c>
      <c r="AQ336" s="75"/>
      <c r="AR336" s="22"/>
      <c r="AS336" s="70">
        <f>'Daily Halba'!$U336-'Daily Halba'!$AP336</f>
        <v>0</v>
      </c>
      <c r="AT336" s="5"/>
      <c r="AU336" s="5"/>
      <c r="AV336" s="5"/>
    </row>
    <row r="337" spans="1:48" ht="12.75" customHeight="1" x14ac:dyDescent="0.3">
      <c r="A337" s="49"/>
      <c r="B337" s="82"/>
      <c r="C337" s="51"/>
      <c r="D337" s="52"/>
      <c r="E337" s="53"/>
      <c r="F337" s="54"/>
      <c r="G337" s="52"/>
      <c r="H337" s="53"/>
      <c r="I337" s="54"/>
      <c r="J337" s="53"/>
      <c r="K337" s="83"/>
      <c r="L337" s="57"/>
      <c r="M337" s="58"/>
      <c r="N337" s="71"/>
      <c r="O337" s="71"/>
      <c r="P337" s="71"/>
      <c r="Q337" s="71"/>
      <c r="R337" s="71"/>
      <c r="S337" s="71"/>
      <c r="T337" s="71"/>
      <c r="U337" s="61">
        <f>SUM('Daily Halba'!$E337,'Daily Halba'!$H337,$M337:$T337)</f>
        <v>0</v>
      </c>
      <c r="V337" s="22"/>
      <c r="W337" s="62"/>
      <c r="X337" s="62"/>
      <c r="Y337" s="62"/>
      <c r="Z337" s="79"/>
      <c r="AA337" s="63"/>
      <c r="AB337" s="64"/>
      <c r="AC337" s="64"/>
      <c r="AD337" s="64"/>
      <c r="AE337" s="65">
        <f t="shared" ref="AE337:AE400" si="9">SUM(AA337:AD337)</f>
        <v>0</v>
      </c>
      <c r="AF337" s="66"/>
      <c r="AG337" s="66"/>
      <c r="AH337" s="66"/>
      <c r="AI337" s="66"/>
      <c r="AJ337" s="66"/>
      <c r="AK337" s="66"/>
      <c r="AL337" s="66"/>
      <c r="AM337" s="66"/>
      <c r="AN337" s="67">
        <f t="shared" ref="AN337:AN400" si="10">SUM(AF337:AM337)</f>
        <v>0</v>
      </c>
      <c r="AO337" s="66"/>
      <c r="AP337" s="68">
        <f t="shared" ref="AP337:AP400" si="11">SUM(W337:Z337,AE337,AN337,AO337)</f>
        <v>0</v>
      </c>
      <c r="AQ337" s="69"/>
      <c r="AR337" s="22"/>
      <c r="AS337" s="70">
        <f>'Daily Halba'!$U337-'Daily Halba'!$AP337</f>
        <v>0</v>
      </c>
      <c r="AT337" s="5"/>
      <c r="AU337" s="5"/>
      <c r="AV337" s="5"/>
    </row>
    <row r="338" spans="1:48" ht="12.75" customHeight="1" x14ac:dyDescent="0.3">
      <c r="A338" s="49"/>
      <c r="B338" s="82"/>
      <c r="C338" s="51"/>
      <c r="D338" s="52"/>
      <c r="E338" s="53"/>
      <c r="F338" s="54"/>
      <c r="G338" s="52"/>
      <c r="H338" s="53"/>
      <c r="I338" s="54"/>
      <c r="J338" s="53"/>
      <c r="K338" s="83"/>
      <c r="L338" s="57"/>
      <c r="M338" s="58"/>
      <c r="N338" s="71"/>
      <c r="O338" s="71"/>
      <c r="P338" s="71"/>
      <c r="Q338" s="71"/>
      <c r="R338" s="71"/>
      <c r="S338" s="71"/>
      <c r="T338" s="71"/>
      <c r="U338" s="61">
        <f>SUM('Daily Halba'!$E338,'Daily Halba'!$H338,$M338:$T338)</f>
        <v>0</v>
      </c>
      <c r="V338" s="22"/>
      <c r="W338" s="85"/>
      <c r="X338" s="85"/>
      <c r="Y338" s="85"/>
      <c r="Z338" s="85"/>
      <c r="AA338" s="72"/>
      <c r="AB338" s="73"/>
      <c r="AC338" s="73"/>
      <c r="AD338" s="73"/>
      <c r="AE338" s="86">
        <f t="shared" si="9"/>
        <v>0</v>
      </c>
      <c r="AF338" s="74"/>
      <c r="AG338" s="74"/>
      <c r="AH338" s="74"/>
      <c r="AI338" s="74"/>
      <c r="AJ338" s="74"/>
      <c r="AK338" s="74"/>
      <c r="AL338" s="74"/>
      <c r="AM338" s="74"/>
      <c r="AN338" s="87">
        <f t="shared" si="10"/>
        <v>0</v>
      </c>
      <c r="AO338" s="74"/>
      <c r="AP338" s="88">
        <f t="shared" si="11"/>
        <v>0</v>
      </c>
      <c r="AQ338" s="75"/>
      <c r="AR338" s="22"/>
      <c r="AS338" s="70">
        <f>'Daily Halba'!$U338-'Daily Halba'!$AP338</f>
        <v>0</v>
      </c>
      <c r="AT338" s="5"/>
      <c r="AU338" s="5"/>
      <c r="AV338" s="5"/>
    </row>
    <row r="339" spans="1:48" ht="12.75" customHeight="1" x14ac:dyDescent="0.3">
      <c r="A339" s="49"/>
      <c r="B339" s="82"/>
      <c r="C339" s="51"/>
      <c r="D339" s="52"/>
      <c r="E339" s="53"/>
      <c r="F339" s="54"/>
      <c r="G339" s="52"/>
      <c r="H339" s="53"/>
      <c r="I339" s="54"/>
      <c r="J339" s="53"/>
      <c r="K339" s="83"/>
      <c r="L339" s="57"/>
      <c r="M339" s="58"/>
      <c r="N339" s="71"/>
      <c r="O339" s="71"/>
      <c r="P339" s="71"/>
      <c r="Q339" s="71"/>
      <c r="R339" s="71"/>
      <c r="S339" s="71"/>
      <c r="T339" s="71"/>
      <c r="U339" s="61">
        <f>SUM('Daily Halba'!$E339,'Daily Halba'!$H339,$M339:$T339)</f>
        <v>0</v>
      </c>
      <c r="V339" s="22"/>
      <c r="W339" s="62"/>
      <c r="X339" s="62"/>
      <c r="Y339" s="62"/>
      <c r="Z339" s="79"/>
      <c r="AA339" s="63"/>
      <c r="AB339" s="64"/>
      <c r="AC339" s="64"/>
      <c r="AD339" s="64"/>
      <c r="AE339" s="65">
        <f t="shared" si="9"/>
        <v>0</v>
      </c>
      <c r="AF339" s="66"/>
      <c r="AG339" s="66"/>
      <c r="AH339" s="66"/>
      <c r="AI339" s="66"/>
      <c r="AJ339" s="66"/>
      <c r="AK339" s="66"/>
      <c r="AL339" s="66"/>
      <c r="AM339" s="66"/>
      <c r="AN339" s="67">
        <f t="shared" si="10"/>
        <v>0</v>
      </c>
      <c r="AO339" s="66"/>
      <c r="AP339" s="68">
        <f t="shared" si="11"/>
        <v>0</v>
      </c>
      <c r="AQ339" s="69"/>
      <c r="AR339" s="22"/>
      <c r="AS339" s="70">
        <f>'Daily Halba'!$U339-'Daily Halba'!$AP339</f>
        <v>0</v>
      </c>
      <c r="AT339" s="5"/>
      <c r="AU339" s="5"/>
      <c r="AV339" s="5"/>
    </row>
    <row r="340" spans="1:48" ht="12.75" customHeight="1" x14ac:dyDescent="0.3">
      <c r="A340" s="49"/>
      <c r="B340" s="82"/>
      <c r="C340" s="51"/>
      <c r="D340" s="52"/>
      <c r="E340" s="53"/>
      <c r="F340" s="54"/>
      <c r="G340" s="52"/>
      <c r="H340" s="53"/>
      <c r="I340" s="54"/>
      <c r="J340" s="53"/>
      <c r="K340" s="83"/>
      <c r="L340" s="57"/>
      <c r="M340" s="58"/>
      <c r="N340" s="71"/>
      <c r="O340" s="71"/>
      <c r="P340" s="71"/>
      <c r="Q340" s="71"/>
      <c r="R340" s="71"/>
      <c r="S340" s="71"/>
      <c r="T340" s="71"/>
      <c r="U340" s="61">
        <f>SUM('Daily Halba'!$E340,'Daily Halba'!$H340,$M340:$T340)</f>
        <v>0</v>
      </c>
      <c r="V340" s="22"/>
      <c r="W340" s="85"/>
      <c r="X340" s="85"/>
      <c r="Y340" s="85"/>
      <c r="Z340" s="85"/>
      <c r="AA340" s="72"/>
      <c r="AB340" s="73"/>
      <c r="AC340" s="73"/>
      <c r="AD340" s="73"/>
      <c r="AE340" s="86">
        <f t="shared" si="9"/>
        <v>0</v>
      </c>
      <c r="AF340" s="74"/>
      <c r="AG340" s="74"/>
      <c r="AH340" s="74"/>
      <c r="AI340" s="74"/>
      <c r="AJ340" s="74"/>
      <c r="AK340" s="74"/>
      <c r="AL340" s="74"/>
      <c r="AM340" s="74"/>
      <c r="AN340" s="87">
        <f t="shared" si="10"/>
        <v>0</v>
      </c>
      <c r="AO340" s="74"/>
      <c r="AP340" s="88">
        <f t="shared" si="11"/>
        <v>0</v>
      </c>
      <c r="AQ340" s="75"/>
      <c r="AR340" s="22"/>
      <c r="AS340" s="70">
        <f>'Daily Halba'!$U340-'Daily Halba'!$AP340</f>
        <v>0</v>
      </c>
      <c r="AT340" s="5"/>
      <c r="AU340" s="5"/>
      <c r="AV340" s="5"/>
    </row>
    <row r="341" spans="1:48" ht="12.75" customHeight="1" x14ac:dyDescent="0.3">
      <c r="A341" s="49"/>
      <c r="B341" s="82"/>
      <c r="C341" s="51"/>
      <c r="D341" s="52"/>
      <c r="E341" s="53"/>
      <c r="F341" s="54"/>
      <c r="G341" s="52"/>
      <c r="H341" s="53"/>
      <c r="I341" s="54"/>
      <c r="J341" s="53"/>
      <c r="K341" s="83"/>
      <c r="L341" s="57"/>
      <c r="M341" s="58"/>
      <c r="N341" s="71"/>
      <c r="O341" s="71"/>
      <c r="P341" s="71"/>
      <c r="Q341" s="71"/>
      <c r="R341" s="71"/>
      <c r="S341" s="71"/>
      <c r="T341" s="71"/>
      <c r="U341" s="61">
        <f>SUM('Daily Halba'!$E341,'Daily Halba'!$H341,$M341:$T341)</f>
        <v>0</v>
      </c>
      <c r="V341" s="22"/>
      <c r="W341" s="62"/>
      <c r="X341" s="62"/>
      <c r="Y341" s="62"/>
      <c r="Z341" s="79"/>
      <c r="AA341" s="63"/>
      <c r="AB341" s="64"/>
      <c r="AC341" s="64"/>
      <c r="AD341" s="64"/>
      <c r="AE341" s="65">
        <f t="shared" si="9"/>
        <v>0</v>
      </c>
      <c r="AF341" s="66"/>
      <c r="AG341" s="66"/>
      <c r="AH341" s="66"/>
      <c r="AI341" s="66"/>
      <c r="AJ341" s="66"/>
      <c r="AK341" s="66"/>
      <c r="AL341" s="66"/>
      <c r="AM341" s="66"/>
      <c r="AN341" s="67">
        <f t="shared" si="10"/>
        <v>0</v>
      </c>
      <c r="AO341" s="66"/>
      <c r="AP341" s="68">
        <f t="shared" si="11"/>
        <v>0</v>
      </c>
      <c r="AQ341" s="69"/>
      <c r="AR341" s="22"/>
      <c r="AS341" s="70">
        <f>'Daily Halba'!$U341-'Daily Halba'!$AP341</f>
        <v>0</v>
      </c>
      <c r="AT341" s="5"/>
      <c r="AU341" s="5"/>
      <c r="AV341" s="5"/>
    </row>
    <row r="342" spans="1:48" ht="12.75" customHeight="1" x14ac:dyDescent="0.3">
      <c r="A342" s="49"/>
      <c r="B342" s="82"/>
      <c r="C342" s="51"/>
      <c r="D342" s="52"/>
      <c r="E342" s="53"/>
      <c r="F342" s="54"/>
      <c r="G342" s="52"/>
      <c r="H342" s="53"/>
      <c r="I342" s="54"/>
      <c r="J342" s="53"/>
      <c r="K342" s="83"/>
      <c r="L342" s="57"/>
      <c r="M342" s="58"/>
      <c r="N342" s="71"/>
      <c r="O342" s="71"/>
      <c r="P342" s="71"/>
      <c r="Q342" s="71"/>
      <c r="R342" s="71"/>
      <c r="S342" s="71"/>
      <c r="T342" s="71"/>
      <c r="U342" s="61">
        <f>SUM('Daily Halba'!$E342,'Daily Halba'!$H342,$M342:$T342)</f>
        <v>0</v>
      </c>
      <c r="V342" s="22"/>
      <c r="W342" s="85"/>
      <c r="X342" s="85"/>
      <c r="Y342" s="85"/>
      <c r="Z342" s="85"/>
      <c r="AA342" s="72"/>
      <c r="AB342" s="73"/>
      <c r="AC342" s="73"/>
      <c r="AD342" s="73"/>
      <c r="AE342" s="86">
        <f t="shared" si="9"/>
        <v>0</v>
      </c>
      <c r="AF342" s="74"/>
      <c r="AG342" s="74"/>
      <c r="AH342" s="74"/>
      <c r="AI342" s="74"/>
      <c r="AJ342" s="74"/>
      <c r="AK342" s="74"/>
      <c r="AL342" s="74"/>
      <c r="AM342" s="74"/>
      <c r="AN342" s="87">
        <f t="shared" si="10"/>
        <v>0</v>
      </c>
      <c r="AO342" s="74"/>
      <c r="AP342" s="88">
        <f t="shared" si="11"/>
        <v>0</v>
      </c>
      <c r="AQ342" s="75"/>
      <c r="AR342" s="22"/>
      <c r="AS342" s="70">
        <f>'Daily Halba'!$U342-'Daily Halba'!$AP342</f>
        <v>0</v>
      </c>
      <c r="AT342" s="5"/>
      <c r="AU342" s="5"/>
      <c r="AV342" s="5"/>
    </row>
    <row r="343" spans="1:48" ht="12.75" customHeight="1" x14ac:dyDescent="0.3">
      <c r="A343" s="49"/>
      <c r="B343" s="82"/>
      <c r="C343" s="51"/>
      <c r="D343" s="52"/>
      <c r="E343" s="53"/>
      <c r="F343" s="54"/>
      <c r="G343" s="52"/>
      <c r="H343" s="53"/>
      <c r="I343" s="54"/>
      <c r="J343" s="53"/>
      <c r="K343" s="83"/>
      <c r="L343" s="57"/>
      <c r="M343" s="58"/>
      <c r="N343" s="71"/>
      <c r="O343" s="71"/>
      <c r="P343" s="71"/>
      <c r="Q343" s="71"/>
      <c r="R343" s="71"/>
      <c r="S343" s="71"/>
      <c r="T343" s="71"/>
      <c r="U343" s="61">
        <f>SUM('Daily Halba'!$E343,'Daily Halba'!$H343,$M343:$T343)</f>
        <v>0</v>
      </c>
      <c r="V343" s="22"/>
      <c r="W343" s="62"/>
      <c r="X343" s="62"/>
      <c r="Y343" s="62"/>
      <c r="Z343" s="79"/>
      <c r="AA343" s="63"/>
      <c r="AB343" s="64"/>
      <c r="AC343" s="64"/>
      <c r="AD343" s="64"/>
      <c r="AE343" s="65">
        <f t="shared" si="9"/>
        <v>0</v>
      </c>
      <c r="AF343" s="66"/>
      <c r="AG343" s="66"/>
      <c r="AH343" s="66"/>
      <c r="AI343" s="66"/>
      <c r="AJ343" s="66"/>
      <c r="AK343" s="66"/>
      <c r="AL343" s="66"/>
      <c r="AM343" s="66"/>
      <c r="AN343" s="67">
        <f t="shared" si="10"/>
        <v>0</v>
      </c>
      <c r="AO343" s="66"/>
      <c r="AP343" s="68">
        <f t="shared" si="11"/>
        <v>0</v>
      </c>
      <c r="AQ343" s="69"/>
      <c r="AR343" s="22"/>
      <c r="AS343" s="70">
        <f>'Daily Halba'!$U343-'Daily Halba'!$AP343</f>
        <v>0</v>
      </c>
      <c r="AT343" s="5"/>
      <c r="AU343" s="5"/>
      <c r="AV343" s="5"/>
    </row>
    <row r="344" spans="1:48" ht="12.75" customHeight="1" x14ac:dyDescent="0.3">
      <c r="A344" s="49"/>
      <c r="B344" s="82"/>
      <c r="C344" s="51"/>
      <c r="D344" s="52"/>
      <c r="E344" s="53"/>
      <c r="F344" s="54"/>
      <c r="G344" s="52"/>
      <c r="H344" s="53"/>
      <c r="I344" s="54"/>
      <c r="J344" s="53"/>
      <c r="K344" s="83"/>
      <c r="L344" s="57"/>
      <c r="M344" s="58"/>
      <c r="N344" s="71"/>
      <c r="O344" s="71"/>
      <c r="P344" s="71"/>
      <c r="Q344" s="71"/>
      <c r="R344" s="71"/>
      <c r="S344" s="71"/>
      <c r="T344" s="71"/>
      <c r="U344" s="61">
        <f>SUM('Daily Halba'!$E344,'Daily Halba'!$H344,$M344:$T344)</f>
        <v>0</v>
      </c>
      <c r="V344" s="22"/>
      <c r="W344" s="85"/>
      <c r="X344" s="85"/>
      <c r="Y344" s="85"/>
      <c r="Z344" s="85"/>
      <c r="AA344" s="72"/>
      <c r="AB344" s="73"/>
      <c r="AC344" s="73"/>
      <c r="AD344" s="73"/>
      <c r="AE344" s="86">
        <f t="shared" si="9"/>
        <v>0</v>
      </c>
      <c r="AF344" s="74"/>
      <c r="AG344" s="74"/>
      <c r="AH344" s="74"/>
      <c r="AI344" s="74"/>
      <c r="AJ344" s="74"/>
      <c r="AK344" s="74"/>
      <c r="AL344" s="74"/>
      <c r="AM344" s="74"/>
      <c r="AN344" s="87">
        <f t="shared" si="10"/>
        <v>0</v>
      </c>
      <c r="AO344" s="74"/>
      <c r="AP344" s="88">
        <f t="shared" si="11"/>
        <v>0</v>
      </c>
      <c r="AQ344" s="75"/>
      <c r="AR344" s="22"/>
      <c r="AS344" s="70">
        <f>'Daily Halba'!$U344-'Daily Halba'!$AP344</f>
        <v>0</v>
      </c>
      <c r="AT344" s="5"/>
      <c r="AU344" s="5"/>
      <c r="AV344" s="5"/>
    </row>
    <row r="345" spans="1:48" ht="12.75" customHeight="1" x14ac:dyDescent="0.3">
      <c r="A345" s="49"/>
      <c r="B345" s="82"/>
      <c r="C345" s="51"/>
      <c r="D345" s="52"/>
      <c r="E345" s="53"/>
      <c r="F345" s="54"/>
      <c r="G345" s="52"/>
      <c r="H345" s="53"/>
      <c r="I345" s="54"/>
      <c r="J345" s="53"/>
      <c r="K345" s="83"/>
      <c r="L345" s="57"/>
      <c r="M345" s="58"/>
      <c r="N345" s="71"/>
      <c r="O345" s="71"/>
      <c r="P345" s="71"/>
      <c r="Q345" s="71"/>
      <c r="R345" s="71"/>
      <c r="S345" s="71"/>
      <c r="T345" s="71"/>
      <c r="U345" s="61">
        <f>SUM('Daily Halba'!$E345,'Daily Halba'!$H345,$M345:$T345)</f>
        <v>0</v>
      </c>
      <c r="V345" s="22"/>
      <c r="W345" s="62"/>
      <c r="X345" s="62"/>
      <c r="Y345" s="62"/>
      <c r="Z345" s="79"/>
      <c r="AA345" s="63"/>
      <c r="AB345" s="64"/>
      <c r="AC345" s="64"/>
      <c r="AD345" s="64"/>
      <c r="AE345" s="65">
        <f t="shared" si="9"/>
        <v>0</v>
      </c>
      <c r="AF345" s="66"/>
      <c r="AG345" s="66"/>
      <c r="AH345" s="66"/>
      <c r="AI345" s="66"/>
      <c r="AJ345" s="66"/>
      <c r="AK345" s="66"/>
      <c r="AL345" s="66"/>
      <c r="AM345" s="66"/>
      <c r="AN345" s="67">
        <f t="shared" si="10"/>
        <v>0</v>
      </c>
      <c r="AO345" s="66"/>
      <c r="AP345" s="68">
        <f t="shared" si="11"/>
        <v>0</v>
      </c>
      <c r="AQ345" s="69"/>
      <c r="AR345" s="22"/>
      <c r="AS345" s="70">
        <f>'Daily Halba'!$U345-'Daily Halba'!$AP345</f>
        <v>0</v>
      </c>
      <c r="AT345" s="5"/>
      <c r="AU345" s="5"/>
      <c r="AV345" s="5"/>
    </row>
    <row r="346" spans="1:48" ht="12.75" customHeight="1" x14ac:dyDescent="0.3">
      <c r="A346" s="49"/>
      <c r="B346" s="82"/>
      <c r="C346" s="51"/>
      <c r="D346" s="52"/>
      <c r="E346" s="53"/>
      <c r="F346" s="54"/>
      <c r="G346" s="52"/>
      <c r="H346" s="53"/>
      <c r="I346" s="54"/>
      <c r="J346" s="53"/>
      <c r="K346" s="83"/>
      <c r="L346" s="57"/>
      <c r="M346" s="58"/>
      <c r="N346" s="71"/>
      <c r="O346" s="71"/>
      <c r="P346" s="71"/>
      <c r="Q346" s="71"/>
      <c r="R346" s="71"/>
      <c r="S346" s="71"/>
      <c r="T346" s="71"/>
      <c r="U346" s="61">
        <f>SUM('Daily Halba'!$E346,'Daily Halba'!$H346,$M346:$T346)</f>
        <v>0</v>
      </c>
      <c r="V346" s="22"/>
      <c r="W346" s="85"/>
      <c r="X346" s="85"/>
      <c r="Y346" s="85"/>
      <c r="Z346" s="85"/>
      <c r="AA346" s="72"/>
      <c r="AB346" s="73"/>
      <c r="AC346" s="73"/>
      <c r="AD346" s="73"/>
      <c r="AE346" s="86">
        <f t="shared" si="9"/>
        <v>0</v>
      </c>
      <c r="AF346" s="74"/>
      <c r="AG346" s="74"/>
      <c r="AH346" s="74"/>
      <c r="AI346" s="74"/>
      <c r="AJ346" s="74"/>
      <c r="AK346" s="74"/>
      <c r="AL346" s="74"/>
      <c r="AM346" s="74"/>
      <c r="AN346" s="87">
        <f t="shared" si="10"/>
        <v>0</v>
      </c>
      <c r="AO346" s="74"/>
      <c r="AP346" s="88">
        <f t="shared" si="11"/>
        <v>0</v>
      </c>
      <c r="AQ346" s="75"/>
      <c r="AR346" s="22"/>
      <c r="AS346" s="70">
        <f>'Daily Halba'!$U346-'Daily Halba'!$AP346</f>
        <v>0</v>
      </c>
      <c r="AT346" s="5"/>
      <c r="AU346" s="5"/>
      <c r="AV346" s="5"/>
    </row>
    <row r="347" spans="1:48" ht="12.75" customHeight="1" x14ac:dyDescent="0.3">
      <c r="A347" s="49"/>
      <c r="B347" s="82"/>
      <c r="C347" s="51"/>
      <c r="D347" s="52"/>
      <c r="E347" s="53"/>
      <c r="F347" s="54"/>
      <c r="G347" s="52"/>
      <c r="H347" s="53"/>
      <c r="I347" s="54"/>
      <c r="J347" s="53"/>
      <c r="K347" s="83"/>
      <c r="L347" s="57"/>
      <c r="M347" s="58"/>
      <c r="N347" s="71"/>
      <c r="O347" s="71"/>
      <c r="P347" s="71"/>
      <c r="Q347" s="71"/>
      <c r="R347" s="71"/>
      <c r="S347" s="71"/>
      <c r="T347" s="71"/>
      <c r="U347" s="61">
        <f>SUM('Daily Halba'!$E347,'Daily Halba'!$H347,$M347:$T347)</f>
        <v>0</v>
      </c>
      <c r="V347" s="22"/>
      <c r="W347" s="62"/>
      <c r="X347" s="62"/>
      <c r="Y347" s="62"/>
      <c r="Z347" s="79"/>
      <c r="AA347" s="63"/>
      <c r="AB347" s="64"/>
      <c r="AC347" s="64"/>
      <c r="AD347" s="64"/>
      <c r="AE347" s="65">
        <f t="shared" si="9"/>
        <v>0</v>
      </c>
      <c r="AF347" s="66"/>
      <c r="AG347" s="66"/>
      <c r="AH347" s="66"/>
      <c r="AI347" s="66"/>
      <c r="AJ347" s="66"/>
      <c r="AK347" s="66"/>
      <c r="AL347" s="66"/>
      <c r="AM347" s="66"/>
      <c r="AN347" s="67">
        <f t="shared" si="10"/>
        <v>0</v>
      </c>
      <c r="AO347" s="66"/>
      <c r="AP347" s="68">
        <f t="shared" si="11"/>
        <v>0</v>
      </c>
      <c r="AQ347" s="69"/>
      <c r="AR347" s="22"/>
      <c r="AS347" s="70">
        <f>'Daily Halba'!$U347-'Daily Halba'!$AP347</f>
        <v>0</v>
      </c>
      <c r="AT347" s="5"/>
      <c r="AU347" s="5"/>
      <c r="AV347" s="5"/>
    </row>
    <row r="348" spans="1:48" ht="12.75" customHeight="1" x14ac:dyDescent="0.3">
      <c r="A348" s="49"/>
      <c r="B348" s="82"/>
      <c r="C348" s="51"/>
      <c r="D348" s="52"/>
      <c r="E348" s="53"/>
      <c r="F348" s="54"/>
      <c r="G348" s="52"/>
      <c r="H348" s="53"/>
      <c r="I348" s="54"/>
      <c r="J348" s="53"/>
      <c r="K348" s="83"/>
      <c r="L348" s="57"/>
      <c r="M348" s="58"/>
      <c r="N348" s="71"/>
      <c r="O348" s="71"/>
      <c r="P348" s="71"/>
      <c r="Q348" s="71"/>
      <c r="R348" s="71"/>
      <c r="S348" s="71"/>
      <c r="T348" s="71"/>
      <c r="U348" s="61">
        <f>SUM('Daily Halba'!$E348,'Daily Halba'!$H348,$M348:$T348)</f>
        <v>0</v>
      </c>
      <c r="V348" s="22"/>
      <c r="W348" s="85"/>
      <c r="X348" s="85"/>
      <c r="Y348" s="85"/>
      <c r="Z348" s="85"/>
      <c r="AA348" s="72"/>
      <c r="AB348" s="73"/>
      <c r="AC348" s="73"/>
      <c r="AD348" s="73"/>
      <c r="AE348" s="86">
        <f t="shared" si="9"/>
        <v>0</v>
      </c>
      <c r="AF348" s="74"/>
      <c r="AG348" s="74"/>
      <c r="AH348" s="74"/>
      <c r="AI348" s="74"/>
      <c r="AJ348" s="74"/>
      <c r="AK348" s="74"/>
      <c r="AL348" s="74"/>
      <c r="AM348" s="74"/>
      <c r="AN348" s="87">
        <f t="shared" si="10"/>
        <v>0</v>
      </c>
      <c r="AO348" s="74"/>
      <c r="AP348" s="88">
        <f t="shared" si="11"/>
        <v>0</v>
      </c>
      <c r="AQ348" s="75"/>
      <c r="AR348" s="22"/>
      <c r="AS348" s="70">
        <f>'Daily Halba'!$U348-'Daily Halba'!$AP348</f>
        <v>0</v>
      </c>
      <c r="AT348" s="5"/>
      <c r="AU348" s="5"/>
      <c r="AV348" s="5"/>
    </row>
    <row r="349" spans="1:48" ht="12.75" customHeight="1" x14ac:dyDescent="0.3">
      <c r="A349" s="49"/>
      <c r="B349" s="82"/>
      <c r="C349" s="51"/>
      <c r="D349" s="52"/>
      <c r="E349" s="53"/>
      <c r="F349" s="54"/>
      <c r="G349" s="52"/>
      <c r="H349" s="53"/>
      <c r="I349" s="54"/>
      <c r="J349" s="53"/>
      <c r="K349" s="83"/>
      <c r="L349" s="57"/>
      <c r="M349" s="58"/>
      <c r="N349" s="71"/>
      <c r="O349" s="71"/>
      <c r="P349" s="71"/>
      <c r="Q349" s="71"/>
      <c r="R349" s="71"/>
      <c r="S349" s="71"/>
      <c r="T349" s="71"/>
      <c r="U349" s="61">
        <f>SUM('Daily Halba'!$E349,'Daily Halba'!$H349,$M349:$T349)</f>
        <v>0</v>
      </c>
      <c r="V349" s="22"/>
      <c r="W349" s="62"/>
      <c r="X349" s="62"/>
      <c r="Y349" s="62"/>
      <c r="Z349" s="79"/>
      <c r="AA349" s="63"/>
      <c r="AB349" s="64"/>
      <c r="AC349" s="64"/>
      <c r="AD349" s="64"/>
      <c r="AE349" s="65">
        <f t="shared" si="9"/>
        <v>0</v>
      </c>
      <c r="AF349" s="66"/>
      <c r="AG349" s="66"/>
      <c r="AH349" s="66"/>
      <c r="AI349" s="66"/>
      <c r="AJ349" s="66"/>
      <c r="AK349" s="66"/>
      <c r="AL349" s="66"/>
      <c r="AM349" s="66"/>
      <c r="AN349" s="67">
        <f t="shared" si="10"/>
        <v>0</v>
      </c>
      <c r="AO349" s="66"/>
      <c r="AP349" s="68">
        <f t="shared" si="11"/>
        <v>0</v>
      </c>
      <c r="AQ349" s="69"/>
      <c r="AR349" s="22"/>
      <c r="AS349" s="70">
        <f>'Daily Halba'!$U349-'Daily Halba'!$AP349</f>
        <v>0</v>
      </c>
      <c r="AT349" s="5"/>
      <c r="AU349" s="5"/>
      <c r="AV349" s="5"/>
    </row>
    <row r="350" spans="1:48" ht="12.75" customHeight="1" x14ac:dyDescent="0.3">
      <c r="A350" s="49"/>
      <c r="B350" s="82"/>
      <c r="C350" s="51"/>
      <c r="D350" s="52"/>
      <c r="E350" s="53"/>
      <c r="F350" s="54"/>
      <c r="G350" s="52"/>
      <c r="H350" s="53"/>
      <c r="I350" s="54"/>
      <c r="J350" s="53"/>
      <c r="K350" s="83"/>
      <c r="L350" s="57"/>
      <c r="M350" s="58"/>
      <c r="N350" s="71"/>
      <c r="O350" s="71"/>
      <c r="P350" s="71"/>
      <c r="Q350" s="71"/>
      <c r="R350" s="71"/>
      <c r="S350" s="71"/>
      <c r="T350" s="71"/>
      <c r="U350" s="61">
        <f>SUM('Daily Halba'!$E350,'Daily Halba'!$H350,$M350:$T350)</f>
        <v>0</v>
      </c>
      <c r="V350" s="22"/>
      <c r="W350" s="85"/>
      <c r="X350" s="85"/>
      <c r="Y350" s="85"/>
      <c r="Z350" s="85"/>
      <c r="AA350" s="72"/>
      <c r="AB350" s="73"/>
      <c r="AC350" s="73"/>
      <c r="AD350" s="73"/>
      <c r="AE350" s="86">
        <f t="shared" si="9"/>
        <v>0</v>
      </c>
      <c r="AF350" s="74"/>
      <c r="AG350" s="74"/>
      <c r="AH350" s="74"/>
      <c r="AI350" s="74"/>
      <c r="AJ350" s="74"/>
      <c r="AK350" s="74"/>
      <c r="AL350" s="74"/>
      <c r="AM350" s="74"/>
      <c r="AN350" s="87">
        <f t="shared" si="10"/>
        <v>0</v>
      </c>
      <c r="AO350" s="74"/>
      <c r="AP350" s="88">
        <f t="shared" si="11"/>
        <v>0</v>
      </c>
      <c r="AQ350" s="75"/>
      <c r="AR350" s="22"/>
      <c r="AS350" s="70">
        <f>'Daily Halba'!$U350-'Daily Halba'!$AP350</f>
        <v>0</v>
      </c>
      <c r="AT350" s="5"/>
      <c r="AU350" s="5"/>
      <c r="AV350" s="5"/>
    </row>
    <row r="351" spans="1:48" ht="12.75" customHeight="1" x14ac:dyDescent="0.3">
      <c r="A351" s="49"/>
      <c r="B351" s="82"/>
      <c r="C351" s="51"/>
      <c r="D351" s="52"/>
      <c r="E351" s="53"/>
      <c r="F351" s="54"/>
      <c r="G351" s="52"/>
      <c r="H351" s="53"/>
      <c r="I351" s="54"/>
      <c r="J351" s="53"/>
      <c r="K351" s="83"/>
      <c r="L351" s="57"/>
      <c r="M351" s="58"/>
      <c r="N351" s="71"/>
      <c r="O351" s="71"/>
      <c r="P351" s="71"/>
      <c r="Q351" s="71"/>
      <c r="R351" s="71"/>
      <c r="S351" s="71"/>
      <c r="T351" s="71"/>
      <c r="U351" s="61">
        <f>SUM('Daily Halba'!$E351,'Daily Halba'!$H351,$M351:$T351)</f>
        <v>0</v>
      </c>
      <c r="V351" s="22"/>
      <c r="W351" s="62"/>
      <c r="X351" s="62"/>
      <c r="Y351" s="62"/>
      <c r="Z351" s="79"/>
      <c r="AA351" s="63"/>
      <c r="AB351" s="64"/>
      <c r="AC351" s="64"/>
      <c r="AD351" s="64"/>
      <c r="AE351" s="65">
        <f t="shared" si="9"/>
        <v>0</v>
      </c>
      <c r="AF351" s="66"/>
      <c r="AG351" s="66"/>
      <c r="AH351" s="66"/>
      <c r="AI351" s="66"/>
      <c r="AJ351" s="66"/>
      <c r="AK351" s="66"/>
      <c r="AL351" s="66"/>
      <c r="AM351" s="66"/>
      <c r="AN351" s="67">
        <f t="shared" si="10"/>
        <v>0</v>
      </c>
      <c r="AO351" s="66"/>
      <c r="AP351" s="68">
        <f t="shared" si="11"/>
        <v>0</v>
      </c>
      <c r="AQ351" s="69"/>
      <c r="AR351" s="22"/>
      <c r="AS351" s="70">
        <f>'Daily Halba'!$U351-'Daily Halba'!$AP351</f>
        <v>0</v>
      </c>
      <c r="AT351" s="5"/>
      <c r="AU351" s="5"/>
      <c r="AV351" s="5"/>
    </row>
    <row r="352" spans="1:48" ht="12.75" customHeight="1" x14ac:dyDescent="0.3">
      <c r="A352" s="49"/>
      <c r="B352" s="82"/>
      <c r="C352" s="51"/>
      <c r="D352" s="52"/>
      <c r="E352" s="53"/>
      <c r="F352" s="54"/>
      <c r="G352" s="52"/>
      <c r="H352" s="53"/>
      <c r="I352" s="54"/>
      <c r="J352" s="53"/>
      <c r="K352" s="83"/>
      <c r="L352" s="57"/>
      <c r="M352" s="58"/>
      <c r="N352" s="71"/>
      <c r="O352" s="71"/>
      <c r="P352" s="71"/>
      <c r="Q352" s="71"/>
      <c r="R352" s="71"/>
      <c r="S352" s="71"/>
      <c r="T352" s="71"/>
      <c r="U352" s="61">
        <f>SUM('Daily Halba'!$E352,'Daily Halba'!$H352,$M352:$T352)</f>
        <v>0</v>
      </c>
      <c r="V352" s="22"/>
      <c r="W352" s="85"/>
      <c r="X352" s="85"/>
      <c r="Y352" s="85"/>
      <c r="Z352" s="85"/>
      <c r="AA352" s="72"/>
      <c r="AB352" s="73"/>
      <c r="AC352" s="73"/>
      <c r="AD352" s="73"/>
      <c r="AE352" s="86">
        <f t="shared" si="9"/>
        <v>0</v>
      </c>
      <c r="AF352" s="74"/>
      <c r="AG352" s="74"/>
      <c r="AH352" s="74"/>
      <c r="AI352" s="74"/>
      <c r="AJ352" s="74"/>
      <c r="AK352" s="74"/>
      <c r="AL352" s="74"/>
      <c r="AM352" s="74"/>
      <c r="AN352" s="87">
        <f t="shared" si="10"/>
        <v>0</v>
      </c>
      <c r="AO352" s="74"/>
      <c r="AP352" s="88">
        <f t="shared" si="11"/>
        <v>0</v>
      </c>
      <c r="AQ352" s="75"/>
      <c r="AR352" s="22"/>
      <c r="AS352" s="70">
        <f>'Daily Halba'!$U352-'Daily Halba'!$AP352</f>
        <v>0</v>
      </c>
      <c r="AT352" s="5"/>
      <c r="AU352" s="5"/>
      <c r="AV352" s="5"/>
    </row>
    <row r="353" spans="1:48" ht="12.75" customHeight="1" x14ac:dyDescent="0.3">
      <c r="A353" s="49"/>
      <c r="B353" s="82"/>
      <c r="C353" s="51"/>
      <c r="D353" s="52"/>
      <c r="E353" s="53"/>
      <c r="F353" s="54"/>
      <c r="G353" s="52"/>
      <c r="H353" s="53"/>
      <c r="I353" s="54"/>
      <c r="J353" s="53"/>
      <c r="K353" s="83"/>
      <c r="L353" s="57"/>
      <c r="M353" s="58"/>
      <c r="N353" s="71"/>
      <c r="O353" s="71"/>
      <c r="P353" s="71"/>
      <c r="Q353" s="71"/>
      <c r="R353" s="71"/>
      <c r="S353" s="71"/>
      <c r="T353" s="71"/>
      <c r="U353" s="61">
        <f>SUM('Daily Halba'!$E353,'Daily Halba'!$H353,$M353:$T353)</f>
        <v>0</v>
      </c>
      <c r="V353" s="22"/>
      <c r="W353" s="62"/>
      <c r="X353" s="62"/>
      <c r="Y353" s="62"/>
      <c r="Z353" s="79"/>
      <c r="AA353" s="63"/>
      <c r="AB353" s="64"/>
      <c r="AC353" s="64"/>
      <c r="AD353" s="64"/>
      <c r="AE353" s="65">
        <f t="shared" si="9"/>
        <v>0</v>
      </c>
      <c r="AF353" s="66"/>
      <c r="AG353" s="66"/>
      <c r="AH353" s="66"/>
      <c r="AI353" s="66"/>
      <c r="AJ353" s="66"/>
      <c r="AK353" s="66"/>
      <c r="AL353" s="66"/>
      <c r="AM353" s="66"/>
      <c r="AN353" s="67">
        <f t="shared" si="10"/>
        <v>0</v>
      </c>
      <c r="AO353" s="66"/>
      <c r="AP353" s="68">
        <f t="shared" si="11"/>
        <v>0</v>
      </c>
      <c r="AQ353" s="69"/>
      <c r="AR353" s="22"/>
      <c r="AS353" s="70">
        <f>'Daily Halba'!$U353-'Daily Halba'!$AP353</f>
        <v>0</v>
      </c>
      <c r="AT353" s="5"/>
      <c r="AU353" s="5"/>
      <c r="AV353" s="5"/>
    </row>
    <row r="354" spans="1:48" ht="12.75" customHeight="1" x14ac:dyDescent="0.3">
      <c r="A354" s="49"/>
      <c r="B354" s="82"/>
      <c r="C354" s="51"/>
      <c r="D354" s="52"/>
      <c r="E354" s="53"/>
      <c r="F354" s="54"/>
      <c r="G354" s="52"/>
      <c r="H354" s="53"/>
      <c r="I354" s="54"/>
      <c r="J354" s="53"/>
      <c r="K354" s="83"/>
      <c r="L354" s="57"/>
      <c r="M354" s="58"/>
      <c r="N354" s="71"/>
      <c r="O354" s="71"/>
      <c r="P354" s="71"/>
      <c r="Q354" s="71"/>
      <c r="R354" s="71"/>
      <c r="S354" s="71"/>
      <c r="T354" s="71"/>
      <c r="U354" s="61">
        <f>SUM('Daily Halba'!$E354,'Daily Halba'!$H354,$M354:$T354)</f>
        <v>0</v>
      </c>
      <c r="V354" s="22"/>
      <c r="W354" s="85"/>
      <c r="X354" s="85"/>
      <c r="Y354" s="85"/>
      <c r="Z354" s="85"/>
      <c r="AA354" s="72"/>
      <c r="AB354" s="73"/>
      <c r="AC354" s="73"/>
      <c r="AD354" s="73"/>
      <c r="AE354" s="86">
        <f t="shared" si="9"/>
        <v>0</v>
      </c>
      <c r="AF354" s="74"/>
      <c r="AG354" s="74"/>
      <c r="AH354" s="74"/>
      <c r="AI354" s="74"/>
      <c r="AJ354" s="74"/>
      <c r="AK354" s="74"/>
      <c r="AL354" s="74"/>
      <c r="AM354" s="74"/>
      <c r="AN354" s="87">
        <f t="shared" si="10"/>
        <v>0</v>
      </c>
      <c r="AO354" s="74"/>
      <c r="AP354" s="88">
        <f t="shared" si="11"/>
        <v>0</v>
      </c>
      <c r="AQ354" s="75"/>
      <c r="AR354" s="22"/>
      <c r="AS354" s="70">
        <f>'Daily Halba'!$U354-'Daily Halba'!$AP354</f>
        <v>0</v>
      </c>
      <c r="AT354" s="5"/>
      <c r="AU354" s="5"/>
      <c r="AV354" s="5"/>
    </row>
    <row r="355" spans="1:48" ht="12.75" customHeight="1" x14ac:dyDescent="0.3">
      <c r="A355" s="49"/>
      <c r="B355" s="82"/>
      <c r="C355" s="51"/>
      <c r="D355" s="52"/>
      <c r="E355" s="53"/>
      <c r="F355" s="54"/>
      <c r="G355" s="52"/>
      <c r="H355" s="53"/>
      <c r="I355" s="54"/>
      <c r="J355" s="53"/>
      <c r="K355" s="83"/>
      <c r="L355" s="57"/>
      <c r="M355" s="58"/>
      <c r="N355" s="71"/>
      <c r="O355" s="71"/>
      <c r="P355" s="71"/>
      <c r="Q355" s="71"/>
      <c r="R355" s="71"/>
      <c r="S355" s="71"/>
      <c r="T355" s="71"/>
      <c r="U355" s="61">
        <f>SUM('Daily Halba'!$E355,'Daily Halba'!$H355,$M355:$T355)</f>
        <v>0</v>
      </c>
      <c r="V355" s="22"/>
      <c r="W355" s="62"/>
      <c r="X355" s="62"/>
      <c r="Y355" s="62"/>
      <c r="Z355" s="79"/>
      <c r="AA355" s="63"/>
      <c r="AB355" s="64"/>
      <c r="AC355" s="64"/>
      <c r="AD355" s="64"/>
      <c r="AE355" s="65">
        <f t="shared" si="9"/>
        <v>0</v>
      </c>
      <c r="AF355" s="66"/>
      <c r="AG355" s="66"/>
      <c r="AH355" s="66"/>
      <c r="AI355" s="66"/>
      <c r="AJ355" s="66"/>
      <c r="AK355" s="66"/>
      <c r="AL355" s="66"/>
      <c r="AM355" s="66"/>
      <c r="AN355" s="67">
        <f t="shared" si="10"/>
        <v>0</v>
      </c>
      <c r="AO355" s="66"/>
      <c r="AP355" s="68">
        <f t="shared" si="11"/>
        <v>0</v>
      </c>
      <c r="AQ355" s="69"/>
      <c r="AR355" s="22"/>
      <c r="AS355" s="70">
        <f>'Daily Halba'!$U355-'Daily Halba'!$AP355</f>
        <v>0</v>
      </c>
      <c r="AT355" s="5"/>
      <c r="AU355" s="5"/>
      <c r="AV355" s="5"/>
    </row>
    <row r="356" spans="1:48" ht="12.75" customHeight="1" x14ac:dyDescent="0.3">
      <c r="A356" s="49"/>
      <c r="B356" s="82"/>
      <c r="C356" s="51"/>
      <c r="D356" s="52"/>
      <c r="E356" s="53"/>
      <c r="F356" s="54"/>
      <c r="G356" s="52"/>
      <c r="H356" s="53"/>
      <c r="I356" s="54"/>
      <c r="J356" s="53"/>
      <c r="K356" s="83"/>
      <c r="L356" s="57"/>
      <c r="M356" s="58"/>
      <c r="N356" s="71"/>
      <c r="O356" s="71"/>
      <c r="P356" s="71"/>
      <c r="Q356" s="71"/>
      <c r="R356" s="71"/>
      <c r="S356" s="71"/>
      <c r="T356" s="71"/>
      <c r="U356" s="61">
        <f>SUM('Daily Halba'!$E356,'Daily Halba'!$H356,$M356:$T356)</f>
        <v>0</v>
      </c>
      <c r="V356" s="22"/>
      <c r="W356" s="85"/>
      <c r="X356" s="85"/>
      <c r="Y356" s="85"/>
      <c r="Z356" s="85"/>
      <c r="AA356" s="72"/>
      <c r="AB356" s="73"/>
      <c r="AC356" s="73"/>
      <c r="AD356" s="73"/>
      <c r="AE356" s="86">
        <f t="shared" si="9"/>
        <v>0</v>
      </c>
      <c r="AF356" s="74"/>
      <c r="AG356" s="74"/>
      <c r="AH356" s="74"/>
      <c r="AI356" s="74"/>
      <c r="AJ356" s="74"/>
      <c r="AK356" s="74"/>
      <c r="AL356" s="74"/>
      <c r="AM356" s="74"/>
      <c r="AN356" s="87">
        <f t="shared" si="10"/>
        <v>0</v>
      </c>
      <c r="AO356" s="74"/>
      <c r="AP356" s="88">
        <f t="shared" si="11"/>
        <v>0</v>
      </c>
      <c r="AQ356" s="75"/>
      <c r="AR356" s="22"/>
      <c r="AS356" s="70">
        <f>'Daily Halba'!$U356-'Daily Halba'!$AP356</f>
        <v>0</v>
      </c>
      <c r="AT356" s="5"/>
      <c r="AU356" s="5"/>
      <c r="AV356" s="5"/>
    </row>
    <row r="357" spans="1:48" ht="12.75" customHeight="1" x14ac:dyDescent="0.3">
      <c r="A357" s="49"/>
      <c r="B357" s="82"/>
      <c r="C357" s="51"/>
      <c r="D357" s="52"/>
      <c r="E357" s="53"/>
      <c r="F357" s="54"/>
      <c r="G357" s="52"/>
      <c r="H357" s="53"/>
      <c r="I357" s="54"/>
      <c r="J357" s="53"/>
      <c r="K357" s="83"/>
      <c r="L357" s="57"/>
      <c r="M357" s="58"/>
      <c r="N357" s="71"/>
      <c r="O357" s="71"/>
      <c r="P357" s="71"/>
      <c r="Q357" s="71"/>
      <c r="R357" s="71"/>
      <c r="S357" s="71"/>
      <c r="T357" s="71"/>
      <c r="U357" s="61">
        <f>SUM('Daily Halba'!$E357,'Daily Halba'!$H357,$M357:$T357)</f>
        <v>0</v>
      </c>
      <c r="V357" s="22"/>
      <c r="W357" s="62"/>
      <c r="X357" s="62"/>
      <c r="Y357" s="62"/>
      <c r="Z357" s="79"/>
      <c r="AA357" s="63"/>
      <c r="AB357" s="64"/>
      <c r="AC357" s="64"/>
      <c r="AD357" s="64"/>
      <c r="AE357" s="65">
        <f t="shared" si="9"/>
        <v>0</v>
      </c>
      <c r="AF357" s="66"/>
      <c r="AG357" s="66"/>
      <c r="AH357" s="66"/>
      <c r="AI357" s="66"/>
      <c r="AJ357" s="66"/>
      <c r="AK357" s="66"/>
      <c r="AL357" s="66"/>
      <c r="AM357" s="66"/>
      <c r="AN357" s="67">
        <f t="shared" si="10"/>
        <v>0</v>
      </c>
      <c r="AO357" s="66"/>
      <c r="AP357" s="68">
        <f t="shared" si="11"/>
        <v>0</v>
      </c>
      <c r="AQ357" s="69"/>
      <c r="AR357" s="22"/>
      <c r="AS357" s="70">
        <f>'Daily Halba'!$U357-'Daily Halba'!$AP357</f>
        <v>0</v>
      </c>
      <c r="AT357" s="5"/>
      <c r="AU357" s="5"/>
      <c r="AV357" s="5"/>
    </row>
    <row r="358" spans="1:48" ht="12.75" customHeight="1" x14ac:dyDescent="0.3">
      <c r="A358" s="49"/>
      <c r="B358" s="82"/>
      <c r="C358" s="51"/>
      <c r="D358" s="52"/>
      <c r="E358" s="53"/>
      <c r="F358" s="54"/>
      <c r="G358" s="52"/>
      <c r="H358" s="53"/>
      <c r="I358" s="54"/>
      <c r="J358" s="53"/>
      <c r="K358" s="83"/>
      <c r="L358" s="57"/>
      <c r="M358" s="58"/>
      <c r="N358" s="71"/>
      <c r="O358" s="71"/>
      <c r="P358" s="71"/>
      <c r="Q358" s="71"/>
      <c r="R358" s="71"/>
      <c r="S358" s="71"/>
      <c r="T358" s="71"/>
      <c r="U358" s="61">
        <f>SUM('Daily Halba'!$E358,'Daily Halba'!$H358,$M358:$T358)</f>
        <v>0</v>
      </c>
      <c r="V358" s="22"/>
      <c r="W358" s="85"/>
      <c r="X358" s="85"/>
      <c r="Y358" s="85"/>
      <c r="Z358" s="85"/>
      <c r="AA358" s="72"/>
      <c r="AB358" s="73"/>
      <c r="AC358" s="73"/>
      <c r="AD358" s="73"/>
      <c r="AE358" s="86">
        <f t="shared" si="9"/>
        <v>0</v>
      </c>
      <c r="AF358" s="74"/>
      <c r="AG358" s="74"/>
      <c r="AH358" s="74"/>
      <c r="AI358" s="74"/>
      <c r="AJ358" s="74"/>
      <c r="AK358" s="74"/>
      <c r="AL358" s="74"/>
      <c r="AM358" s="74"/>
      <c r="AN358" s="87">
        <f t="shared" si="10"/>
        <v>0</v>
      </c>
      <c r="AO358" s="74"/>
      <c r="AP358" s="88">
        <f t="shared" si="11"/>
        <v>0</v>
      </c>
      <c r="AQ358" s="75"/>
      <c r="AR358" s="22"/>
      <c r="AS358" s="70">
        <f>'Daily Halba'!$U358-'Daily Halba'!$AP358</f>
        <v>0</v>
      </c>
      <c r="AT358" s="5"/>
      <c r="AU358" s="5"/>
      <c r="AV358" s="5"/>
    </row>
    <row r="359" spans="1:48" ht="12.75" customHeight="1" x14ac:dyDescent="0.3">
      <c r="A359" s="49"/>
      <c r="B359" s="82"/>
      <c r="C359" s="51"/>
      <c r="D359" s="52"/>
      <c r="E359" s="53"/>
      <c r="F359" s="54"/>
      <c r="G359" s="52"/>
      <c r="H359" s="53"/>
      <c r="I359" s="54"/>
      <c r="J359" s="53"/>
      <c r="K359" s="83"/>
      <c r="L359" s="57"/>
      <c r="M359" s="58"/>
      <c r="N359" s="71"/>
      <c r="O359" s="71"/>
      <c r="P359" s="71"/>
      <c r="Q359" s="71"/>
      <c r="R359" s="71"/>
      <c r="S359" s="71"/>
      <c r="T359" s="71"/>
      <c r="U359" s="61">
        <f>SUM('Daily Halba'!$E359,'Daily Halba'!$H359,$M359:$T359)</f>
        <v>0</v>
      </c>
      <c r="V359" s="22"/>
      <c r="W359" s="62"/>
      <c r="X359" s="62"/>
      <c r="Y359" s="62"/>
      <c r="Z359" s="79"/>
      <c r="AA359" s="63"/>
      <c r="AB359" s="64"/>
      <c r="AC359" s="64"/>
      <c r="AD359" s="64"/>
      <c r="AE359" s="65">
        <f t="shared" si="9"/>
        <v>0</v>
      </c>
      <c r="AF359" s="66"/>
      <c r="AG359" s="66"/>
      <c r="AH359" s="66"/>
      <c r="AI359" s="66"/>
      <c r="AJ359" s="66"/>
      <c r="AK359" s="66"/>
      <c r="AL359" s="66"/>
      <c r="AM359" s="66"/>
      <c r="AN359" s="67">
        <f t="shared" si="10"/>
        <v>0</v>
      </c>
      <c r="AO359" s="66"/>
      <c r="AP359" s="68">
        <f t="shared" si="11"/>
        <v>0</v>
      </c>
      <c r="AQ359" s="69"/>
      <c r="AR359" s="22"/>
      <c r="AS359" s="70">
        <f>'Daily Halba'!$U359-'Daily Halba'!$AP359</f>
        <v>0</v>
      </c>
      <c r="AT359" s="5"/>
      <c r="AU359" s="5"/>
      <c r="AV359" s="5"/>
    </row>
    <row r="360" spans="1:48" ht="12.75" customHeight="1" x14ac:dyDescent="0.3">
      <c r="A360" s="49"/>
      <c r="B360" s="82"/>
      <c r="C360" s="51"/>
      <c r="D360" s="52"/>
      <c r="E360" s="53"/>
      <c r="F360" s="54"/>
      <c r="G360" s="52"/>
      <c r="H360" s="53"/>
      <c r="I360" s="54"/>
      <c r="J360" s="53"/>
      <c r="K360" s="83"/>
      <c r="L360" s="57"/>
      <c r="M360" s="58"/>
      <c r="N360" s="71"/>
      <c r="O360" s="71"/>
      <c r="P360" s="71"/>
      <c r="Q360" s="71"/>
      <c r="R360" s="71"/>
      <c r="S360" s="71"/>
      <c r="T360" s="71"/>
      <c r="U360" s="61">
        <f>SUM('Daily Halba'!$E360,'Daily Halba'!$H360,$M360:$T360)</f>
        <v>0</v>
      </c>
      <c r="V360" s="22"/>
      <c r="W360" s="85"/>
      <c r="X360" s="85"/>
      <c r="Y360" s="85"/>
      <c r="Z360" s="85"/>
      <c r="AA360" s="72"/>
      <c r="AB360" s="73"/>
      <c r="AC360" s="73"/>
      <c r="AD360" s="73"/>
      <c r="AE360" s="86">
        <f t="shared" si="9"/>
        <v>0</v>
      </c>
      <c r="AF360" s="74"/>
      <c r="AG360" s="74"/>
      <c r="AH360" s="74"/>
      <c r="AI360" s="74"/>
      <c r="AJ360" s="74"/>
      <c r="AK360" s="74"/>
      <c r="AL360" s="74"/>
      <c r="AM360" s="74"/>
      <c r="AN360" s="87">
        <f t="shared" si="10"/>
        <v>0</v>
      </c>
      <c r="AO360" s="74"/>
      <c r="AP360" s="88">
        <f t="shared" si="11"/>
        <v>0</v>
      </c>
      <c r="AQ360" s="75"/>
      <c r="AR360" s="22"/>
      <c r="AS360" s="70">
        <f>'Daily Halba'!$U360-'Daily Halba'!$AP360</f>
        <v>0</v>
      </c>
      <c r="AT360" s="5"/>
      <c r="AU360" s="5"/>
      <c r="AV360" s="5"/>
    </row>
    <row r="361" spans="1:48" ht="12.75" customHeight="1" x14ac:dyDescent="0.3">
      <c r="A361" s="49"/>
      <c r="B361" s="82"/>
      <c r="C361" s="51"/>
      <c r="D361" s="52"/>
      <c r="E361" s="53"/>
      <c r="F361" s="54"/>
      <c r="G361" s="52"/>
      <c r="H361" s="53"/>
      <c r="I361" s="54"/>
      <c r="J361" s="53"/>
      <c r="K361" s="83"/>
      <c r="L361" s="57"/>
      <c r="M361" s="58"/>
      <c r="N361" s="71"/>
      <c r="O361" s="71"/>
      <c r="P361" s="71"/>
      <c r="Q361" s="71"/>
      <c r="R361" s="71"/>
      <c r="S361" s="71"/>
      <c r="T361" s="71"/>
      <c r="U361" s="61">
        <f>SUM('Daily Halba'!$E361,'Daily Halba'!$H361,$M361:$T361)</f>
        <v>0</v>
      </c>
      <c r="V361" s="22"/>
      <c r="W361" s="62"/>
      <c r="X361" s="62"/>
      <c r="Y361" s="62"/>
      <c r="Z361" s="79"/>
      <c r="AA361" s="63"/>
      <c r="AB361" s="64"/>
      <c r="AC361" s="64"/>
      <c r="AD361" s="64"/>
      <c r="AE361" s="65">
        <f t="shared" si="9"/>
        <v>0</v>
      </c>
      <c r="AF361" s="66"/>
      <c r="AG361" s="66"/>
      <c r="AH361" s="66"/>
      <c r="AI361" s="66"/>
      <c r="AJ361" s="66"/>
      <c r="AK361" s="66"/>
      <c r="AL361" s="66"/>
      <c r="AM361" s="66"/>
      <c r="AN361" s="67">
        <f t="shared" si="10"/>
        <v>0</v>
      </c>
      <c r="AO361" s="66"/>
      <c r="AP361" s="68">
        <f t="shared" si="11"/>
        <v>0</v>
      </c>
      <c r="AQ361" s="69"/>
      <c r="AR361" s="22"/>
      <c r="AS361" s="70">
        <f>'Daily Halba'!$U361-'Daily Halba'!$AP361</f>
        <v>0</v>
      </c>
      <c r="AT361" s="5"/>
      <c r="AU361" s="5"/>
      <c r="AV361" s="5"/>
    </row>
    <row r="362" spans="1:48" ht="12.75" customHeight="1" x14ac:dyDescent="0.3">
      <c r="A362" s="49"/>
      <c r="B362" s="82"/>
      <c r="C362" s="51"/>
      <c r="D362" s="52"/>
      <c r="E362" s="53"/>
      <c r="F362" s="54"/>
      <c r="G362" s="52"/>
      <c r="H362" s="53"/>
      <c r="I362" s="54"/>
      <c r="J362" s="53"/>
      <c r="K362" s="83"/>
      <c r="L362" s="57"/>
      <c r="M362" s="58"/>
      <c r="N362" s="71"/>
      <c r="O362" s="71"/>
      <c r="P362" s="71"/>
      <c r="Q362" s="71"/>
      <c r="R362" s="71"/>
      <c r="S362" s="71"/>
      <c r="T362" s="71"/>
      <c r="U362" s="61">
        <f>SUM('Daily Halba'!$E362,'Daily Halba'!$H362,$M362:$T362)</f>
        <v>0</v>
      </c>
      <c r="V362" s="22"/>
      <c r="W362" s="85"/>
      <c r="X362" s="85"/>
      <c r="Y362" s="85"/>
      <c r="Z362" s="85"/>
      <c r="AA362" s="72"/>
      <c r="AB362" s="73"/>
      <c r="AC362" s="73"/>
      <c r="AD362" s="73"/>
      <c r="AE362" s="86">
        <f t="shared" si="9"/>
        <v>0</v>
      </c>
      <c r="AF362" s="74"/>
      <c r="AG362" s="74"/>
      <c r="AH362" s="74"/>
      <c r="AI362" s="74"/>
      <c r="AJ362" s="74"/>
      <c r="AK362" s="74"/>
      <c r="AL362" s="74"/>
      <c r="AM362" s="74"/>
      <c r="AN362" s="87">
        <f t="shared" si="10"/>
        <v>0</v>
      </c>
      <c r="AO362" s="74"/>
      <c r="AP362" s="88">
        <f t="shared" si="11"/>
        <v>0</v>
      </c>
      <c r="AQ362" s="75"/>
      <c r="AR362" s="22"/>
      <c r="AS362" s="70">
        <f>'Daily Halba'!$U362-'Daily Halba'!$AP362</f>
        <v>0</v>
      </c>
      <c r="AT362" s="5"/>
      <c r="AU362" s="5"/>
      <c r="AV362" s="5"/>
    </row>
    <row r="363" spans="1:48" ht="12.75" customHeight="1" x14ac:dyDescent="0.3">
      <c r="A363" s="49"/>
      <c r="B363" s="82"/>
      <c r="C363" s="51"/>
      <c r="D363" s="52"/>
      <c r="E363" s="53"/>
      <c r="F363" s="54"/>
      <c r="G363" s="52"/>
      <c r="H363" s="53"/>
      <c r="I363" s="54"/>
      <c r="J363" s="53"/>
      <c r="K363" s="83"/>
      <c r="L363" s="57"/>
      <c r="M363" s="58"/>
      <c r="N363" s="71"/>
      <c r="O363" s="71"/>
      <c r="P363" s="71"/>
      <c r="Q363" s="71"/>
      <c r="R363" s="71"/>
      <c r="S363" s="71"/>
      <c r="T363" s="71"/>
      <c r="U363" s="61">
        <f>SUM('Daily Halba'!$E363,'Daily Halba'!$H363,$M363:$T363)</f>
        <v>0</v>
      </c>
      <c r="V363" s="22"/>
      <c r="W363" s="62"/>
      <c r="X363" s="62"/>
      <c r="Y363" s="62"/>
      <c r="Z363" s="79"/>
      <c r="AA363" s="63"/>
      <c r="AB363" s="64"/>
      <c r="AC363" s="64"/>
      <c r="AD363" s="64"/>
      <c r="AE363" s="65">
        <f t="shared" si="9"/>
        <v>0</v>
      </c>
      <c r="AF363" s="66"/>
      <c r="AG363" s="66"/>
      <c r="AH363" s="66"/>
      <c r="AI363" s="66"/>
      <c r="AJ363" s="66"/>
      <c r="AK363" s="66"/>
      <c r="AL363" s="66"/>
      <c r="AM363" s="66"/>
      <c r="AN363" s="67">
        <f t="shared" si="10"/>
        <v>0</v>
      </c>
      <c r="AO363" s="66"/>
      <c r="AP363" s="68">
        <f t="shared" si="11"/>
        <v>0</v>
      </c>
      <c r="AQ363" s="69"/>
      <c r="AR363" s="22"/>
      <c r="AS363" s="70">
        <f>'Daily Halba'!$U363-'Daily Halba'!$AP363</f>
        <v>0</v>
      </c>
      <c r="AT363" s="5"/>
      <c r="AU363" s="5"/>
      <c r="AV363" s="5"/>
    </row>
    <row r="364" spans="1:48" ht="12.75" customHeight="1" x14ac:dyDescent="0.3">
      <c r="A364" s="49"/>
      <c r="B364" s="82"/>
      <c r="C364" s="51"/>
      <c r="D364" s="52"/>
      <c r="E364" s="53"/>
      <c r="F364" s="54"/>
      <c r="G364" s="52"/>
      <c r="H364" s="53"/>
      <c r="I364" s="54"/>
      <c r="J364" s="53"/>
      <c r="K364" s="83"/>
      <c r="L364" s="57"/>
      <c r="M364" s="58"/>
      <c r="N364" s="71"/>
      <c r="O364" s="71"/>
      <c r="P364" s="71"/>
      <c r="Q364" s="71"/>
      <c r="R364" s="71"/>
      <c r="S364" s="71"/>
      <c r="T364" s="71"/>
      <c r="U364" s="61">
        <f>SUM('Daily Halba'!$E364,'Daily Halba'!$H364,$M364:$T364)</f>
        <v>0</v>
      </c>
      <c r="V364" s="22"/>
      <c r="W364" s="85"/>
      <c r="X364" s="85"/>
      <c r="Y364" s="85"/>
      <c r="Z364" s="85"/>
      <c r="AA364" s="72"/>
      <c r="AB364" s="73"/>
      <c r="AC364" s="73"/>
      <c r="AD364" s="73"/>
      <c r="AE364" s="86">
        <f t="shared" si="9"/>
        <v>0</v>
      </c>
      <c r="AF364" s="74"/>
      <c r="AG364" s="74"/>
      <c r="AH364" s="74"/>
      <c r="AI364" s="74"/>
      <c r="AJ364" s="74"/>
      <c r="AK364" s="74"/>
      <c r="AL364" s="74"/>
      <c r="AM364" s="74"/>
      <c r="AN364" s="87">
        <f t="shared" si="10"/>
        <v>0</v>
      </c>
      <c r="AO364" s="74"/>
      <c r="AP364" s="88">
        <f t="shared" si="11"/>
        <v>0</v>
      </c>
      <c r="AQ364" s="75"/>
      <c r="AR364" s="22"/>
      <c r="AS364" s="70">
        <f>'Daily Halba'!$U364-'Daily Halba'!$AP364</f>
        <v>0</v>
      </c>
      <c r="AT364" s="5"/>
      <c r="AU364" s="5"/>
      <c r="AV364" s="5"/>
    </row>
    <row r="365" spans="1:48" ht="12.75" customHeight="1" x14ac:dyDescent="0.3">
      <c r="A365" s="49"/>
      <c r="B365" s="82"/>
      <c r="C365" s="51"/>
      <c r="D365" s="52"/>
      <c r="E365" s="53"/>
      <c r="F365" s="54"/>
      <c r="G365" s="52"/>
      <c r="H365" s="53"/>
      <c r="I365" s="54"/>
      <c r="J365" s="53"/>
      <c r="K365" s="83"/>
      <c r="L365" s="57"/>
      <c r="M365" s="58"/>
      <c r="N365" s="71"/>
      <c r="O365" s="71"/>
      <c r="P365" s="71"/>
      <c r="Q365" s="71"/>
      <c r="R365" s="71"/>
      <c r="S365" s="71"/>
      <c r="T365" s="71"/>
      <c r="U365" s="61">
        <f>SUM('Daily Halba'!$E365,'Daily Halba'!$H365,$M365:$T365)</f>
        <v>0</v>
      </c>
      <c r="V365" s="22"/>
      <c r="W365" s="62"/>
      <c r="X365" s="62"/>
      <c r="Y365" s="62"/>
      <c r="Z365" s="79"/>
      <c r="AA365" s="63"/>
      <c r="AB365" s="64"/>
      <c r="AC365" s="64"/>
      <c r="AD365" s="64"/>
      <c r="AE365" s="65">
        <f t="shared" si="9"/>
        <v>0</v>
      </c>
      <c r="AF365" s="66"/>
      <c r="AG365" s="66"/>
      <c r="AH365" s="66"/>
      <c r="AI365" s="66"/>
      <c r="AJ365" s="66"/>
      <c r="AK365" s="66"/>
      <c r="AL365" s="66"/>
      <c r="AM365" s="66"/>
      <c r="AN365" s="67">
        <f t="shared" si="10"/>
        <v>0</v>
      </c>
      <c r="AO365" s="66"/>
      <c r="AP365" s="68">
        <f t="shared" si="11"/>
        <v>0</v>
      </c>
      <c r="AQ365" s="69"/>
      <c r="AR365" s="22"/>
      <c r="AS365" s="70">
        <f>'Daily Halba'!$U365-'Daily Halba'!$AP365</f>
        <v>0</v>
      </c>
      <c r="AT365" s="5"/>
      <c r="AU365" s="5"/>
      <c r="AV365" s="5"/>
    </row>
    <row r="366" spans="1:48" ht="12.75" customHeight="1" x14ac:dyDescent="0.3">
      <c r="A366" s="49"/>
      <c r="B366" s="82"/>
      <c r="C366" s="51"/>
      <c r="D366" s="52"/>
      <c r="E366" s="53"/>
      <c r="F366" s="54"/>
      <c r="G366" s="52"/>
      <c r="H366" s="53"/>
      <c r="I366" s="54"/>
      <c r="J366" s="53"/>
      <c r="K366" s="83"/>
      <c r="L366" s="57"/>
      <c r="M366" s="58"/>
      <c r="N366" s="71"/>
      <c r="O366" s="71"/>
      <c r="P366" s="71"/>
      <c r="Q366" s="71"/>
      <c r="R366" s="71"/>
      <c r="S366" s="71"/>
      <c r="T366" s="71"/>
      <c r="U366" s="61">
        <f>SUM('Daily Halba'!$E366,'Daily Halba'!$H366,$M366:$T366)</f>
        <v>0</v>
      </c>
      <c r="V366" s="22"/>
      <c r="W366" s="85"/>
      <c r="X366" s="85"/>
      <c r="Y366" s="85"/>
      <c r="Z366" s="85"/>
      <c r="AA366" s="72"/>
      <c r="AB366" s="73"/>
      <c r="AC366" s="73"/>
      <c r="AD366" s="73"/>
      <c r="AE366" s="86">
        <f t="shared" si="9"/>
        <v>0</v>
      </c>
      <c r="AF366" s="74"/>
      <c r="AG366" s="74"/>
      <c r="AH366" s="74"/>
      <c r="AI366" s="74"/>
      <c r="AJ366" s="74"/>
      <c r="AK366" s="74"/>
      <c r="AL366" s="74"/>
      <c r="AM366" s="74"/>
      <c r="AN366" s="87">
        <f t="shared" si="10"/>
        <v>0</v>
      </c>
      <c r="AO366" s="74"/>
      <c r="AP366" s="88">
        <f t="shared" si="11"/>
        <v>0</v>
      </c>
      <c r="AQ366" s="75"/>
      <c r="AR366" s="22"/>
      <c r="AS366" s="70">
        <f>'Daily Halba'!$U366-'Daily Halba'!$AP366</f>
        <v>0</v>
      </c>
      <c r="AT366" s="5"/>
      <c r="AU366" s="5"/>
      <c r="AV366" s="5"/>
    </row>
    <row r="367" spans="1:48" ht="12.75" customHeight="1" x14ac:dyDescent="0.3">
      <c r="A367" s="49"/>
      <c r="B367" s="82"/>
      <c r="C367" s="51"/>
      <c r="D367" s="52"/>
      <c r="E367" s="53"/>
      <c r="F367" s="54"/>
      <c r="G367" s="52"/>
      <c r="H367" s="53"/>
      <c r="I367" s="54"/>
      <c r="J367" s="53"/>
      <c r="K367" s="83"/>
      <c r="L367" s="57"/>
      <c r="M367" s="58"/>
      <c r="N367" s="71"/>
      <c r="O367" s="71"/>
      <c r="P367" s="71"/>
      <c r="Q367" s="71"/>
      <c r="R367" s="71"/>
      <c r="S367" s="71"/>
      <c r="T367" s="71"/>
      <c r="U367" s="61">
        <f>SUM('Daily Halba'!$E367,'Daily Halba'!$H367,$M367:$T367)</f>
        <v>0</v>
      </c>
      <c r="V367" s="22"/>
      <c r="W367" s="62"/>
      <c r="X367" s="62"/>
      <c r="Y367" s="62"/>
      <c r="Z367" s="79"/>
      <c r="AA367" s="63"/>
      <c r="AB367" s="64"/>
      <c r="AC367" s="64"/>
      <c r="AD367" s="64"/>
      <c r="AE367" s="65">
        <f t="shared" si="9"/>
        <v>0</v>
      </c>
      <c r="AF367" s="66"/>
      <c r="AG367" s="66"/>
      <c r="AH367" s="66"/>
      <c r="AI367" s="66"/>
      <c r="AJ367" s="66"/>
      <c r="AK367" s="66"/>
      <c r="AL367" s="66"/>
      <c r="AM367" s="66"/>
      <c r="AN367" s="67">
        <f t="shared" si="10"/>
        <v>0</v>
      </c>
      <c r="AO367" s="66"/>
      <c r="AP367" s="68">
        <f t="shared" si="11"/>
        <v>0</v>
      </c>
      <c r="AQ367" s="69"/>
      <c r="AR367" s="22"/>
      <c r="AS367" s="70">
        <f>'Daily Halba'!$U367-'Daily Halba'!$AP367</f>
        <v>0</v>
      </c>
      <c r="AT367" s="5"/>
      <c r="AU367" s="5"/>
      <c r="AV367" s="5"/>
    </row>
    <row r="368" spans="1:48" ht="12.75" customHeight="1" x14ac:dyDescent="0.3">
      <c r="A368" s="49"/>
      <c r="B368" s="82"/>
      <c r="C368" s="51"/>
      <c r="D368" s="52"/>
      <c r="E368" s="53"/>
      <c r="F368" s="54"/>
      <c r="G368" s="52"/>
      <c r="H368" s="53"/>
      <c r="I368" s="54"/>
      <c r="J368" s="53"/>
      <c r="K368" s="83"/>
      <c r="L368" s="57"/>
      <c r="M368" s="58"/>
      <c r="N368" s="71"/>
      <c r="O368" s="71"/>
      <c r="P368" s="71"/>
      <c r="Q368" s="71"/>
      <c r="R368" s="71"/>
      <c r="S368" s="71"/>
      <c r="T368" s="71"/>
      <c r="U368" s="61">
        <f>SUM('Daily Halba'!$E368,'Daily Halba'!$H368,$M368:$T368)</f>
        <v>0</v>
      </c>
      <c r="V368" s="22"/>
      <c r="W368" s="85"/>
      <c r="X368" s="85"/>
      <c r="Y368" s="85"/>
      <c r="Z368" s="85"/>
      <c r="AA368" s="72"/>
      <c r="AB368" s="73"/>
      <c r="AC368" s="73"/>
      <c r="AD368" s="73"/>
      <c r="AE368" s="86">
        <f t="shared" si="9"/>
        <v>0</v>
      </c>
      <c r="AF368" s="74"/>
      <c r="AG368" s="74"/>
      <c r="AH368" s="74"/>
      <c r="AI368" s="74"/>
      <c r="AJ368" s="74"/>
      <c r="AK368" s="74"/>
      <c r="AL368" s="74"/>
      <c r="AM368" s="74"/>
      <c r="AN368" s="87">
        <f t="shared" si="10"/>
        <v>0</v>
      </c>
      <c r="AO368" s="74"/>
      <c r="AP368" s="88">
        <f t="shared" si="11"/>
        <v>0</v>
      </c>
      <c r="AQ368" s="75"/>
      <c r="AR368" s="22"/>
      <c r="AS368" s="70">
        <f>'Daily Halba'!$U368-'Daily Halba'!$AP368</f>
        <v>0</v>
      </c>
      <c r="AT368" s="5"/>
      <c r="AU368" s="5"/>
      <c r="AV368" s="5"/>
    </row>
    <row r="369" spans="1:48" ht="12.75" customHeight="1" x14ac:dyDescent="0.3">
      <c r="A369" s="49"/>
      <c r="B369" s="82"/>
      <c r="C369" s="51"/>
      <c r="D369" s="52"/>
      <c r="E369" s="53"/>
      <c r="F369" s="54"/>
      <c r="G369" s="52"/>
      <c r="H369" s="53"/>
      <c r="I369" s="54"/>
      <c r="J369" s="53"/>
      <c r="K369" s="83"/>
      <c r="L369" s="57"/>
      <c r="M369" s="58"/>
      <c r="N369" s="71"/>
      <c r="O369" s="71"/>
      <c r="P369" s="71"/>
      <c r="Q369" s="71"/>
      <c r="R369" s="71"/>
      <c r="S369" s="71"/>
      <c r="T369" s="71"/>
      <c r="U369" s="61">
        <f>SUM('Daily Halba'!$E369,'Daily Halba'!$H369,$M369:$T369)</f>
        <v>0</v>
      </c>
      <c r="V369" s="22"/>
      <c r="W369" s="62"/>
      <c r="X369" s="62"/>
      <c r="Y369" s="62"/>
      <c r="Z369" s="79"/>
      <c r="AA369" s="63"/>
      <c r="AB369" s="64"/>
      <c r="AC369" s="64"/>
      <c r="AD369" s="64"/>
      <c r="AE369" s="65">
        <f t="shared" si="9"/>
        <v>0</v>
      </c>
      <c r="AF369" s="66"/>
      <c r="AG369" s="66"/>
      <c r="AH369" s="66"/>
      <c r="AI369" s="66"/>
      <c r="AJ369" s="66"/>
      <c r="AK369" s="66"/>
      <c r="AL369" s="66"/>
      <c r="AM369" s="66"/>
      <c r="AN369" s="67">
        <f t="shared" si="10"/>
        <v>0</v>
      </c>
      <c r="AO369" s="66"/>
      <c r="AP369" s="68">
        <f t="shared" si="11"/>
        <v>0</v>
      </c>
      <c r="AQ369" s="69"/>
      <c r="AR369" s="22"/>
      <c r="AS369" s="70">
        <f>'Daily Halba'!$U369-'Daily Halba'!$AP369</f>
        <v>0</v>
      </c>
      <c r="AT369" s="5"/>
      <c r="AU369" s="5"/>
      <c r="AV369" s="5"/>
    </row>
    <row r="370" spans="1:48" ht="12.75" customHeight="1" x14ac:dyDescent="0.3">
      <c r="A370" s="49"/>
      <c r="B370" s="82"/>
      <c r="C370" s="51"/>
      <c r="D370" s="52"/>
      <c r="E370" s="53"/>
      <c r="F370" s="54"/>
      <c r="G370" s="52"/>
      <c r="H370" s="53"/>
      <c r="I370" s="54"/>
      <c r="J370" s="53"/>
      <c r="K370" s="83"/>
      <c r="L370" s="57"/>
      <c r="M370" s="58"/>
      <c r="N370" s="71"/>
      <c r="O370" s="71"/>
      <c r="P370" s="71"/>
      <c r="Q370" s="71"/>
      <c r="R370" s="71"/>
      <c r="S370" s="71"/>
      <c r="T370" s="71"/>
      <c r="U370" s="61">
        <f>SUM('Daily Halba'!$E370,'Daily Halba'!$H370,$M370:$T370)</f>
        <v>0</v>
      </c>
      <c r="V370" s="22"/>
      <c r="W370" s="85"/>
      <c r="X370" s="85"/>
      <c r="Y370" s="85"/>
      <c r="Z370" s="85"/>
      <c r="AA370" s="72"/>
      <c r="AB370" s="73"/>
      <c r="AC370" s="73"/>
      <c r="AD370" s="73"/>
      <c r="AE370" s="86">
        <f t="shared" si="9"/>
        <v>0</v>
      </c>
      <c r="AF370" s="74"/>
      <c r="AG370" s="74"/>
      <c r="AH370" s="74"/>
      <c r="AI370" s="74"/>
      <c r="AJ370" s="74"/>
      <c r="AK370" s="74"/>
      <c r="AL370" s="74"/>
      <c r="AM370" s="74"/>
      <c r="AN370" s="87">
        <f t="shared" si="10"/>
        <v>0</v>
      </c>
      <c r="AO370" s="74"/>
      <c r="AP370" s="88">
        <f t="shared" si="11"/>
        <v>0</v>
      </c>
      <c r="AQ370" s="75"/>
      <c r="AR370" s="22"/>
      <c r="AS370" s="70">
        <f>'Daily Halba'!$U370-'Daily Halba'!$AP370</f>
        <v>0</v>
      </c>
      <c r="AT370" s="5"/>
      <c r="AU370" s="5"/>
      <c r="AV370" s="5"/>
    </row>
    <row r="371" spans="1:48" ht="12.75" customHeight="1" x14ac:dyDescent="0.3">
      <c r="A371" s="49"/>
      <c r="B371" s="82"/>
      <c r="C371" s="51"/>
      <c r="D371" s="52"/>
      <c r="E371" s="53"/>
      <c r="F371" s="54"/>
      <c r="G371" s="52"/>
      <c r="H371" s="53"/>
      <c r="I371" s="54"/>
      <c r="J371" s="53"/>
      <c r="K371" s="83"/>
      <c r="L371" s="57"/>
      <c r="M371" s="58"/>
      <c r="N371" s="71"/>
      <c r="O371" s="71"/>
      <c r="P371" s="71"/>
      <c r="Q371" s="71"/>
      <c r="R371" s="71"/>
      <c r="S371" s="71"/>
      <c r="T371" s="71"/>
      <c r="U371" s="61">
        <f>SUM('Daily Halba'!$E371,'Daily Halba'!$H371,$M371:$T371)</f>
        <v>0</v>
      </c>
      <c r="V371" s="22"/>
      <c r="W371" s="62"/>
      <c r="X371" s="62"/>
      <c r="Y371" s="62"/>
      <c r="Z371" s="79"/>
      <c r="AA371" s="63"/>
      <c r="AB371" s="64"/>
      <c r="AC371" s="64"/>
      <c r="AD371" s="64"/>
      <c r="AE371" s="65">
        <f t="shared" si="9"/>
        <v>0</v>
      </c>
      <c r="AF371" s="66"/>
      <c r="AG371" s="66"/>
      <c r="AH371" s="66"/>
      <c r="AI371" s="66"/>
      <c r="AJ371" s="66"/>
      <c r="AK371" s="66"/>
      <c r="AL371" s="66"/>
      <c r="AM371" s="66"/>
      <c r="AN371" s="67">
        <f t="shared" si="10"/>
        <v>0</v>
      </c>
      <c r="AO371" s="66"/>
      <c r="AP371" s="68">
        <f t="shared" si="11"/>
        <v>0</v>
      </c>
      <c r="AQ371" s="69"/>
      <c r="AR371" s="22"/>
      <c r="AS371" s="70">
        <f>'Daily Halba'!$U371-'Daily Halba'!$AP371</f>
        <v>0</v>
      </c>
      <c r="AT371" s="5"/>
      <c r="AU371" s="5"/>
      <c r="AV371" s="5"/>
    </row>
    <row r="372" spans="1:48" ht="12.75" customHeight="1" x14ac:dyDescent="0.3">
      <c r="A372" s="49"/>
      <c r="B372" s="82"/>
      <c r="C372" s="51"/>
      <c r="D372" s="52"/>
      <c r="E372" s="53"/>
      <c r="F372" s="54"/>
      <c r="G372" s="52"/>
      <c r="H372" s="53"/>
      <c r="I372" s="54"/>
      <c r="J372" s="53"/>
      <c r="K372" s="83"/>
      <c r="L372" s="57"/>
      <c r="M372" s="58"/>
      <c r="N372" s="71"/>
      <c r="O372" s="71"/>
      <c r="P372" s="71"/>
      <c r="Q372" s="71"/>
      <c r="R372" s="71"/>
      <c r="S372" s="71"/>
      <c r="T372" s="71"/>
      <c r="U372" s="61">
        <f>SUM('Daily Halba'!$E372,'Daily Halba'!$H372,$M372:$T372)</f>
        <v>0</v>
      </c>
      <c r="V372" s="22"/>
      <c r="W372" s="85"/>
      <c r="X372" s="85"/>
      <c r="Y372" s="85"/>
      <c r="Z372" s="85"/>
      <c r="AA372" s="72"/>
      <c r="AB372" s="73"/>
      <c r="AC372" s="73"/>
      <c r="AD372" s="73"/>
      <c r="AE372" s="86">
        <f t="shared" si="9"/>
        <v>0</v>
      </c>
      <c r="AF372" s="74"/>
      <c r="AG372" s="74"/>
      <c r="AH372" s="74"/>
      <c r="AI372" s="74"/>
      <c r="AJ372" s="74"/>
      <c r="AK372" s="74"/>
      <c r="AL372" s="74"/>
      <c r="AM372" s="74"/>
      <c r="AN372" s="87">
        <f t="shared" si="10"/>
        <v>0</v>
      </c>
      <c r="AO372" s="74"/>
      <c r="AP372" s="88">
        <f t="shared" si="11"/>
        <v>0</v>
      </c>
      <c r="AQ372" s="75"/>
      <c r="AR372" s="22"/>
      <c r="AS372" s="70">
        <f>'Daily Halba'!$U372-'Daily Halba'!$AP372</f>
        <v>0</v>
      </c>
      <c r="AT372" s="5"/>
      <c r="AU372" s="5"/>
      <c r="AV372" s="5"/>
    </row>
    <row r="373" spans="1:48" ht="12.75" customHeight="1" x14ac:dyDescent="0.3">
      <c r="A373" s="49"/>
      <c r="B373" s="82"/>
      <c r="C373" s="51"/>
      <c r="D373" s="52"/>
      <c r="E373" s="53"/>
      <c r="F373" s="54"/>
      <c r="G373" s="52"/>
      <c r="H373" s="53"/>
      <c r="I373" s="54"/>
      <c r="J373" s="53"/>
      <c r="K373" s="83"/>
      <c r="L373" s="57"/>
      <c r="M373" s="58"/>
      <c r="N373" s="71"/>
      <c r="O373" s="71"/>
      <c r="P373" s="71"/>
      <c r="Q373" s="71"/>
      <c r="R373" s="71"/>
      <c r="S373" s="71"/>
      <c r="T373" s="71"/>
      <c r="U373" s="61">
        <f>SUM('Daily Halba'!$E373,'Daily Halba'!$H373,$M373:$T373)</f>
        <v>0</v>
      </c>
      <c r="V373" s="22"/>
      <c r="W373" s="62"/>
      <c r="X373" s="62"/>
      <c r="Y373" s="62"/>
      <c r="Z373" s="79"/>
      <c r="AA373" s="63"/>
      <c r="AB373" s="64"/>
      <c r="AC373" s="64"/>
      <c r="AD373" s="64"/>
      <c r="AE373" s="65">
        <f t="shared" si="9"/>
        <v>0</v>
      </c>
      <c r="AF373" s="66"/>
      <c r="AG373" s="66"/>
      <c r="AH373" s="66"/>
      <c r="AI373" s="66"/>
      <c r="AJ373" s="66"/>
      <c r="AK373" s="66"/>
      <c r="AL373" s="66"/>
      <c r="AM373" s="66"/>
      <c r="AN373" s="67">
        <f t="shared" si="10"/>
        <v>0</v>
      </c>
      <c r="AO373" s="66"/>
      <c r="AP373" s="68">
        <f t="shared" si="11"/>
        <v>0</v>
      </c>
      <c r="AQ373" s="69"/>
      <c r="AR373" s="22"/>
      <c r="AS373" s="70">
        <f>'Daily Halba'!$U373-'Daily Halba'!$AP373</f>
        <v>0</v>
      </c>
      <c r="AT373" s="5"/>
      <c r="AU373" s="5"/>
      <c r="AV373" s="5"/>
    </row>
    <row r="374" spans="1:48" ht="12.75" customHeight="1" x14ac:dyDescent="0.3">
      <c r="A374" s="49"/>
      <c r="B374" s="82"/>
      <c r="C374" s="51"/>
      <c r="D374" s="52"/>
      <c r="E374" s="53"/>
      <c r="F374" s="54"/>
      <c r="G374" s="52"/>
      <c r="H374" s="53"/>
      <c r="I374" s="54"/>
      <c r="J374" s="53"/>
      <c r="K374" s="83"/>
      <c r="L374" s="57"/>
      <c r="M374" s="58"/>
      <c r="N374" s="71"/>
      <c r="O374" s="71"/>
      <c r="P374" s="71"/>
      <c r="Q374" s="71"/>
      <c r="R374" s="71"/>
      <c r="S374" s="71"/>
      <c r="T374" s="71"/>
      <c r="U374" s="61">
        <f>SUM('Daily Halba'!$E374,'Daily Halba'!$H374,$M374:$T374)</f>
        <v>0</v>
      </c>
      <c r="V374" s="22"/>
      <c r="W374" s="85"/>
      <c r="X374" s="85"/>
      <c r="Y374" s="85"/>
      <c r="Z374" s="85"/>
      <c r="AA374" s="72"/>
      <c r="AB374" s="73"/>
      <c r="AC374" s="73"/>
      <c r="AD374" s="73"/>
      <c r="AE374" s="86">
        <f t="shared" si="9"/>
        <v>0</v>
      </c>
      <c r="AF374" s="74"/>
      <c r="AG374" s="74"/>
      <c r="AH374" s="74"/>
      <c r="AI374" s="74"/>
      <c r="AJ374" s="74"/>
      <c r="AK374" s="74"/>
      <c r="AL374" s="74"/>
      <c r="AM374" s="74"/>
      <c r="AN374" s="87">
        <f t="shared" si="10"/>
        <v>0</v>
      </c>
      <c r="AO374" s="74"/>
      <c r="AP374" s="88">
        <f t="shared" si="11"/>
        <v>0</v>
      </c>
      <c r="AQ374" s="75"/>
      <c r="AR374" s="22"/>
      <c r="AS374" s="70">
        <f>'Daily Halba'!$U374-'Daily Halba'!$AP374</f>
        <v>0</v>
      </c>
      <c r="AT374" s="5"/>
      <c r="AU374" s="5"/>
      <c r="AV374" s="5"/>
    </row>
    <row r="375" spans="1:48" ht="12.75" customHeight="1" x14ac:dyDescent="0.3">
      <c r="A375" s="49"/>
      <c r="B375" s="82"/>
      <c r="C375" s="51"/>
      <c r="D375" s="52"/>
      <c r="E375" s="53"/>
      <c r="F375" s="54"/>
      <c r="G375" s="52"/>
      <c r="H375" s="53"/>
      <c r="I375" s="54"/>
      <c r="J375" s="53"/>
      <c r="K375" s="83"/>
      <c r="L375" s="57"/>
      <c r="M375" s="58"/>
      <c r="N375" s="71"/>
      <c r="O375" s="71"/>
      <c r="P375" s="71"/>
      <c r="Q375" s="71"/>
      <c r="R375" s="71"/>
      <c r="S375" s="71"/>
      <c r="T375" s="71"/>
      <c r="U375" s="61">
        <f>SUM('Daily Halba'!$E375,'Daily Halba'!$H375,$M375:$T375)</f>
        <v>0</v>
      </c>
      <c r="V375" s="22"/>
      <c r="W375" s="62"/>
      <c r="X375" s="62"/>
      <c r="Y375" s="62"/>
      <c r="Z375" s="79"/>
      <c r="AA375" s="63"/>
      <c r="AB375" s="64"/>
      <c r="AC375" s="64"/>
      <c r="AD375" s="64"/>
      <c r="AE375" s="65">
        <f t="shared" si="9"/>
        <v>0</v>
      </c>
      <c r="AF375" s="66"/>
      <c r="AG375" s="66"/>
      <c r="AH375" s="66"/>
      <c r="AI375" s="66"/>
      <c r="AJ375" s="66"/>
      <c r="AK375" s="66"/>
      <c r="AL375" s="66"/>
      <c r="AM375" s="66"/>
      <c r="AN375" s="67">
        <f t="shared" si="10"/>
        <v>0</v>
      </c>
      <c r="AO375" s="66"/>
      <c r="AP375" s="68">
        <f t="shared" si="11"/>
        <v>0</v>
      </c>
      <c r="AQ375" s="69"/>
      <c r="AR375" s="22"/>
      <c r="AS375" s="70">
        <f>'Daily Halba'!$U375-'Daily Halba'!$AP375</f>
        <v>0</v>
      </c>
      <c r="AT375" s="5"/>
      <c r="AU375" s="5"/>
      <c r="AV375" s="5"/>
    </row>
    <row r="376" spans="1:48" ht="12.75" customHeight="1" x14ac:dyDescent="0.3">
      <c r="A376" s="49"/>
      <c r="B376" s="82"/>
      <c r="C376" s="51"/>
      <c r="D376" s="52"/>
      <c r="E376" s="53"/>
      <c r="F376" s="54"/>
      <c r="G376" s="52"/>
      <c r="H376" s="53"/>
      <c r="I376" s="54"/>
      <c r="J376" s="53"/>
      <c r="K376" s="83"/>
      <c r="L376" s="57"/>
      <c r="M376" s="58"/>
      <c r="N376" s="71"/>
      <c r="O376" s="71"/>
      <c r="P376" s="71"/>
      <c r="Q376" s="71"/>
      <c r="R376" s="71"/>
      <c r="S376" s="71"/>
      <c r="T376" s="71"/>
      <c r="U376" s="61">
        <f>SUM('Daily Halba'!$E376,'Daily Halba'!$H376,$M376:$T376)</f>
        <v>0</v>
      </c>
      <c r="V376" s="22"/>
      <c r="W376" s="85"/>
      <c r="X376" s="85"/>
      <c r="Y376" s="85"/>
      <c r="Z376" s="85"/>
      <c r="AA376" s="72"/>
      <c r="AB376" s="73"/>
      <c r="AC376" s="73"/>
      <c r="AD376" s="73"/>
      <c r="AE376" s="86">
        <f t="shared" si="9"/>
        <v>0</v>
      </c>
      <c r="AF376" s="74"/>
      <c r="AG376" s="74"/>
      <c r="AH376" s="74"/>
      <c r="AI376" s="74"/>
      <c r="AJ376" s="74"/>
      <c r="AK376" s="74"/>
      <c r="AL376" s="74"/>
      <c r="AM376" s="74"/>
      <c r="AN376" s="87">
        <f t="shared" si="10"/>
        <v>0</v>
      </c>
      <c r="AO376" s="74"/>
      <c r="AP376" s="88">
        <f t="shared" si="11"/>
        <v>0</v>
      </c>
      <c r="AQ376" s="75"/>
      <c r="AR376" s="22"/>
      <c r="AS376" s="70">
        <f>'Daily Halba'!$U376-'Daily Halba'!$AP376</f>
        <v>0</v>
      </c>
      <c r="AT376" s="5"/>
      <c r="AU376" s="5"/>
      <c r="AV376" s="5"/>
    </row>
    <row r="377" spans="1:48" ht="12.75" customHeight="1" x14ac:dyDescent="0.3">
      <c r="A377" s="49"/>
      <c r="B377" s="82"/>
      <c r="C377" s="51"/>
      <c r="D377" s="52"/>
      <c r="E377" s="53"/>
      <c r="F377" s="54"/>
      <c r="G377" s="52"/>
      <c r="H377" s="53"/>
      <c r="I377" s="54"/>
      <c r="J377" s="53"/>
      <c r="K377" s="83"/>
      <c r="L377" s="57"/>
      <c r="M377" s="58"/>
      <c r="N377" s="71"/>
      <c r="O377" s="71"/>
      <c r="P377" s="71"/>
      <c r="Q377" s="71"/>
      <c r="R377" s="71"/>
      <c r="S377" s="71"/>
      <c r="T377" s="71"/>
      <c r="U377" s="61">
        <f>SUM('Daily Halba'!$E377,'Daily Halba'!$H377,$M377:$T377)</f>
        <v>0</v>
      </c>
      <c r="V377" s="22"/>
      <c r="W377" s="62"/>
      <c r="X377" s="62"/>
      <c r="Y377" s="62"/>
      <c r="Z377" s="79"/>
      <c r="AA377" s="63"/>
      <c r="AB377" s="64"/>
      <c r="AC377" s="64"/>
      <c r="AD377" s="64"/>
      <c r="AE377" s="65">
        <f t="shared" si="9"/>
        <v>0</v>
      </c>
      <c r="AF377" s="66"/>
      <c r="AG377" s="66"/>
      <c r="AH377" s="66"/>
      <c r="AI377" s="66"/>
      <c r="AJ377" s="66"/>
      <c r="AK377" s="66"/>
      <c r="AL377" s="66"/>
      <c r="AM377" s="66"/>
      <c r="AN377" s="67">
        <f t="shared" si="10"/>
        <v>0</v>
      </c>
      <c r="AO377" s="66"/>
      <c r="AP377" s="68">
        <f t="shared" si="11"/>
        <v>0</v>
      </c>
      <c r="AQ377" s="69"/>
      <c r="AR377" s="22"/>
      <c r="AS377" s="70">
        <f>'Daily Halba'!$U377-'Daily Halba'!$AP377</f>
        <v>0</v>
      </c>
      <c r="AT377" s="5"/>
      <c r="AU377" s="5"/>
      <c r="AV377" s="5"/>
    </row>
    <row r="378" spans="1:48" ht="12.75" customHeight="1" x14ac:dyDescent="0.3">
      <c r="A378" s="49"/>
      <c r="B378" s="82"/>
      <c r="C378" s="51"/>
      <c r="D378" s="52"/>
      <c r="E378" s="53"/>
      <c r="F378" s="54"/>
      <c r="G378" s="52"/>
      <c r="H378" s="53"/>
      <c r="I378" s="54"/>
      <c r="J378" s="53"/>
      <c r="K378" s="83"/>
      <c r="L378" s="57"/>
      <c r="M378" s="58"/>
      <c r="N378" s="71"/>
      <c r="O378" s="71"/>
      <c r="P378" s="71"/>
      <c r="Q378" s="71"/>
      <c r="R378" s="71"/>
      <c r="S378" s="71"/>
      <c r="T378" s="71"/>
      <c r="U378" s="61">
        <f>SUM('Daily Halba'!$E378,'Daily Halba'!$H378,$M378:$T378)</f>
        <v>0</v>
      </c>
      <c r="V378" s="22"/>
      <c r="W378" s="85"/>
      <c r="X378" s="85"/>
      <c r="Y378" s="85"/>
      <c r="Z378" s="85"/>
      <c r="AA378" s="72"/>
      <c r="AB378" s="73"/>
      <c r="AC378" s="73"/>
      <c r="AD378" s="73"/>
      <c r="AE378" s="86">
        <f t="shared" si="9"/>
        <v>0</v>
      </c>
      <c r="AF378" s="74"/>
      <c r="AG378" s="74"/>
      <c r="AH378" s="74"/>
      <c r="AI378" s="74"/>
      <c r="AJ378" s="74"/>
      <c r="AK378" s="74"/>
      <c r="AL378" s="74"/>
      <c r="AM378" s="74"/>
      <c r="AN378" s="87">
        <f t="shared" si="10"/>
        <v>0</v>
      </c>
      <c r="AO378" s="74"/>
      <c r="AP378" s="88">
        <f t="shared" si="11"/>
        <v>0</v>
      </c>
      <c r="AQ378" s="75"/>
      <c r="AR378" s="22"/>
      <c r="AS378" s="70">
        <f>'Daily Halba'!$U378-'Daily Halba'!$AP378</f>
        <v>0</v>
      </c>
      <c r="AT378" s="5"/>
      <c r="AU378" s="5"/>
      <c r="AV378" s="5"/>
    </row>
    <row r="379" spans="1:48" ht="12.75" customHeight="1" x14ac:dyDescent="0.3">
      <c r="A379" s="49"/>
      <c r="B379" s="82"/>
      <c r="C379" s="51"/>
      <c r="D379" s="52"/>
      <c r="E379" s="53"/>
      <c r="F379" s="54"/>
      <c r="G379" s="52"/>
      <c r="H379" s="53"/>
      <c r="I379" s="54"/>
      <c r="J379" s="53"/>
      <c r="K379" s="83"/>
      <c r="L379" s="57"/>
      <c r="M379" s="58"/>
      <c r="N379" s="71"/>
      <c r="O379" s="71"/>
      <c r="P379" s="71"/>
      <c r="Q379" s="71"/>
      <c r="R379" s="71"/>
      <c r="S379" s="71"/>
      <c r="T379" s="71"/>
      <c r="U379" s="61">
        <f>SUM('Daily Halba'!$E379,'Daily Halba'!$H379,$M379:$T379)</f>
        <v>0</v>
      </c>
      <c r="V379" s="22"/>
      <c r="W379" s="62"/>
      <c r="X379" s="62"/>
      <c r="Y379" s="62"/>
      <c r="Z379" s="79"/>
      <c r="AA379" s="63"/>
      <c r="AB379" s="64"/>
      <c r="AC379" s="64"/>
      <c r="AD379" s="64"/>
      <c r="AE379" s="65">
        <f t="shared" si="9"/>
        <v>0</v>
      </c>
      <c r="AF379" s="66"/>
      <c r="AG379" s="66"/>
      <c r="AH379" s="66"/>
      <c r="AI379" s="66"/>
      <c r="AJ379" s="66"/>
      <c r="AK379" s="66"/>
      <c r="AL379" s="66"/>
      <c r="AM379" s="66"/>
      <c r="AN379" s="67">
        <f t="shared" si="10"/>
        <v>0</v>
      </c>
      <c r="AO379" s="66"/>
      <c r="AP379" s="68">
        <f t="shared" si="11"/>
        <v>0</v>
      </c>
      <c r="AQ379" s="69"/>
      <c r="AR379" s="22"/>
      <c r="AS379" s="70">
        <f>'Daily Halba'!$U379-'Daily Halba'!$AP379</f>
        <v>0</v>
      </c>
      <c r="AT379" s="5"/>
      <c r="AU379" s="5"/>
      <c r="AV379" s="5"/>
    </row>
    <row r="380" spans="1:48" ht="12.75" customHeight="1" x14ac:dyDescent="0.3">
      <c r="A380" s="49"/>
      <c r="B380" s="82"/>
      <c r="C380" s="51"/>
      <c r="D380" s="52"/>
      <c r="E380" s="53"/>
      <c r="F380" s="54"/>
      <c r="G380" s="52"/>
      <c r="H380" s="53"/>
      <c r="I380" s="54"/>
      <c r="J380" s="53"/>
      <c r="K380" s="83"/>
      <c r="L380" s="57"/>
      <c r="M380" s="58"/>
      <c r="N380" s="71"/>
      <c r="O380" s="71"/>
      <c r="P380" s="71"/>
      <c r="Q380" s="71"/>
      <c r="R380" s="71"/>
      <c r="S380" s="71"/>
      <c r="T380" s="71"/>
      <c r="U380" s="61">
        <f>SUM('Daily Halba'!$E380,'Daily Halba'!$H380,$M380:$T380)</f>
        <v>0</v>
      </c>
      <c r="V380" s="22"/>
      <c r="W380" s="85"/>
      <c r="X380" s="85"/>
      <c r="Y380" s="85"/>
      <c r="Z380" s="85"/>
      <c r="AA380" s="72"/>
      <c r="AB380" s="73"/>
      <c r="AC380" s="73"/>
      <c r="AD380" s="73"/>
      <c r="AE380" s="86">
        <f t="shared" si="9"/>
        <v>0</v>
      </c>
      <c r="AF380" s="74"/>
      <c r="AG380" s="74"/>
      <c r="AH380" s="74"/>
      <c r="AI380" s="74"/>
      <c r="AJ380" s="74"/>
      <c r="AK380" s="74"/>
      <c r="AL380" s="74"/>
      <c r="AM380" s="74"/>
      <c r="AN380" s="87">
        <f t="shared" si="10"/>
        <v>0</v>
      </c>
      <c r="AO380" s="74"/>
      <c r="AP380" s="88">
        <f t="shared" si="11"/>
        <v>0</v>
      </c>
      <c r="AQ380" s="75"/>
      <c r="AR380" s="22"/>
      <c r="AS380" s="70">
        <f>'Daily Halba'!$U380-'Daily Halba'!$AP380</f>
        <v>0</v>
      </c>
      <c r="AT380" s="5"/>
      <c r="AU380" s="5"/>
      <c r="AV380" s="5"/>
    </row>
    <row r="381" spans="1:48" ht="12.75" customHeight="1" x14ac:dyDescent="0.3">
      <c r="A381" s="49"/>
      <c r="B381" s="82"/>
      <c r="C381" s="51"/>
      <c r="D381" s="52"/>
      <c r="E381" s="53"/>
      <c r="F381" s="54"/>
      <c r="G381" s="52"/>
      <c r="H381" s="53"/>
      <c r="I381" s="54"/>
      <c r="J381" s="53"/>
      <c r="K381" s="83"/>
      <c r="L381" s="57"/>
      <c r="M381" s="58"/>
      <c r="N381" s="71"/>
      <c r="O381" s="71"/>
      <c r="P381" s="71"/>
      <c r="Q381" s="71"/>
      <c r="R381" s="71"/>
      <c r="S381" s="71"/>
      <c r="T381" s="71"/>
      <c r="U381" s="61">
        <f>SUM('Daily Halba'!$E381,'Daily Halba'!$H381,$M381:$T381)</f>
        <v>0</v>
      </c>
      <c r="V381" s="22"/>
      <c r="W381" s="62"/>
      <c r="X381" s="62"/>
      <c r="Y381" s="62"/>
      <c r="Z381" s="79"/>
      <c r="AA381" s="63"/>
      <c r="AB381" s="64"/>
      <c r="AC381" s="64"/>
      <c r="AD381" s="64"/>
      <c r="AE381" s="65">
        <f t="shared" si="9"/>
        <v>0</v>
      </c>
      <c r="AF381" s="66"/>
      <c r="AG381" s="66"/>
      <c r="AH381" s="66"/>
      <c r="AI381" s="66"/>
      <c r="AJ381" s="66"/>
      <c r="AK381" s="66"/>
      <c r="AL381" s="66"/>
      <c r="AM381" s="66"/>
      <c r="AN381" s="67">
        <f t="shared" si="10"/>
        <v>0</v>
      </c>
      <c r="AO381" s="66"/>
      <c r="AP381" s="68">
        <f t="shared" si="11"/>
        <v>0</v>
      </c>
      <c r="AQ381" s="69"/>
      <c r="AR381" s="22"/>
      <c r="AS381" s="70">
        <f>'Daily Halba'!$U381-'Daily Halba'!$AP381</f>
        <v>0</v>
      </c>
      <c r="AT381" s="5"/>
      <c r="AU381" s="5"/>
      <c r="AV381" s="5"/>
    </row>
    <row r="382" spans="1:48" ht="12.75" customHeight="1" x14ac:dyDescent="0.3">
      <c r="A382" s="49"/>
      <c r="B382" s="82"/>
      <c r="C382" s="51"/>
      <c r="D382" s="52"/>
      <c r="E382" s="53"/>
      <c r="F382" s="54"/>
      <c r="G382" s="52"/>
      <c r="H382" s="53"/>
      <c r="I382" s="54"/>
      <c r="J382" s="53"/>
      <c r="K382" s="83"/>
      <c r="L382" s="57"/>
      <c r="M382" s="58"/>
      <c r="N382" s="71"/>
      <c r="O382" s="71"/>
      <c r="P382" s="71"/>
      <c r="Q382" s="71"/>
      <c r="R382" s="71"/>
      <c r="S382" s="71"/>
      <c r="T382" s="71"/>
      <c r="U382" s="61">
        <f>SUM('Daily Halba'!$E382,'Daily Halba'!$H382,$M382:$T382)</f>
        <v>0</v>
      </c>
      <c r="V382" s="22"/>
      <c r="W382" s="85"/>
      <c r="X382" s="85"/>
      <c r="Y382" s="85"/>
      <c r="Z382" s="85"/>
      <c r="AA382" s="72"/>
      <c r="AB382" s="73"/>
      <c r="AC382" s="73"/>
      <c r="AD382" s="73"/>
      <c r="AE382" s="86">
        <f t="shared" si="9"/>
        <v>0</v>
      </c>
      <c r="AF382" s="74"/>
      <c r="AG382" s="74"/>
      <c r="AH382" s="74"/>
      <c r="AI382" s="74"/>
      <c r="AJ382" s="74"/>
      <c r="AK382" s="74"/>
      <c r="AL382" s="74"/>
      <c r="AM382" s="74"/>
      <c r="AN382" s="87">
        <f t="shared" si="10"/>
        <v>0</v>
      </c>
      <c r="AO382" s="74"/>
      <c r="AP382" s="88">
        <f t="shared" si="11"/>
        <v>0</v>
      </c>
      <c r="AQ382" s="75"/>
      <c r="AR382" s="22"/>
      <c r="AS382" s="70">
        <f>'Daily Halba'!$U382-'Daily Halba'!$AP382</f>
        <v>0</v>
      </c>
      <c r="AT382" s="5"/>
      <c r="AU382" s="5"/>
      <c r="AV382" s="5"/>
    </row>
    <row r="383" spans="1:48" ht="12.75" customHeight="1" x14ac:dyDescent="0.3">
      <c r="A383" s="49"/>
      <c r="B383" s="82"/>
      <c r="C383" s="51"/>
      <c r="D383" s="52"/>
      <c r="E383" s="53"/>
      <c r="F383" s="54"/>
      <c r="G383" s="52"/>
      <c r="H383" s="53"/>
      <c r="I383" s="54"/>
      <c r="J383" s="53"/>
      <c r="K383" s="83"/>
      <c r="L383" s="57"/>
      <c r="M383" s="58"/>
      <c r="N383" s="71"/>
      <c r="O383" s="71"/>
      <c r="P383" s="71"/>
      <c r="Q383" s="71"/>
      <c r="R383" s="71"/>
      <c r="S383" s="71"/>
      <c r="T383" s="71"/>
      <c r="U383" s="61">
        <f>SUM('Daily Halba'!$E383,'Daily Halba'!$H383,$M383:$T383)</f>
        <v>0</v>
      </c>
      <c r="V383" s="22"/>
      <c r="W383" s="62"/>
      <c r="X383" s="62"/>
      <c r="Y383" s="62"/>
      <c r="Z383" s="79"/>
      <c r="AA383" s="63"/>
      <c r="AB383" s="64"/>
      <c r="AC383" s="64"/>
      <c r="AD383" s="64"/>
      <c r="AE383" s="65">
        <f t="shared" si="9"/>
        <v>0</v>
      </c>
      <c r="AF383" s="66"/>
      <c r="AG383" s="66"/>
      <c r="AH383" s="66"/>
      <c r="AI383" s="66"/>
      <c r="AJ383" s="66"/>
      <c r="AK383" s="66"/>
      <c r="AL383" s="66"/>
      <c r="AM383" s="66"/>
      <c r="AN383" s="67">
        <f t="shared" si="10"/>
        <v>0</v>
      </c>
      <c r="AO383" s="66"/>
      <c r="AP383" s="68">
        <f t="shared" si="11"/>
        <v>0</v>
      </c>
      <c r="AQ383" s="69"/>
      <c r="AR383" s="22"/>
      <c r="AS383" s="70">
        <f>'Daily Halba'!$U383-'Daily Halba'!$AP383</f>
        <v>0</v>
      </c>
      <c r="AT383" s="5"/>
      <c r="AU383" s="5"/>
      <c r="AV383" s="5"/>
    </row>
    <row r="384" spans="1:48" ht="12.75" customHeight="1" x14ac:dyDescent="0.3">
      <c r="A384" s="49"/>
      <c r="B384" s="82"/>
      <c r="C384" s="51"/>
      <c r="D384" s="52"/>
      <c r="E384" s="53"/>
      <c r="F384" s="54"/>
      <c r="G384" s="52"/>
      <c r="H384" s="53"/>
      <c r="I384" s="54"/>
      <c r="J384" s="53"/>
      <c r="K384" s="83"/>
      <c r="L384" s="57"/>
      <c r="M384" s="58"/>
      <c r="N384" s="71"/>
      <c r="O384" s="71"/>
      <c r="P384" s="71"/>
      <c r="Q384" s="71"/>
      <c r="R384" s="71"/>
      <c r="S384" s="71"/>
      <c r="T384" s="71"/>
      <c r="U384" s="61">
        <f>SUM('Daily Halba'!$E384,'Daily Halba'!$H384,$M384:$T384)</f>
        <v>0</v>
      </c>
      <c r="V384" s="22"/>
      <c r="W384" s="85"/>
      <c r="X384" s="85"/>
      <c r="Y384" s="85"/>
      <c r="Z384" s="85"/>
      <c r="AA384" s="72"/>
      <c r="AB384" s="73"/>
      <c r="AC384" s="73"/>
      <c r="AD384" s="73"/>
      <c r="AE384" s="86">
        <f t="shared" si="9"/>
        <v>0</v>
      </c>
      <c r="AF384" s="74"/>
      <c r="AG384" s="74"/>
      <c r="AH384" s="74"/>
      <c r="AI384" s="74"/>
      <c r="AJ384" s="74"/>
      <c r="AK384" s="74"/>
      <c r="AL384" s="74"/>
      <c r="AM384" s="74"/>
      <c r="AN384" s="87">
        <f t="shared" si="10"/>
        <v>0</v>
      </c>
      <c r="AO384" s="74"/>
      <c r="AP384" s="88">
        <f t="shared" si="11"/>
        <v>0</v>
      </c>
      <c r="AQ384" s="75"/>
      <c r="AR384" s="22"/>
      <c r="AS384" s="70">
        <f>'Daily Halba'!$U384-'Daily Halba'!$AP384</f>
        <v>0</v>
      </c>
      <c r="AT384" s="5"/>
      <c r="AU384" s="5"/>
      <c r="AV384" s="5"/>
    </row>
    <row r="385" spans="1:48" ht="12.75" customHeight="1" x14ac:dyDescent="0.3">
      <c r="A385" s="49"/>
      <c r="B385" s="82"/>
      <c r="C385" s="51"/>
      <c r="D385" s="52"/>
      <c r="E385" s="53"/>
      <c r="F385" s="54"/>
      <c r="G385" s="52"/>
      <c r="H385" s="53"/>
      <c r="I385" s="54"/>
      <c r="J385" s="53"/>
      <c r="K385" s="83"/>
      <c r="L385" s="57"/>
      <c r="M385" s="58"/>
      <c r="N385" s="71"/>
      <c r="O385" s="71"/>
      <c r="P385" s="71"/>
      <c r="Q385" s="71"/>
      <c r="R385" s="71"/>
      <c r="S385" s="71"/>
      <c r="T385" s="71"/>
      <c r="U385" s="61">
        <f>SUM('Daily Halba'!$E385,'Daily Halba'!$H385,$M385:$T385)</f>
        <v>0</v>
      </c>
      <c r="V385" s="22"/>
      <c r="W385" s="62"/>
      <c r="X385" s="62"/>
      <c r="Y385" s="62"/>
      <c r="Z385" s="79"/>
      <c r="AA385" s="63"/>
      <c r="AB385" s="64"/>
      <c r="AC385" s="64"/>
      <c r="AD385" s="64"/>
      <c r="AE385" s="65">
        <f t="shared" si="9"/>
        <v>0</v>
      </c>
      <c r="AF385" s="66"/>
      <c r="AG385" s="66"/>
      <c r="AH385" s="66"/>
      <c r="AI385" s="66"/>
      <c r="AJ385" s="66"/>
      <c r="AK385" s="66"/>
      <c r="AL385" s="66"/>
      <c r="AM385" s="66"/>
      <c r="AN385" s="67">
        <f t="shared" si="10"/>
        <v>0</v>
      </c>
      <c r="AO385" s="66"/>
      <c r="AP385" s="68">
        <f t="shared" si="11"/>
        <v>0</v>
      </c>
      <c r="AQ385" s="69"/>
      <c r="AR385" s="22"/>
      <c r="AS385" s="70">
        <f>'Daily Halba'!$U385-'Daily Halba'!$AP385</f>
        <v>0</v>
      </c>
      <c r="AT385" s="5"/>
      <c r="AU385" s="5"/>
      <c r="AV385" s="5"/>
    </row>
    <row r="386" spans="1:48" ht="12.75" customHeight="1" x14ac:dyDescent="0.3">
      <c r="A386" s="49"/>
      <c r="B386" s="82"/>
      <c r="C386" s="51"/>
      <c r="D386" s="52"/>
      <c r="E386" s="53"/>
      <c r="F386" s="54"/>
      <c r="G386" s="52"/>
      <c r="H386" s="53"/>
      <c r="I386" s="54"/>
      <c r="J386" s="53"/>
      <c r="K386" s="83"/>
      <c r="L386" s="57"/>
      <c r="M386" s="58"/>
      <c r="N386" s="71"/>
      <c r="O386" s="71"/>
      <c r="P386" s="71"/>
      <c r="Q386" s="71"/>
      <c r="R386" s="71"/>
      <c r="S386" s="71"/>
      <c r="T386" s="71"/>
      <c r="U386" s="61">
        <f>SUM('Daily Halba'!$E386,'Daily Halba'!$H386,$M386:$T386)</f>
        <v>0</v>
      </c>
      <c r="V386" s="22"/>
      <c r="W386" s="85"/>
      <c r="X386" s="85"/>
      <c r="Y386" s="85"/>
      <c r="Z386" s="85"/>
      <c r="AA386" s="72"/>
      <c r="AB386" s="73"/>
      <c r="AC386" s="73"/>
      <c r="AD386" s="73"/>
      <c r="AE386" s="86">
        <f t="shared" si="9"/>
        <v>0</v>
      </c>
      <c r="AF386" s="74"/>
      <c r="AG386" s="74"/>
      <c r="AH386" s="74"/>
      <c r="AI386" s="74"/>
      <c r="AJ386" s="74"/>
      <c r="AK386" s="74"/>
      <c r="AL386" s="74"/>
      <c r="AM386" s="74"/>
      <c r="AN386" s="87">
        <f t="shared" si="10"/>
        <v>0</v>
      </c>
      <c r="AO386" s="74"/>
      <c r="AP386" s="88">
        <f t="shared" si="11"/>
        <v>0</v>
      </c>
      <c r="AQ386" s="75"/>
      <c r="AR386" s="22"/>
      <c r="AS386" s="70">
        <f>'Daily Halba'!$U386-'Daily Halba'!$AP386</f>
        <v>0</v>
      </c>
      <c r="AT386" s="5"/>
      <c r="AU386" s="5"/>
      <c r="AV386" s="5"/>
    </row>
    <row r="387" spans="1:48" ht="12.75" customHeight="1" x14ac:dyDescent="0.3">
      <c r="A387" s="49"/>
      <c r="B387" s="82"/>
      <c r="C387" s="51"/>
      <c r="D387" s="52"/>
      <c r="E387" s="53"/>
      <c r="F387" s="54"/>
      <c r="G387" s="52"/>
      <c r="H387" s="53"/>
      <c r="I387" s="54"/>
      <c r="J387" s="53"/>
      <c r="K387" s="83"/>
      <c r="L387" s="57"/>
      <c r="M387" s="58"/>
      <c r="N387" s="71"/>
      <c r="O387" s="71"/>
      <c r="P387" s="71"/>
      <c r="Q387" s="71"/>
      <c r="R387" s="71"/>
      <c r="S387" s="71"/>
      <c r="T387" s="71"/>
      <c r="U387" s="61">
        <f>SUM('Daily Halba'!$E387,'Daily Halba'!$H387,$M387:$T387)</f>
        <v>0</v>
      </c>
      <c r="V387" s="22"/>
      <c r="W387" s="62"/>
      <c r="X387" s="62"/>
      <c r="Y387" s="62"/>
      <c r="Z387" s="79"/>
      <c r="AA387" s="63"/>
      <c r="AB387" s="64"/>
      <c r="AC387" s="64"/>
      <c r="AD387" s="64"/>
      <c r="AE387" s="65">
        <f t="shared" si="9"/>
        <v>0</v>
      </c>
      <c r="AF387" s="66"/>
      <c r="AG387" s="66"/>
      <c r="AH387" s="66"/>
      <c r="AI387" s="66"/>
      <c r="AJ387" s="66"/>
      <c r="AK387" s="66"/>
      <c r="AL387" s="66"/>
      <c r="AM387" s="66"/>
      <c r="AN387" s="67">
        <f t="shared" si="10"/>
        <v>0</v>
      </c>
      <c r="AO387" s="66"/>
      <c r="AP387" s="68">
        <f t="shared" si="11"/>
        <v>0</v>
      </c>
      <c r="AQ387" s="69"/>
      <c r="AR387" s="22"/>
      <c r="AS387" s="70">
        <f>'Daily Halba'!$U387-'Daily Halba'!$AP387</f>
        <v>0</v>
      </c>
      <c r="AT387" s="5"/>
      <c r="AU387" s="5"/>
      <c r="AV387" s="5"/>
    </row>
    <row r="388" spans="1:48" ht="12.75" customHeight="1" x14ac:dyDescent="0.3">
      <c r="A388" s="49"/>
      <c r="B388" s="82"/>
      <c r="C388" s="51"/>
      <c r="D388" s="52"/>
      <c r="E388" s="53"/>
      <c r="F388" s="54"/>
      <c r="G388" s="52"/>
      <c r="H388" s="53"/>
      <c r="I388" s="54"/>
      <c r="J388" s="53"/>
      <c r="K388" s="83"/>
      <c r="L388" s="57"/>
      <c r="M388" s="58"/>
      <c r="N388" s="71"/>
      <c r="O388" s="71"/>
      <c r="P388" s="71"/>
      <c r="Q388" s="71"/>
      <c r="R388" s="71"/>
      <c r="S388" s="71"/>
      <c r="T388" s="71"/>
      <c r="U388" s="61">
        <f>SUM('Daily Halba'!$E388,'Daily Halba'!$H388,$M388:$T388)</f>
        <v>0</v>
      </c>
      <c r="V388" s="22"/>
      <c r="W388" s="85"/>
      <c r="X388" s="85"/>
      <c r="Y388" s="85"/>
      <c r="Z388" s="85"/>
      <c r="AA388" s="72"/>
      <c r="AB388" s="73"/>
      <c r="AC388" s="73"/>
      <c r="AD388" s="73"/>
      <c r="AE388" s="86">
        <f t="shared" si="9"/>
        <v>0</v>
      </c>
      <c r="AF388" s="74"/>
      <c r="AG388" s="74"/>
      <c r="AH388" s="74"/>
      <c r="AI388" s="74"/>
      <c r="AJ388" s="74"/>
      <c r="AK388" s="74"/>
      <c r="AL388" s="74"/>
      <c r="AM388" s="74"/>
      <c r="AN388" s="87">
        <f t="shared" si="10"/>
        <v>0</v>
      </c>
      <c r="AO388" s="74"/>
      <c r="AP388" s="88">
        <f t="shared" si="11"/>
        <v>0</v>
      </c>
      <c r="AQ388" s="75"/>
      <c r="AR388" s="22"/>
      <c r="AS388" s="70">
        <f>'Daily Halba'!$U388-'Daily Halba'!$AP388</f>
        <v>0</v>
      </c>
      <c r="AT388" s="5"/>
      <c r="AU388" s="5"/>
      <c r="AV388" s="5"/>
    </row>
    <row r="389" spans="1:48" ht="12.75" customHeight="1" x14ac:dyDescent="0.3">
      <c r="A389" s="49"/>
      <c r="B389" s="82"/>
      <c r="C389" s="51"/>
      <c r="D389" s="52"/>
      <c r="E389" s="53"/>
      <c r="F389" s="54"/>
      <c r="G389" s="52"/>
      <c r="H389" s="53"/>
      <c r="I389" s="54"/>
      <c r="J389" s="53"/>
      <c r="K389" s="83"/>
      <c r="L389" s="57"/>
      <c r="M389" s="58"/>
      <c r="N389" s="71"/>
      <c r="O389" s="71"/>
      <c r="P389" s="71"/>
      <c r="Q389" s="71"/>
      <c r="R389" s="71"/>
      <c r="S389" s="71"/>
      <c r="T389" s="71"/>
      <c r="U389" s="61">
        <f>SUM('Daily Halba'!$E389,'Daily Halba'!$H389,$M389:$T389)</f>
        <v>0</v>
      </c>
      <c r="V389" s="22"/>
      <c r="W389" s="62"/>
      <c r="X389" s="62"/>
      <c r="Y389" s="62"/>
      <c r="Z389" s="79"/>
      <c r="AA389" s="63"/>
      <c r="AB389" s="64"/>
      <c r="AC389" s="64"/>
      <c r="AD389" s="64"/>
      <c r="AE389" s="65">
        <f t="shared" si="9"/>
        <v>0</v>
      </c>
      <c r="AF389" s="66"/>
      <c r="AG389" s="66"/>
      <c r="AH389" s="66"/>
      <c r="AI389" s="66"/>
      <c r="AJ389" s="66"/>
      <c r="AK389" s="66"/>
      <c r="AL389" s="66"/>
      <c r="AM389" s="66"/>
      <c r="AN389" s="67">
        <f t="shared" si="10"/>
        <v>0</v>
      </c>
      <c r="AO389" s="66"/>
      <c r="AP389" s="68">
        <f t="shared" si="11"/>
        <v>0</v>
      </c>
      <c r="AQ389" s="69"/>
      <c r="AR389" s="22"/>
      <c r="AS389" s="70">
        <f>'Daily Halba'!$U389-'Daily Halba'!$AP389</f>
        <v>0</v>
      </c>
      <c r="AT389" s="5"/>
      <c r="AU389" s="5"/>
      <c r="AV389" s="5"/>
    </row>
    <row r="390" spans="1:48" ht="12.75" customHeight="1" x14ac:dyDescent="0.3">
      <c r="A390" s="49"/>
      <c r="B390" s="82"/>
      <c r="C390" s="51"/>
      <c r="D390" s="52"/>
      <c r="E390" s="53"/>
      <c r="F390" s="54"/>
      <c r="G390" s="52"/>
      <c r="H390" s="53"/>
      <c r="I390" s="54"/>
      <c r="J390" s="53"/>
      <c r="K390" s="83"/>
      <c r="L390" s="57"/>
      <c r="M390" s="58"/>
      <c r="N390" s="71"/>
      <c r="O390" s="71"/>
      <c r="P390" s="71"/>
      <c r="Q390" s="71"/>
      <c r="R390" s="71"/>
      <c r="S390" s="71"/>
      <c r="T390" s="71"/>
      <c r="U390" s="61">
        <f>SUM('Daily Halba'!$E390,'Daily Halba'!$H390,$M390:$T390)</f>
        <v>0</v>
      </c>
      <c r="V390" s="22"/>
      <c r="W390" s="85"/>
      <c r="X390" s="85"/>
      <c r="Y390" s="85"/>
      <c r="Z390" s="85"/>
      <c r="AA390" s="72"/>
      <c r="AB390" s="73"/>
      <c r="AC390" s="73"/>
      <c r="AD390" s="73"/>
      <c r="AE390" s="86">
        <f t="shared" si="9"/>
        <v>0</v>
      </c>
      <c r="AF390" s="74"/>
      <c r="AG390" s="74"/>
      <c r="AH390" s="74"/>
      <c r="AI390" s="74"/>
      <c r="AJ390" s="74"/>
      <c r="AK390" s="74"/>
      <c r="AL390" s="74"/>
      <c r="AM390" s="74"/>
      <c r="AN390" s="87">
        <f t="shared" si="10"/>
        <v>0</v>
      </c>
      <c r="AO390" s="74"/>
      <c r="AP390" s="88">
        <f t="shared" si="11"/>
        <v>0</v>
      </c>
      <c r="AQ390" s="75"/>
      <c r="AR390" s="22"/>
      <c r="AS390" s="70">
        <f>'Daily Halba'!$U390-'Daily Halba'!$AP390</f>
        <v>0</v>
      </c>
      <c r="AT390" s="5"/>
      <c r="AU390" s="5"/>
      <c r="AV390" s="5"/>
    </row>
    <row r="391" spans="1:48" ht="12.75" customHeight="1" x14ac:dyDescent="0.3">
      <c r="A391" s="49"/>
      <c r="B391" s="82"/>
      <c r="C391" s="51"/>
      <c r="D391" s="52"/>
      <c r="E391" s="53"/>
      <c r="F391" s="54"/>
      <c r="G391" s="52"/>
      <c r="H391" s="53"/>
      <c r="I391" s="54"/>
      <c r="J391" s="53"/>
      <c r="K391" s="83"/>
      <c r="L391" s="57"/>
      <c r="M391" s="58"/>
      <c r="N391" s="71"/>
      <c r="O391" s="71"/>
      <c r="P391" s="71"/>
      <c r="Q391" s="71"/>
      <c r="R391" s="71"/>
      <c r="S391" s="71"/>
      <c r="T391" s="71"/>
      <c r="U391" s="61">
        <f>SUM('Daily Halba'!$E391,'Daily Halba'!$H391,$M391:$T391)</f>
        <v>0</v>
      </c>
      <c r="V391" s="22"/>
      <c r="W391" s="62"/>
      <c r="X391" s="62"/>
      <c r="Y391" s="62"/>
      <c r="Z391" s="79"/>
      <c r="AA391" s="63"/>
      <c r="AB391" s="64"/>
      <c r="AC391" s="64"/>
      <c r="AD391" s="64"/>
      <c r="AE391" s="65">
        <f t="shared" si="9"/>
        <v>0</v>
      </c>
      <c r="AF391" s="66"/>
      <c r="AG391" s="66"/>
      <c r="AH391" s="66"/>
      <c r="AI391" s="66"/>
      <c r="AJ391" s="66"/>
      <c r="AK391" s="66"/>
      <c r="AL391" s="66"/>
      <c r="AM391" s="66"/>
      <c r="AN391" s="67">
        <f t="shared" si="10"/>
        <v>0</v>
      </c>
      <c r="AO391" s="66"/>
      <c r="AP391" s="68">
        <f t="shared" si="11"/>
        <v>0</v>
      </c>
      <c r="AQ391" s="69"/>
      <c r="AR391" s="22"/>
      <c r="AS391" s="70">
        <f>'Daily Halba'!$U391-'Daily Halba'!$AP391</f>
        <v>0</v>
      </c>
      <c r="AT391" s="5"/>
      <c r="AU391" s="5"/>
      <c r="AV391" s="5"/>
    </row>
    <row r="392" spans="1:48" ht="12.75" customHeight="1" x14ac:dyDescent="0.3">
      <c r="A392" s="49"/>
      <c r="B392" s="82"/>
      <c r="C392" s="51"/>
      <c r="D392" s="52"/>
      <c r="E392" s="53"/>
      <c r="F392" s="54"/>
      <c r="G392" s="52"/>
      <c r="H392" s="53"/>
      <c r="I392" s="54"/>
      <c r="J392" s="53"/>
      <c r="K392" s="83"/>
      <c r="L392" s="57"/>
      <c r="M392" s="58"/>
      <c r="N392" s="71"/>
      <c r="O392" s="71"/>
      <c r="P392" s="71"/>
      <c r="Q392" s="71"/>
      <c r="R392" s="71"/>
      <c r="S392" s="71"/>
      <c r="T392" s="71"/>
      <c r="U392" s="61">
        <f>SUM('Daily Halba'!$E392,'Daily Halba'!$H392,$M392:$T392)</f>
        <v>0</v>
      </c>
      <c r="V392" s="22"/>
      <c r="W392" s="85"/>
      <c r="X392" s="85"/>
      <c r="Y392" s="85"/>
      <c r="Z392" s="85"/>
      <c r="AA392" s="72"/>
      <c r="AB392" s="73"/>
      <c r="AC392" s="73"/>
      <c r="AD392" s="73"/>
      <c r="AE392" s="86">
        <f t="shared" si="9"/>
        <v>0</v>
      </c>
      <c r="AF392" s="74"/>
      <c r="AG392" s="74"/>
      <c r="AH392" s="74"/>
      <c r="AI392" s="74"/>
      <c r="AJ392" s="74"/>
      <c r="AK392" s="74"/>
      <c r="AL392" s="74"/>
      <c r="AM392" s="74"/>
      <c r="AN392" s="87">
        <f t="shared" si="10"/>
        <v>0</v>
      </c>
      <c r="AO392" s="74"/>
      <c r="AP392" s="88">
        <f t="shared" si="11"/>
        <v>0</v>
      </c>
      <c r="AQ392" s="75"/>
      <c r="AR392" s="22"/>
      <c r="AS392" s="70">
        <f>'Daily Halba'!$U392-'Daily Halba'!$AP392</f>
        <v>0</v>
      </c>
      <c r="AT392" s="5"/>
      <c r="AU392" s="5"/>
      <c r="AV392" s="5"/>
    </row>
    <row r="393" spans="1:48" ht="12.75" customHeight="1" x14ac:dyDescent="0.3">
      <c r="A393" s="49"/>
      <c r="B393" s="82"/>
      <c r="C393" s="51"/>
      <c r="D393" s="52"/>
      <c r="E393" s="53"/>
      <c r="F393" s="54"/>
      <c r="G393" s="52"/>
      <c r="H393" s="53"/>
      <c r="I393" s="54"/>
      <c r="J393" s="53"/>
      <c r="K393" s="83"/>
      <c r="L393" s="57"/>
      <c r="M393" s="58"/>
      <c r="N393" s="71"/>
      <c r="O393" s="71"/>
      <c r="P393" s="71"/>
      <c r="Q393" s="71"/>
      <c r="R393" s="71"/>
      <c r="S393" s="71"/>
      <c r="T393" s="71"/>
      <c r="U393" s="61">
        <f>SUM('Daily Halba'!$E393,'Daily Halba'!$H393,$M393:$T393)</f>
        <v>0</v>
      </c>
      <c r="V393" s="22"/>
      <c r="W393" s="62"/>
      <c r="X393" s="62"/>
      <c r="Y393" s="62"/>
      <c r="Z393" s="79"/>
      <c r="AA393" s="63"/>
      <c r="AB393" s="64"/>
      <c r="AC393" s="64"/>
      <c r="AD393" s="64"/>
      <c r="AE393" s="65">
        <f t="shared" si="9"/>
        <v>0</v>
      </c>
      <c r="AF393" s="66"/>
      <c r="AG393" s="66"/>
      <c r="AH393" s="66"/>
      <c r="AI393" s="66"/>
      <c r="AJ393" s="66"/>
      <c r="AK393" s="66"/>
      <c r="AL393" s="66"/>
      <c r="AM393" s="66"/>
      <c r="AN393" s="67">
        <f t="shared" si="10"/>
        <v>0</v>
      </c>
      <c r="AO393" s="66"/>
      <c r="AP393" s="68">
        <f t="shared" si="11"/>
        <v>0</v>
      </c>
      <c r="AQ393" s="69"/>
      <c r="AR393" s="22"/>
      <c r="AS393" s="70">
        <f>'Daily Halba'!$U393-'Daily Halba'!$AP393</f>
        <v>0</v>
      </c>
      <c r="AT393" s="5"/>
      <c r="AU393" s="5"/>
      <c r="AV393" s="5"/>
    </row>
    <row r="394" spans="1:48" ht="12.75" customHeight="1" x14ac:dyDescent="0.3">
      <c r="A394" s="49"/>
      <c r="B394" s="82"/>
      <c r="C394" s="51"/>
      <c r="D394" s="52"/>
      <c r="E394" s="53"/>
      <c r="F394" s="54"/>
      <c r="G394" s="52"/>
      <c r="H394" s="53"/>
      <c r="I394" s="54"/>
      <c r="J394" s="53"/>
      <c r="K394" s="83"/>
      <c r="L394" s="57"/>
      <c r="M394" s="58"/>
      <c r="N394" s="71"/>
      <c r="O394" s="71"/>
      <c r="P394" s="71"/>
      <c r="Q394" s="71"/>
      <c r="R394" s="71"/>
      <c r="S394" s="71"/>
      <c r="T394" s="71"/>
      <c r="U394" s="61">
        <f>SUM('Daily Halba'!$E394,'Daily Halba'!$H394,$M394:$T394)</f>
        <v>0</v>
      </c>
      <c r="V394" s="22"/>
      <c r="W394" s="85"/>
      <c r="X394" s="85"/>
      <c r="Y394" s="85"/>
      <c r="Z394" s="85"/>
      <c r="AA394" s="72"/>
      <c r="AB394" s="73"/>
      <c r="AC394" s="73"/>
      <c r="AD394" s="73"/>
      <c r="AE394" s="86">
        <f t="shared" si="9"/>
        <v>0</v>
      </c>
      <c r="AF394" s="74"/>
      <c r="AG394" s="74"/>
      <c r="AH394" s="74"/>
      <c r="AI394" s="74"/>
      <c r="AJ394" s="74"/>
      <c r="AK394" s="74"/>
      <c r="AL394" s="74"/>
      <c r="AM394" s="74"/>
      <c r="AN394" s="87">
        <f t="shared" si="10"/>
        <v>0</v>
      </c>
      <c r="AO394" s="74"/>
      <c r="AP394" s="88">
        <f t="shared" si="11"/>
        <v>0</v>
      </c>
      <c r="AQ394" s="75"/>
      <c r="AR394" s="22"/>
      <c r="AS394" s="70">
        <f>'Daily Halba'!$U394-'Daily Halba'!$AP394</f>
        <v>0</v>
      </c>
      <c r="AT394" s="5"/>
      <c r="AU394" s="5"/>
      <c r="AV394" s="5"/>
    </row>
    <row r="395" spans="1:48" ht="12.75" customHeight="1" x14ac:dyDescent="0.3">
      <c r="A395" s="49"/>
      <c r="B395" s="82"/>
      <c r="C395" s="51"/>
      <c r="D395" s="52"/>
      <c r="E395" s="53"/>
      <c r="F395" s="54"/>
      <c r="G395" s="52"/>
      <c r="H395" s="53"/>
      <c r="I395" s="54"/>
      <c r="J395" s="53"/>
      <c r="K395" s="83"/>
      <c r="L395" s="57"/>
      <c r="M395" s="58"/>
      <c r="N395" s="71"/>
      <c r="O395" s="71"/>
      <c r="P395" s="71"/>
      <c r="Q395" s="71"/>
      <c r="R395" s="71"/>
      <c r="S395" s="71"/>
      <c r="T395" s="71"/>
      <c r="U395" s="61">
        <f>SUM('Daily Halba'!$E395,'Daily Halba'!$H395,$M395:$T395)</f>
        <v>0</v>
      </c>
      <c r="V395" s="22"/>
      <c r="W395" s="62"/>
      <c r="X395" s="62"/>
      <c r="Y395" s="62"/>
      <c r="Z395" s="79"/>
      <c r="AA395" s="63"/>
      <c r="AB395" s="64"/>
      <c r="AC395" s="64"/>
      <c r="AD395" s="64"/>
      <c r="AE395" s="65">
        <f t="shared" si="9"/>
        <v>0</v>
      </c>
      <c r="AF395" s="66"/>
      <c r="AG395" s="66"/>
      <c r="AH395" s="66"/>
      <c r="AI395" s="66"/>
      <c r="AJ395" s="66"/>
      <c r="AK395" s="66"/>
      <c r="AL395" s="66"/>
      <c r="AM395" s="66"/>
      <c r="AN395" s="67">
        <f t="shared" si="10"/>
        <v>0</v>
      </c>
      <c r="AO395" s="66"/>
      <c r="AP395" s="68">
        <f t="shared" si="11"/>
        <v>0</v>
      </c>
      <c r="AQ395" s="69"/>
      <c r="AR395" s="22"/>
      <c r="AS395" s="70">
        <f>'Daily Halba'!$U395-'Daily Halba'!$AP395</f>
        <v>0</v>
      </c>
      <c r="AT395" s="5"/>
      <c r="AU395" s="5"/>
      <c r="AV395" s="5"/>
    </row>
    <row r="396" spans="1:48" ht="12.75" customHeight="1" x14ac:dyDescent="0.3">
      <c r="A396" s="49"/>
      <c r="B396" s="82"/>
      <c r="C396" s="51"/>
      <c r="D396" s="52"/>
      <c r="E396" s="53"/>
      <c r="F396" s="54"/>
      <c r="G396" s="52"/>
      <c r="H396" s="53"/>
      <c r="I396" s="54"/>
      <c r="J396" s="53"/>
      <c r="K396" s="83"/>
      <c r="L396" s="57"/>
      <c r="M396" s="58"/>
      <c r="N396" s="71"/>
      <c r="O396" s="71"/>
      <c r="P396" s="71"/>
      <c r="Q396" s="71"/>
      <c r="R396" s="71"/>
      <c r="S396" s="71"/>
      <c r="T396" s="71"/>
      <c r="U396" s="61">
        <f>SUM('Daily Halba'!$E396,'Daily Halba'!$H396,$M396:$T396)</f>
        <v>0</v>
      </c>
      <c r="V396" s="22"/>
      <c r="W396" s="85"/>
      <c r="X396" s="85"/>
      <c r="Y396" s="85"/>
      <c r="Z396" s="85"/>
      <c r="AA396" s="72"/>
      <c r="AB396" s="73"/>
      <c r="AC396" s="73"/>
      <c r="AD396" s="73"/>
      <c r="AE396" s="86">
        <f t="shared" si="9"/>
        <v>0</v>
      </c>
      <c r="AF396" s="74"/>
      <c r="AG396" s="74"/>
      <c r="AH396" s="74"/>
      <c r="AI396" s="74"/>
      <c r="AJ396" s="74"/>
      <c r="AK396" s="74"/>
      <c r="AL396" s="74"/>
      <c r="AM396" s="74"/>
      <c r="AN396" s="87">
        <f t="shared" si="10"/>
        <v>0</v>
      </c>
      <c r="AO396" s="74"/>
      <c r="AP396" s="88">
        <f t="shared" si="11"/>
        <v>0</v>
      </c>
      <c r="AQ396" s="75"/>
      <c r="AR396" s="22"/>
      <c r="AS396" s="70">
        <f>'Daily Halba'!$U396-'Daily Halba'!$AP396</f>
        <v>0</v>
      </c>
      <c r="AT396" s="5"/>
      <c r="AU396" s="5"/>
      <c r="AV396" s="5"/>
    </row>
    <row r="397" spans="1:48" ht="12.75" customHeight="1" x14ac:dyDescent="0.3">
      <c r="A397" s="49"/>
      <c r="B397" s="82"/>
      <c r="C397" s="51"/>
      <c r="D397" s="52"/>
      <c r="E397" s="53"/>
      <c r="F397" s="54"/>
      <c r="G397" s="52"/>
      <c r="H397" s="53"/>
      <c r="I397" s="54"/>
      <c r="J397" s="53"/>
      <c r="K397" s="83"/>
      <c r="L397" s="57"/>
      <c r="M397" s="58"/>
      <c r="N397" s="71"/>
      <c r="O397" s="71"/>
      <c r="P397" s="71"/>
      <c r="Q397" s="71"/>
      <c r="R397" s="71"/>
      <c r="S397" s="71"/>
      <c r="T397" s="71"/>
      <c r="U397" s="61">
        <f>SUM('Daily Halba'!$E397,'Daily Halba'!$H397,$M397:$T397)</f>
        <v>0</v>
      </c>
      <c r="V397" s="22"/>
      <c r="W397" s="62"/>
      <c r="X397" s="62"/>
      <c r="Y397" s="62"/>
      <c r="Z397" s="79"/>
      <c r="AA397" s="63"/>
      <c r="AB397" s="64"/>
      <c r="AC397" s="64"/>
      <c r="AD397" s="64"/>
      <c r="AE397" s="65">
        <f t="shared" si="9"/>
        <v>0</v>
      </c>
      <c r="AF397" s="66"/>
      <c r="AG397" s="66"/>
      <c r="AH397" s="66"/>
      <c r="AI397" s="66"/>
      <c r="AJ397" s="66"/>
      <c r="AK397" s="66"/>
      <c r="AL397" s="66"/>
      <c r="AM397" s="66"/>
      <c r="AN397" s="67">
        <f t="shared" si="10"/>
        <v>0</v>
      </c>
      <c r="AO397" s="66"/>
      <c r="AP397" s="68">
        <f t="shared" si="11"/>
        <v>0</v>
      </c>
      <c r="AQ397" s="69"/>
      <c r="AR397" s="22"/>
      <c r="AS397" s="70">
        <f>'Daily Halba'!$U397-'Daily Halba'!$AP397</f>
        <v>0</v>
      </c>
      <c r="AT397" s="5"/>
      <c r="AU397" s="5"/>
      <c r="AV397" s="5"/>
    </row>
    <row r="398" spans="1:48" ht="12.75" customHeight="1" x14ac:dyDescent="0.3">
      <c r="A398" s="49"/>
      <c r="B398" s="82"/>
      <c r="C398" s="51"/>
      <c r="D398" s="52"/>
      <c r="E398" s="53"/>
      <c r="F398" s="54"/>
      <c r="G398" s="52"/>
      <c r="H398" s="53"/>
      <c r="I398" s="54"/>
      <c r="J398" s="53"/>
      <c r="K398" s="83"/>
      <c r="L398" s="57"/>
      <c r="M398" s="58"/>
      <c r="N398" s="71"/>
      <c r="O398" s="71"/>
      <c r="P398" s="71"/>
      <c r="Q398" s="71"/>
      <c r="R398" s="71"/>
      <c r="S398" s="71"/>
      <c r="T398" s="71"/>
      <c r="U398" s="61">
        <f>SUM('Daily Halba'!$E398,'Daily Halba'!$H398,$M398:$T398)</f>
        <v>0</v>
      </c>
      <c r="V398" s="22"/>
      <c r="W398" s="85"/>
      <c r="X398" s="85"/>
      <c r="Y398" s="85"/>
      <c r="Z398" s="85"/>
      <c r="AA398" s="72"/>
      <c r="AB398" s="73"/>
      <c r="AC398" s="73"/>
      <c r="AD398" s="73"/>
      <c r="AE398" s="86">
        <f t="shared" si="9"/>
        <v>0</v>
      </c>
      <c r="AF398" s="74"/>
      <c r="AG398" s="74"/>
      <c r="AH398" s="74"/>
      <c r="AI398" s="74"/>
      <c r="AJ398" s="74"/>
      <c r="AK398" s="74"/>
      <c r="AL398" s="74"/>
      <c r="AM398" s="74"/>
      <c r="AN398" s="87">
        <f t="shared" si="10"/>
        <v>0</v>
      </c>
      <c r="AO398" s="74"/>
      <c r="AP398" s="88">
        <f t="shared" si="11"/>
        <v>0</v>
      </c>
      <c r="AQ398" s="75"/>
      <c r="AR398" s="22"/>
      <c r="AS398" s="70">
        <f>'Daily Halba'!$U398-'Daily Halba'!$AP398</f>
        <v>0</v>
      </c>
      <c r="AT398" s="5"/>
      <c r="AU398" s="5"/>
      <c r="AV398" s="5"/>
    </row>
    <row r="399" spans="1:48" ht="12.75" customHeight="1" x14ac:dyDescent="0.3">
      <c r="A399" s="49"/>
      <c r="B399" s="82"/>
      <c r="C399" s="51"/>
      <c r="D399" s="52"/>
      <c r="E399" s="53"/>
      <c r="F399" s="54"/>
      <c r="G399" s="52"/>
      <c r="H399" s="53"/>
      <c r="I399" s="54"/>
      <c r="J399" s="53"/>
      <c r="K399" s="83"/>
      <c r="L399" s="57"/>
      <c r="M399" s="58"/>
      <c r="N399" s="71"/>
      <c r="O399" s="71"/>
      <c r="P399" s="71"/>
      <c r="Q399" s="71"/>
      <c r="R399" s="71"/>
      <c r="S399" s="71"/>
      <c r="T399" s="71"/>
      <c r="U399" s="61">
        <f>SUM('Daily Halba'!$E399,'Daily Halba'!$H399,$M399:$T399)</f>
        <v>0</v>
      </c>
      <c r="V399" s="22"/>
      <c r="W399" s="62"/>
      <c r="X399" s="62"/>
      <c r="Y399" s="62"/>
      <c r="Z399" s="79"/>
      <c r="AA399" s="63"/>
      <c r="AB399" s="64"/>
      <c r="AC399" s="64"/>
      <c r="AD399" s="64"/>
      <c r="AE399" s="65">
        <f t="shared" si="9"/>
        <v>0</v>
      </c>
      <c r="AF399" s="66"/>
      <c r="AG399" s="66"/>
      <c r="AH399" s="66"/>
      <c r="AI399" s="66"/>
      <c r="AJ399" s="66"/>
      <c r="AK399" s="66"/>
      <c r="AL399" s="66"/>
      <c r="AM399" s="66"/>
      <c r="AN399" s="67">
        <f t="shared" si="10"/>
        <v>0</v>
      </c>
      <c r="AO399" s="66"/>
      <c r="AP399" s="68">
        <f t="shared" si="11"/>
        <v>0</v>
      </c>
      <c r="AQ399" s="69"/>
      <c r="AR399" s="22"/>
      <c r="AS399" s="70">
        <f>'Daily Halba'!$U399-'Daily Halba'!$AP399</f>
        <v>0</v>
      </c>
      <c r="AT399" s="5"/>
      <c r="AU399" s="5"/>
      <c r="AV399" s="5"/>
    </row>
    <row r="400" spans="1:48" ht="12.75" customHeight="1" x14ac:dyDescent="0.3">
      <c r="A400" s="49"/>
      <c r="B400" s="82"/>
      <c r="C400" s="51"/>
      <c r="D400" s="52"/>
      <c r="E400" s="53"/>
      <c r="F400" s="54"/>
      <c r="G400" s="52"/>
      <c r="H400" s="53"/>
      <c r="I400" s="54"/>
      <c r="J400" s="53"/>
      <c r="K400" s="83"/>
      <c r="L400" s="57"/>
      <c r="M400" s="58"/>
      <c r="N400" s="71"/>
      <c r="O400" s="71"/>
      <c r="P400" s="71"/>
      <c r="Q400" s="71"/>
      <c r="R400" s="71"/>
      <c r="S400" s="71"/>
      <c r="T400" s="71"/>
      <c r="U400" s="61">
        <f>SUM('Daily Halba'!$E400,'Daily Halba'!$H400,$M400:$T400)</f>
        <v>0</v>
      </c>
      <c r="V400" s="22"/>
      <c r="W400" s="85"/>
      <c r="X400" s="85"/>
      <c r="Y400" s="85"/>
      <c r="Z400" s="85"/>
      <c r="AA400" s="72"/>
      <c r="AB400" s="73"/>
      <c r="AC400" s="73"/>
      <c r="AD400" s="73"/>
      <c r="AE400" s="86">
        <f t="shared" si="9"/>
        <v>0</v>
      </c>
      <c r="AF400" s="74"/>
      <c r="AG400" s="74"/>
      <c r="AH400" s="74"/>
      <c r="AI400" s="74"/>
      <c r="AJ400" s="74"/>
      <c r="AK400" s="74"/>
      <c r="AL400" s="74"/>
      <c r="AM400" s="74"/>
      <c r="AN400" s="87">
        <f t="shared" si="10"/>
        <v>0</v>
      </c>
      <c r="AO400" s="74"/>
      <c r="AP400" s="88">
        <f t="shared" si="11"/>
        <v>0</v>
      </c>
      <c r="AQ400" s="75"/>
      <c r="AR400" s="22"/>
      <c r="AS400" s="70">
        <f>'Daily Halba'!$U400-'Daily Halba'!$AP400</f>
        <v>0</v>
      </c>
      <c r="AT400" s="5"/>
      <c r="AU400" s="5"/>
      <c r="AV400" s="5"/>
    </row>
    <row r="401" spans="1:48" ht="12.75" customHeight="1" x14ac:dyDescent="0.3">
      <c r="A401" s="49"/>
      <c r="B401" s="82"/>
      <c r="C401" s="51"/>
      <c r="D401" s="52"/>
      <c r="E401" s="53"/>
      <c r="F401" s="54"/>
      <c r="G401" s="52"/>
      <c r="H401" s="53"/>
      <c r="I401" s="54"/>
      <c r="J401" s="53"/>
      <c r="K401" s="83"/>
      <c r="L401" s="57"/>
      <c r="M401" s="58"/>
      <c r="N401" s="71"/>
      <c r="O401" s="71"/>
      <c r="P401" s="71"/>
      <c r="Q401" s="71"/>
      <c r="R401" s="71"/>
      <c r="S401" s="71"/>
      <c r="T401" s="71"/>
      <c r="U401" s="61">
        <f>SUM('Daily Halba'!$E401,'Daily Halba'!$H401,$M401:$T401)</f>
        <v>0</v>
      </c>
      <c r="V401" s="22"/>
      <c r="W401" s="62"/>
      <c r="X401" s="62"/>
      <c r="Y401" s="62"/>
      <c r="Z401" s="79"/>
      <c r="AA401" s="63"/>
      <c r="AB401" s="64"/>
      <c r="AC401" s="64"/>
      <c r="AD401" s="64"/>
      <c r="AE401" s="65">
        <f t="shared" ref="AE401:AE464" si="12">SUM(AA401:AD401)</f>
        <v>0</v>
      </c>
      <c r="AF401" s="66"/>
      <c r="AG401" s="66"/>
      <c r="AH401" s="66"/>
      <c r="AI401" s="66"/>
      <c r="AJ401" s="66"/>
      <c r="AK401" s="66"/>
      <c r="AL401" s="66"/>
      <c r="AM401" s="66"/>
      <c r="AN401" s="67">
        <f t="shared" ref="AN401:AN464" si="13">SUM(AF401:AM401)</f>
        <v>0</v>
      </c>
      <c r="AO401" s="66"/>
      <c r="AP401" s="68">
        <f t="shared" ref="AP401:AP464" si="14">SUM(W401:Z401,AE401,AN401,AO401)</f>
        <v>0</v>
      </c>
      <c r="AQ401" s="69"/>
      <c r="AR401" s="22"/>
      <c r="AS401" s="70">
        <f>'Daily Halba'!$U401-'Daily Halba'!$AP401</f>
        <v>0</v>
      </c>
      <c r="AT401" s="5"/>
      <c r="AU401" s="5"/>
      <c r="AV401" s="5"/>
    </row>
    <row r="402" spans="1:48" ht="12.75" customHeight="1" x14ac:dyDescent="0.3">
      <c r="A402" s="49"/>
      <c r="B402" s="82"/>
      <c r="C402" s="51"/>
      <c r="D402" s="52"/>
      <c r="E402" s="53"/>
      <c r="F402" s="54"/>
      <c r="G402" s="52"/>
      <c r="H402" s="53"/>
      <c r="I402" s="54"/>
      <c r="J402" s="53"/>
      <c r="K402" s="83"/>
      <c r="L402" s="57"/>
      <c r="M402" s="58"/>
      <c r="N402" s="71"/>
      <c r="O402" s="71"/>
      <c r="P402" s="71"/>
      <c r="Q402" s="71"/>
      <c r="R402" s="71"/>
      <c r="S402" s="71"/>
      <c r="T402" s="71"/>
      <c r="U402" s="61">
        <f>SUM('Daily Halba'!$E402,'Daily Halba'!$H402,$M402:$T402)</f>
        <v>0</v>
      </c>
      <c r="V402" s="22"/>
      <c r="W402" s="85"/>
      <c r="X402" s="85"/>
      <c r="Y402" s="85"/>
      <c r="Z402" s="85"/>
      <c r="AA402" s="72"/>
      <c r="AB402" s="73"/>
      <c r="AC402" s="73"/>
      <c r="AD402" s="73"/>
      <c r="AE402" s="86">
        <f t="shared" si="12"/>
        <v>0</v>
      </c>
      <c r="AF402" s="74"/>
      <c r="AG402" s="74"/>
      <c r="AH402" s="74"/>
      <c r="AI402" s="74"/>
      <c r="AJ402" s="74"/>
      <c r="AK402" s="74"/>
      <c r="AL402" s="74"/>
      <c r="AM402" s="74"/>
      <c r="AN402" s="87">
        <f t="shared" si="13"/>
        <v>0</v>
      </c>
      <c r="AO402" s="74"/>
      <c r="AP402" s="88">
        <f t="shared" si="14"/>
        <v>0</v>
      </c>
      <c r="AQ402" s="75"/>
      <c r="AR402" s="22"/>
      <c r="AS402" s="70">
        <f>'Daily Halba'!$U402-'Daily Halba'!$AP402</f>
        <v>0</v>
      </c>
      <c r="AT402" s="5"/>
      <c r="AU402" s="5"/>
      <c r="AV402" s="5"/>
    </row>
    <row r="403" spans="1:48" ht="12.75" customHeight="1" x14ac:dyDescent="0.3">
      <c r="A403" s="49"/>
      <c r="B403" s="82"/>
      <c r="C403" s="51"/>
      <c r="D403" s="52"/>
      <c r="E403" s="53"/>
      <c r="F403" s="54"/>
      <c r="G403" s="52"/>
      <c r="H403" s="53"/>
      <c r="I403" s="54"/>
      <c r="J403" s="53"/>
      <c r="K403" s="83"/>
      <c r="L403" s="57"/>
      <c r="M403" s="58"/>
      <c r="N403" s="71"/>
      <c r="O403" s="71"/>
      <c r="P403" s="71"/>
      <c r="Q403" s="71"/>
      <c r="R403" s="71"/>
      <c r="S403" s="71"/>
      <c r="T403" s="71"/>
      <c r="U403" s="61">
        <f>SUM('Daily Halba'!$E403,'Daily Halba'!$H403,$M403:$T403)</f>
        <v>0</v>
      </c>
      <c r="V403" s="22"/>
      <c r="W403" s="62"/>
      <c r="X403" s="62"/>
      <c r="Y403" s="62"/>
      <c r="Z403" s="79"/>
      <c r="AA403" s="63"/>
      <c r="AB403" s="64"/>
      <c r="AC403" s="64"/>
      <c r="AD403" s="64"/>
      <c r="AE403" s="65">
        <f t="shared" si="12"/>
        <v>0</v>
      </c>
      <c r="AF403" s="66"/>
      <c r="AG403" s="66"/>
      <c r="AH403" s="66"/>
      <c r="AI403" s="66"/>
      <c r="AJ403" s="66"/>
      <c r="AK403" s="66"/>
      <c r="AL403" s="66"/>
      <c r="AM403" s="66"/>
      <c r="AN403" s="67">
        <f t="shared" si="13"/>
        <v>0</v>
      </c>
      <c r="AO403" s="66"/>
      <c r="AP403" s="68">
        <f t="shared" si="14"/>
        <v>0</v>
      </c>
      <c r="AQ403" s="69"/>
      <c r="AR403" s="22"/>
      <c r="AS403" s="70">
        <f>'Daily Halba'!$U403-'Daily Halba'!$AP403</f>
        <v>0</v>
      </c>
      <c r="AT403" s="5"/>
      <c r="AU403" s="5"/>
      <c r="AV403" s="5"/>
    </row>
    <row r="404" spans="1:48" ht="12.75" customHeight="1" x14ac:dyDescent="0.3">
      <c r="A404" s="49"/>
      <c r="B404" s="82"/>
      <c r="C404" s="51"/>
      <c r="D404" s="52"/>
      <c r="E404" s="53"/>
      <c r="F404" s="54"/>
      <c r="G404" s="52"/>
      <c r="H404" s="53"/>
      <c r="I404" s="54"/>
      <c r="J404" s="53"/>
      <c r="K404" s="83"/>
      <c r="L404" s="57"/>
      <c r="M404" s="58"/>
      <c r="N404" s="71"/>
      <c r="O404" s="71"/>
      <c r="P404" s="71"/>
      <c r="Q404" s="71"/>
      <c r="R404" s="71"/>
      <c r="S404" s="71"/>
      <c r="T404" s="71"/>
      <c r="U404" s="61">
        <f>SUM('Daily Halba'!$E404,'Daily Halba'!$H404,$M404:$T404)</f>
        <v>0</v>
      </c>
      <c r="V404" s="22"/>
      <c r="W404" s="85"/>
      <c r="X404" s="85"/>
      <c r="Y404" s="85"/>
      <c r="Z404" s="85"/>
      <c r="AA404" s="72"/>
      <c r="AB404" s="73"/>
      <c r="AC404" s="73"/>
      <c r="AD404" s="73"/>
      <c r="AE404" s="86">
        <f t="shared" si="12"/>
        <v>0</v>
      </c>
      <c r="AF404" s="74"/>
      <c r="AG404" s="74"/>
      <c r="AH404" s="74"/>
      <c r="AI404" s="74"/>
      <c r="AJ404" s="74"/>
      <c r="AK404" s="74"/>
      <c r="AL404" s="74"/>
      <c r="AM404" s="74"/>
      <c r="AN404" s="87">
        <f t="shared" si="13"/>
        <v>0</v>
      </c>
      <c r="AO404" s="74"/>
      <c r="AP404" s="88">
        <f t="shared" si="14"/>
        <v>0</v>
      </c>
      <c r="AQ404" s="75"/>
      <c r="AR404" s="22"/>
      <c r="AS404" s="70">
        <f>'Daily Halba'!$U404-'Daily Halba'!$AP404</f>
        <v>0</v>
      </c>
      <c r="AT404" s="5"/>
      <c r="AU404" s="5"/>
      <c r="AV404" s="5"/>
    </row>
    <row r="405" spans="1:48" ht="12.75" customHeight="1" x14ac:dyDescent="0.3">
      <c r="A405" s="49"/>
      <c r="B405" s="82"/>
      <c r="C405" s="51"/>
      <c r="D405" s="52"/>
      <c r="E405" s="53"/>
      <c r="F405" s="54"/>
      <c r="G405" s="52"/>
      <c r="H405" s="53"/>
      <c r="I405" s="54"/>
      <c r="J405" s="53"/>
      <c r="K405" s="83"/>
      <c r="L405" s="57"/>
      <c r="M405" s="58"/>
      <c r="N405" s="71"/>
      <c r="O405" s="71"/>
      <c r="P405" s="71"/>
      <c r="Q405" s="71"/>
      <c r="R405" s="71"/>
      <c r="S405" s="71"/>
      <c r="T405" s="71"/>
      <c r="U405" s="61">
        <f>SUM('Daily Halba'!$E405,'Daily Halba'!$H405,$M405:$T405)</f>
        <v>0</v>
      </c>
      <c r="V405" s="22"/>
      <c r="W405" s="62"/>
      <c r="X405" s="62"/>
      <c r="Y405" s="62"/>
      <c r="Z405" s="79"/>
      <c r="AA405" s="63"/>
      <c r="AB405" s="64"/>
      <c r="AC405" s="64"/>
      <c r="AD405" s="64"/>
      <c r="AE405" s="65">
        <f t="shared" si="12"/>
        <v>0</v>
      </c>
      <c r="AF405" s="66"/>
      <c r="AG405" s="66"/>
      <c r="AH405" s="66"/>
      <c r="AI405" s="66"/>
      <c r="AJ405" s="66"/>
      <c r="AK405" s="66"/>
      <c r="AL405" s="66"/>
      <c r="AM405" s="66"/>
      <c r="AN405" s="67">
        <f t="shared" si="13"/>
        <v>0</v>
      </c>
      <c r="AO405" s="66"/>
      <c r="AP405" s="68">
        <f t="shared" si="14"/>
        <v>0</v>
      </c>
      <c r="AQ405" s="69"/>
      <c r="AR405" s="22"/>
      <c r="AS405" s="70">
        <f>'Daily Halba'!$U405-'Daily Halba'!$AP405</f>
        <v>0</v>
      </c>
      <c r="AT405" s="5"/>
      <c r="AU405" s="5"/>
      <c r="AV405" s="5"/>
    </row>
    <row r="406" spans="1:48" ht="12.75" customHeight="1" x14ac:dyDescent="0.3">
      <c r="A406" s="49"/>
      <c r="B406" s="82"/>
      <c r="C406" s="51"/>
      <c r="D406" s="52"/>
      <c r="E406" s="53"/>
      <c r="F406" s="54"/>
      <c r="G406" s="52"/>
      <c r="H406" s="53"/>
      <c r="I406" s="54"/>
      <c r="J406" s="53"/>
      <c r="K406" s="83"/>
      <c r="L406" s="57"/>
      <c r="M406" s="58"/>
      <c r="N406" s="71"/>
      <c r="O406" s="71"/>
      <c r="P406" s="71"/>
      <c r="Q406" s="71"/>
      <c r="R406" s="71"/>
      <c r="S406" s="71"/>
      <c r="T406" s="71"/>
      <c r="U406" s="61">
        <f>SUM('Daily Halba'!$E406,'Daily Halba'!$H406,$M406:$T406)</f>
        <v>0</v>
      </c>
      <c r="V406" s="22"/>
      <c r="W406" s="85"/>
      <c r="X406" s="85"/>
      <c r="Y406" s="85"/>
      <c r="Z406" s="85"/>
      <c r="AA406" s="72"/>
      <c r="AB406" s="73"/>
      <c r="AC406" s="73"/>
      <c r="AD406" s="73"/>
      <c r="AE406" s="86">
        <f t="shared" si="12"/>
        <v>0</v>
      </c>
      <c r="AF406" s="74"/>
      <c r="AG406" s="74"/>
      <c r="AH406" s="74"/>
      <c r="AI406" s="74"/>
      <c r="AJ406" s="74"/>
      <c r="AK406" s="74"/>
      <c r="AL406" s="74"/>
      <c r="AM406" s="74"/>
      <c r="AN406" s="87">
        <f t="shared" si="13"/>
        <v>0</v>
      </c>
      <c r="AO406" s="74"/>
      <c r="AP406" s="88">
        <f t="shared" si="14"/>
        <v>0</v>
      </c>
      <c r="AQ406" s="75"/>
      <c r="AR406" s="22"/>
      <c r="AS406" s="70">
        <f>'Daily Halba'!$U406-'Daily Halba'!$AP406</f>
        <v>0</v>
      </c>
      <c r="AT406" s="5"/>
      <c r="AU406" s="5"/>
      <c r="AV406" s="5"/>
    </row>
    <row r="407" spans="1:48" ht="12.75" customHeight="1" x14ac:dyDescent="0.3">
      <c r="A407" s="49"/>
      <c r="B407" s="82"/>
      <c r="C407" s="51"/>
      <c r="D407" s="52"/>
      <c r="E407" s="53"/>
      <c r="F407" s="54"/>
      <c r="G407" s="52"/>
      <c r="H407" s="53"/>
      <c r="I407" s="54"/>
      <c r="J407" s="53"/>
      <c r="K407" s="83"/>
      <c r="L407" s="57"/>
      <c r="M407" s="58"/>
      <c r="N407" s="71"/>
      <c r="O407" s="71"/>
      <c r="P407" s="71"/>
      <c r="Q407" s="71"/>
      <c r="R407" s="71"/>
      <c r="S407" s="71"/>
      <c r="T407" s="71"/>
      <c r="U407" s="61">
        <f>SUM('Daily Halba'!$E407,'Daily Halba'!$H407,$M407:$T407)</f>
        <v>0</v>
      </c>
      <c r="V407" s="22"/>
      <c r="W407" s="62"/>
      <c r="X407" s="62"/>
      <c r="Y407" s="62"/>
      <c r="Z407" s="79"/>
      <c r="AA407" s="63"/>
      <c r="AB407" s="64"/>
      <c r="AC407" s="64"/>
      <c r="AD407" s="64"/>
      <c r="AE407" s="65">
        <f t="shared" si="12"/>
        <v>0</v>
      </c>
      <c r="AF407" s="66"/>
      <c r="AG407" s="66"/>
      <c r="AH407" s="66"/>
      <c r="AI407" s="66"/>
      <c r="AJ407" s="66"/>
      <c r="AK407" s="66"/>
      <c r="AL407" s="66"/>
      <c r="AM407" s="66"/>
      <c r="AN407" s="67">
        <f t="shared" si="13"/>
        <v>0</v>
      </c>
      <c r="AO407" s="66"/>
      <c r="AP407" s="68">
        <f t="shared" si="14"/>
        <v>0</v>
      </c>
      <c r="AQ407" s="69"/>
      <c r="AR407" s="22"/>
      <c r="AS407" s="70">
        <f>'Daily Halba'!$U407-'Daily Halba'!$AP407</f>
        <v>0</v>
      </c>
      <c r="AT407" s="5"/>
      <c r="AU407" s="5"/>
      <c r="AV407" s="5"/>
    </row>
    <row r="408" spans="1:48" ht="12.75" customHeight="1" x14ac:dyDescent="0.3">
      <c r="A408" s="49"/>
      <c r="B408" s="82"/>
      <c r="C408" s="51"/>
      <c r="D408" s="52"/>
      <c r="E408" s="53"/>
      <c r="F408" s="54"/>
      <c r="G408" s="52"/>
      <c r="H408" s="53"/>
      <c r="I408" s="54"/>
      <c r="J408" s="53"/>
      <c r="K408" s="83"/>
      <c r="L408" s="57"/>
      <c r="M408" s="58"/>
      <c r="N408" s="71"/>
      <c r="O408" s="71"/>
      <c r="P408" s="71"/>
      <c r="Q408" s="71"/>
      <c r="R408" s="71"/>
      <c r="S408" s="71"/>
      <c r="T408" s="71"/>
      <c r="U408" s="61">
        <f>SUM('Daily Halba'!$E408,'Daily Halba'!$H408,$M408:$T408)</f>
        <v>0</v>
      </c>
      <c r="V408" s="22"/>
      <c r="W408" s="85"/>
      <c r="X408" s="85"/>
      <c r="Y408" s="85"/>
      <c r="Z408" s="85"/>
      <c r="AA408" s="72"/>
      <c r="AB408" s="73"/>
      <c r="AC408" s="73"/>
      <c r="AD408" s="73"/>
      <c r="AE408" s="86">
        <f t="shared" si="12"/>
        <v>0</v>
      </c>
      <c r="AF408" s="74"/>
      <c r="AG408" s="74"/>
      <c r="AH408" s="74"/>
      <c r="AI408" s="74"/>
      <c r="AJ408" s="74"/>
      <c r="AK408" s="74"/>
      <c r="AL408" s="74"/>
      <c r="AM408" s="74"/>
      <c r="AN408" s="87">
        <f t="shared" si="13"/>
        <v>0</v>
      </c>
      <c r="AO408" s="74"/>
      <c r="AP408" s="88">
        <f t="shared" si="14"/>
        <v>0</v>
      </c>
      <c r="AQ408" s="75"/>
      <c r="AR408" s="22"/>
      <c r="AS408" s="70">
        <f>'Daily Halba'!$U408-'Daily Halba'!$AP408</f>
        <v>0</v>
      </c>
      <c r="AT408" s="5"/>
      <c r="AU408" s="5"/>
      <c r="AV408" s="5"/>
    </row>
    <row r="409" spans="1:48" ht="12.75" customHeight="1" x14ac:dyDescent="0.3">
      <c r="A409" s="49"/>
      <c r="B409" s="82"/>
      <c r="C409" s="51"/>
      <c r="D409" s="52"/>
      <c r="E409" s="53"/>
      <c r="F409" s="54"/>
      <c r="G409" s="52"/>
      <c r="H409" s="53"/>
      <c r="I409" s="54"/>
      <c r="J409" s="53"/>
      <c r="K409" s="83"/>
      <c r="L409" s="57"/>
      <c r="M409" s="58"/>
      <c r="N409" s="71"/>
      <c r="O409" s="71"/>
      <c r="P409" s="71"/>
      <c r="Q409" s="71"/>
      <c r="R409" s="71"/>
      <c r="S409" s="71"/>
      <c r="T409" s="71"/>
      <c r="U409" s="61">
        <f>SUM('Daily Halba'!$E409,'Daily Halba'!$H409,$M409:$T409)</f>
        <v>0</v>
      </c>
      <c r="V409" s="22"/>
      <c r="W409" s="62"/>
      <c r="X409" s="62"/>
      <c r="Y409" s="62"/>
      <c r="Z409" s="79"/>
      <c r="AA409" s="63"/>
      <c r="AB409" s="64"/>
      <c r="AC409" s="64"/>
      <c r="AD409" s="64"/>
      <c r="AE409" s="65">
        <f t="shared" si="12"/>
        <v>0</v>
      </c>
      <c r="AF409" s="66"/>
      <c r="AG409" s="66"/>
      <c r="AH409" s="66"/>
      <c r="AI409" s="66"/>
      <c r="AJ409" s="66"/>
      <c r="AK409" s="66"/>
      <c r="AL409" s="66"/>
      <c r="AM409" s="66"/>
      <c r="AN409" s="67">
        <f t="shared" si="13"/>
        <v>0</v>
      </c>
      <c r="AO409" s="66"/>
      <c r="AP409" s="68">
        <f t="shared" si="14"/>
        <v>0</v>
      </c>
      <c r="AQ409" s="69"/>
      <c r="AR409" s="22"/>
      <c r="AS409" s="70">
        <f>'Daily Halba'!$U409-'Daily Halba'!$AP409</f>
        <v>0</v>
      </c>
      <c r="AT409" s="5"/>
      <c r="AU409" s="5"/>
      <c r="AV409" s="5"/>
    </row>
    <row r="410" spans="1:48" ht="12.75" customHeight="1" x14ac:dyDescent="0.3">
      <c r="A410" s="49"/>
      <c r="B410" s="82"/>
      <c r="C410" s="51"/>
      <c r="D410" s="52"/>
      <c r="E410" s="53"/>
      <c r="F410" s="54"/>
      <c r="G410" s="52"/>
      <c r="H410" s="53"/>
      <c r="I410" s="54"/>
      <c r="J410" s="53"/>
      <c r="K410" s="83"/>
      <c r="L410" s="57"/>
      <c r="M410" s="58"/>
      <c r="N410" s="71"/>
      <c r="O410" s="71"/>
      <c r="P410" s="71"/>
      <c r="Q410" s="71"/>
      <c r="R410" s="71"/>
      <c r="S410" s="71"/>
      <c r="T410" s="71"/>
      <c r="U410" s="61">
        <f>SUM('Daily Halba'!$E410,'Daily Halba'!$H410,$M410:$T410)</f>
        <v>0</v>
      </c>
      <c r="V410" s="22"/>
      <c r="W410" s="85"/>
      <c r="X410" s="85"/>
      <c r="Y410" s="85"/>
      <c r="Z410" s="85"/>
      <c r="AA410" s="72"/>
      <c r="AB410" s="73"/>
      <c r="AC410" s="73"/>
      <c r="AD410" s="73"/>
      <c r="AE410" s="86">
        <f t="shared" si="12"/>
        <v>0</v>
      </c>
      <c r="AF410" s="74"/>
      <c r="AG410" s="74"/>
      <c r="AH410" s="74"/>
      <c r="AI410" s="74"/>
      <c r="AJ410" s="74"/>
      <c r="AK410" s="74"/>
      <c r="AL410" s="74"/>
      <c r="AM410" s="74"/>
      <c r="AN410" s="87">
        <f t="shared" si="13"/>
        <v>0</v>
      </c>
      <c r="AO410" s="74"/>
      <c r="AP410" s="88">
        <f t="shared" si="14"/>
        <v>0</v>
      </c>
      <c r="AQ410" s="75"/>
      <c r="AR410" s="22"/>
      <c r="AS410" s="70">
        <f>'Daily Halba'!$U410-'Daily Halba'!$AP410</f>
        <v>0</v>
      </c>
      <c r="AT410" s="5"/>
      <c r="AU410" s="5"/>
      <c r="AV410" s="5"/>
    </row>
    <row r="411" spans="1:48" ht="12.75" customHeight="1" x14ac:dyDescent="0.3">
      <c r="A411" s="49"/>
      <c r="B411" s="82"/>
      <c r="C411" s="51"/>
      <c r="D411" s="52"/>
      <c r="E411" s="53"/>
      <c r="F411" s="54"/>
      <c r="G411" s="52"/>
      <c r="H411" s="53"/>
      <c r="I411" s="54"/>
      <c r="J411" s="53"/>
      <c r="K411" s="83"/>
      <c r="L411" s="57"/>
      <c r="M411" s="58"/>
      <c r="N411" s="71"/>
      <c r="O411" s="71"/>
      <c r="P411" s="71"/>
      <c r="Q411" s="71"/>
      <c r="R411" s="71"/>
      <c r="S411" s="71"/>
      <c r="T411" s="71"/>
      <c r="U411" s="61">
        <f>SUM('Daily Halba'!$E411,'Daily Halba'!$H411,$M411:$T411)</f>
        <v>0</v>
      </c>
      <c r="V411" s="22"/>
      <c r="W411" s="62"/>
      <c r="X411" s="62"/>
      <c r="Y411" s="62"/>
      <c r="Z411" s="79"/>
      <c r="AA411" s="63"/>
      <c r="AB411" s="64"/>
      <c r="AC411" s="64"/>
      <c r="AD411" s="64"/>
      <c r="AE411" s="65">
        <f t="shared" si="12"/>
        <v>0</v>
      </c>
      <c r="AF411" s="66"/>
      <c r="AG411" s="66"/>
      <c r="AH411" s="66"/>
      <c r="AI411" s="66"/>
      <c r="AJ411" s="66"/>
      <c r="AK411" s="66"/>
      <c r="AL411" s="66"/>
      <c r="AM411" s="66"/>
      <c r="AN411" s="67">
        <f t="shared" si="13"/>
        <v>0</v>
      </c>
      <c r="AO411" s="66"/>
      <c r="AP411" s="68">
        <f t="shared" si="14"/>
        <v>0</v>
      </c>
      <c r="AQ411" s="69"/>
      <c r="AR411" s="22"/>
      <c r="AS411" s="70">
        <f>'Daily Halba'!$U411-'Daily Halba'!$AP411</f>
        <v>0</v>
      </c>
      <c r="AT411" s="5"/>
      <c r="AU411" s="5"/>
      <c r="AV411" s="5"/>
    </row>
    <row r="412" spans="1:48" ht="12.75" customHeight="1" x14ac:dyDescent="0.3">
      <c r="A412" s="49"/>
      <c r="B412" s="82"/>
      <c r="C412" s="51"/>
      <c r="D412" s="52"/>
      <c r="E412" s="53"/>
      <c r="F412" s="54"/>
      <c r="G412" s="52"/>
      <c r="H412" s="53"/>
      <c r="I412" s="54"/>
      <c r="J412" s="53"/>
      <c r="K412" s="83"/>
      <c r="L412" s="57"/>
      <c r="M412" s="58"/>
      <c r="N412" s="71"/>
      <c r="O412" s="71"/>
      <c r="P412" s="71"/>
      <c r="Q412" s="71"/>
      <c r="R412" s="71"/>
      <c r="S412" s="71"/>
      <c r="T412" s="71"/>
      <c r="U412" s="61">
        <f>SUM('Daily Halba'!$E412,'Daily Halba'!$H412,$M412:$T412)</f>
        <v>0</v>
      </c>
      <c r="V412" s="22"/>
      <c r="W412" s="85"/>
      <c r="X412" s="85"/>
      <c r="Y412" s="85"/>
      <c r="Z412" s="85"/>
      <c r="AA412" s="72"/>
      <c r="AB412" s="73"/>
      <c r="AC412" s="73"/>
      <c r="AD412" s="73"/>
      <c r="AE412" s="86">
        <f t="shared" si="12"/>
        <v>0</v>
      </c>
      <c r="AF412" s="74"/>
      <c r="AG412" s="74"/>
      <c r="AH412" s="74"/>
      <c r="AI412" s="74"/>
      <c r="AJ412" s="74"/>
      <c r="AK412" s="74"/>
      <c r="AL412" s="74"/>
      <c r="AM412" s="74"/>
      <c r="AN412" s="87">
        <f t="shared" si="13"/>
        <v>0</v>
      </c>
      <c r="AO412" s="74"/>
      <c r="AP412" s="88">
        <f t="shared" si="14"/>
        <v>0</v>
      </c>
      <c r="AQ412" s="75"/>
      <c r="AR412" s="22"/>
      <c r="AS412" s="70">
        <f>'Daily Halba'!$U412-'Daily Halba'!$AP412</f>
        <v>0</v>
      </c>
      <c r="AT412" s="5"/>
      <c r="AU412" s="5"/>
      <c r="AV412" s="5"/>
    </row>
    <row r="413" spans="1:48" ht="12.75" customHeight="1" x14ac:dyDescent="0.3">
      <c r="A413" s="49"/>
      <c r="B413" s="82"/>
      <c r="C413" s="51"/>
      <c r="D413" s="52"/>
      <c r="E413" s="53"/>
      <c r="F413" s="54"/>
      <c r="G413" s="52"/>
      <c r="H413" s="53"/>
      <c r="I413" s="54"/>
      <c r="J413" s="53"/>
      <c r="K413" s="83"/>
      <c r="L413" s="57"/>
      <c r="M413" s="58"/>
      <c r="N413" s="71"/>
      <c r="O413" s="71"/>
      <c r="P413" s="71"/>
      <c r="Q413" s="71"/>
      <c r="R413" s="71"/>
      <c r="S413" s="71"/>
      <c r="T413" s="71"/>
      <c r="U413" s="61">
        <f>SUM('Daily Halba'!$E413,'Daily Halba'!$H413,$M413:$T413)</f>
        <v>0</v>
      </c>
      <c r="V413" s="22"/>
      <c r="W413" s="62"/>
      <c r="X413" s="62"/>
      <c r="Y413" s="62"/>
      <c r="Z413" s="79"/>
      <c r="AA413" s="63"/>
      <c r="AB413" s="64"/>
      <c r="AC413" s="64"/>
      <c r="AD413" s="64"/>
      <c r="AE413" s="65">
        <f t="shared" si="12"/>
        <v>0</v>
      </c>
      <c r="AF413" s="66"/>
      <c r="AG413" s="66"/>
      <c r="AH413" s="66"/>
      <c r="AI413" s="66"/>
      <c r="AJ413" s="66"/>
      <c r="AK413" s="66"/>
      <c r="AL413" s="66"/>
      <c r="AM413" s="66"/>
      <c r="AN413" s="67">
        <f t="shared" si="13"/>
        <v>0</v>
      </c>
      <c r="AO413" s="66"/>
      <c r="AP413" s="68">
        <f t="shared" si="14"/>
        <v>0</v>
      </c>
      <c r="AQ413" s="69"/>
      <c r="AR413" s="22"/>
      <c r="AS413" s="70">
        <f>'Daily Halba'!$U413-'Daily Halba'!$AP413</f>
        <v>0</v>
      </c>
      <c r="AT413" s="5"/>
      <c r="AU413" s="5"/>
      <c r="AV413" s="5"/>
    </row>
    <row r="414" spans="1:48" ht="12.75" customHeight="1" x14ac:dyDescent="0.3">
      <c r="A414" s="49"/>
      <c r="B414" s="82"/>
      <c r="C414" s="51"/>
      <c r="D414" s="52"/>
      <c r="E414" s="53"/>
      <c r="F414" s="54"/>
      <c r="G414" s="52"/>
      <c r="H414" s="53"/>
      <c r="I414" s="54"/>
      <c r="J414" s="53"/>
      <c r="K414" s="83"/>
      <c r="L414" s="57"/>
      <c r="M414" s="58"/>
      <c r="N414" s="71"/>
      <c r="O414" s="71"/>
      <c r="P414" s="71"/>
      <c r="Q414" s="71"/>
      <c r="R414" s="71"/>
      <c r="S414" s="71"/>
      <c r="T414" s="71"/>
      <c r="U414" s="61">
        <f>SUM('Daily Halba'!$E414,'Daily Halba'!$H414,$M414:$T414)</f>
        <v>0</v>
      </c>
      <c r="V414" s="22"/>
      <c r="W414" s="85"/>
      <c r="X414" s="85"/>
      <c r="Y414" s="85"/>
      <c r="Z414" s="85"/>
      <c r="AA414" s="72"/>
      <c r="AB414" s="73"/>
      <c r="AC414" s="73"/>
      <c r="AD414" s="73"/>
      <c r="AE414" s="86">
        <f t="shared" si="12"/>
        <v>0</v>
      </c>
      <c r="AF414" s="74"/>
      <c r="AG414" s="74"/>
      <c r="AH414" s="74"/>
      <c r="AI414" s="74"/>
      <c r="AJ414" s="74"/>
      <c r="AK414" s="74"/>
      <c r="AL414" s="74"/>
      <c r="AM414" s="74"/>
      <c r="AN414" s="87">
        <f t="shared" si="13"/>
        <v>0</v>
      </c>
      <c r="AO414" s="74"/>
      <c r="AP414" s="88">
        <f t="shared" si="14"/>
        <v>0</v>
      </c>
      <c r="AQ414" s="75"/>
      <c r="AR414" s="22"/>
      <c r="AS414" s="70">
        <f>'Daily Halba'!$U414-'Daily Halba'!$AP414</f>
        <v>0</v>
      </c>
      <c r="AT414" s="5"/>
      <c r="AU414" s="5"/>
      <c r="AV414" s="5"/>
    </row>
    <row r="415" spans="1:48" ht="12.75" customHeight="1" x14ac:dyDescent="0.3">
      <c r="A415" s="49"/>
      <c r="B415" s="82"/>
      <c r="C415" s="51"/>
      <c r="D415" s="52"/>
      <c r="E415" s="53"/>
      <c r="F415" s="54"/>
      <c r="G415" s="52"/>
      <c r="H415" s="53"/>
      <c r="I415" s="54"/>
      <c r="J415" s="53"/>
      <c r="K415" s="83"/>
      <c r="L415" s="57"/>
      <c r="M415" s="58"/>
      <c r="N415" s="71"/>
      <c r="O415" s="71"/>
      <c r="P415" s="71"/>
      <c r="Q415" s="71"/>
      <c r="R415" s="71"/>
      <c r="S415" s="71"/>
      <c r="T415" s="71"/>
      <c r="U415" s="61">
        <f>SUM('Daily Halba'!$E415,'Daily Halba'!$H415,$M415:$T415)</f>
        <v>0</v>
      </c>
      <c r="V415" s="22"/>
      <c r="W415" s="62"/>
      <c r="X415" s="62"/>
      <c r="Y415" s="62"/>
      <c r="Z415" s="79"/>
      <c r="AA415" s="63"/>
      <c r="AB415" s="64"/>
      <c r="AC415" s="64"/>
      <c r="AD415" s="64"/>
      <c r="AE415" s="65">
        <f t="shared" si="12"/>
        <v>0</v>
      </c>
      <c r="AF415" s="66"/>
      <c r="AG415" s="66"/>
      <c r="AH415" s="66"/>
      <c r="AI415" s="66"/>
      <c r="AJ415" s="66"/>
      <c r="AK415" s="66"/>
      <c r="AL415" s="66"/>
      <c r="AM415" s="66"/>
      <c r="AN415" s="67">
        <f t="shared" si="13"/>
        <v>0</v>
      </c>
      <c r="AO415" s="66"/>
      <c r="AP415" s="68">
        <f t="shared" si="14"/>
        <v>0</v>
      </c>
      <c r="AQ415" s="69"/>
      <c r="AR415" s="22"/>
      <c r="AS415" s="70">
        <f>'Daily Halba'!$U415-'Daily Halba'!$AP415</f>
        <v>0</v>
      </c>
      <c r="AT415" s="5"/>
      <c r="AU415" s="5"/>
      <c r="AV415" s="5"/>
    </row>
    <row r="416" spans="1:48" ht="12.75" customHeight="1" x14ac:dyDescent="0.3">
      <c r="A416" s="49"/>
      <c r="B416" s="82"/>
      <c r="C416" s="51"/>
      <c r="D416" s="52"/>
      <c r="E416" s="53"/>
      <c r="F416" s="54"/>
      <c r="G416" s="52"/>
      <c r="H416" s="53"/>
      <c r="I416" s="54"/>
      <c r="J416" s="53"/>
      <c r="K416" s="83"/>
      <c r="L416" s="57"/>
      <c r="M416" s="58"/>
      <c r="N416" s="71"/>
      <c r="O416" s="71"/>
      <c r="P416" s="71"/>
      <c r="Q416" s="71"/>
      <c r="R416" s="71"/>
      <c r="S416" s="71"/>
      <c r="T416" s="71"/>
      <c r="U416" s="61">
        <f>SUM('Daily Halba'!$E416,'Daily Halba'!$H416,$M416:$T416)</f>
        <v>0</v>
      </c>
      <c r="V416" s="22"/>
      <c r="W416" s="85"/>
      <c r="X416" s="85"/>
      <c r="Y416" s="85"/>
      <c r="Z416" s="85"/>
      <c r="AA416" s="72"/>
      <c r="AB416" s="73"/>
      <c r="AC416" s="73"/>
      <c r="AD416" s="73"/>
      <c r="AE416" s="86">
        <f t="shared" si="12"/>
        <v>0</v>
      </c>
      <c r="AF416" s="74"/>
      <c r="AG416" s="74"/>
      <c r="AH416" s="74"/>
      <c r="AI416" s="74"/>
      <c r="AJ416" s="74"/>
      <c r="AK416" s="74"/>
      <c r="AL416" s="74"/>
      <c r="AM416" s="74"/>
      <c r="AN416" s="87">
        <f t="shared" si="13"/>
        <v>0</v>
      </c>
      <c r="AO416" s="74"/>
      <c r="AP416" s="88">
        <f t="shared" si="14"/>
        <v>0</v>
      </c>
      <c r="AQ416" s="75"/>
      <c r="AR416" s="22"/>
      <c r="AS416" s="70">
        <f>'Daily Halba'!$U416-'Daily Halba'!$AP416</f>
        <v>0</v>
      </c>
      <c r="AT416" s="5"/>
      <c r="AU416" s="5"/>
      <c r="AV416" s="5"/>
    </row>
    <row r="417" spans="1:48" ht="12.75" customHeight="1" x14ac:dyDescent="0.3">
      <c r="A417" s="49"/>
      <c r="B417" s="82"/>
      <c r="C417" s="51"/>
      <c r="D417" s="52"/>
      <c r="E417" s="53"/>
      <c r="F417" s="54"/>
      <c r="G417" s="52"/>
      <c r="H417" s="53"/>
      <c r="I417" s="54"/>
      <c r="J417" s="53"/>
      <c r="K417" s="83"/>
      <c r="L417" s="57"/>
      <c r="M417" s="58"/>
      <c r="N417" s="71"/>
      <c r="O417" s="71"/>
      <c r="P417" s="71"/>
      <c r="Q417" s="71"/>
      <c r="R417" s="71"/>
      <c r="S417" s="71"/>
      <c r="T417" s="71"/>
      <c r="U417" s="61">
        <f>SUM('Daily Halba'!$E417,'Daily Halba'!$H417,$M417:$T417)</f>
        <v>0</v>
      </c>
      <c r="V417" s="22"/>
      <c r="W417" s="62"/>
      <c r="X417" s="62"/>
      <c r="Y417" s="62"/>
      <c r="Z417" s="79"/>
      <c r="AA417" s="63"/>
      <c r="AB417" s="64"/>
      <c r="AC417" s="64"/>
      <c r="AD417" s="64"/>
      <c r="AE417" s="65">
        <f t="shared" si="12"/>
        <v>0</v>
      </c>
      <c r="AF417" s="66"/>
      <c r="AG417" s="66"/>
      <c r="AH417" s="66"/>
      <c r="AI417" s="66"/>
      <c r="AJ417" s="66"/>
      <c r="AK417" s="66"/>
      <c r="AL417" s="66"/>
      <c r="AM417" s="66"/>
      <c r="AN417" s="67">
        <f t="shared" si="13"/>
        <v>0</v>
      </c>
      <c r="AO417" s="66"/>
      <c r="AP417" s="68">
        <f t="shared" si="14"/>
        <v>0</v>
      </c>
      <c r="AQ417" s="69"/>
      <c r="AR417" s="22"/>
      <c r="AS417" s="70">
        <f>'Daily Halba'!$U417-'Daily Halba'!$AP417</f>
        <v>0</v>
      </c>
      <c r="AT417" s="5"/>
      <c r="AU417" s="5"/>
      <c r="AV417" s="5"/>
    </row>
    <row r="418" spans="1:48" ht="12.75" customHeight="1" x14ac:dyDescent="0.3">
      <c r="A418" s="49"/>
      <c r="B418" s="82"/>
      <c r="C418" s="51"/>
      <c r="D418" s="52"/>
      <c r="E418" s="53"/>
      <c r="F418" s="54"/>
      <c r="G418" s="52"/>
      <c r="H418" s="53"/>
      <c r="I418" s="54"/>
      <c r="J418" s="53"/>
      <c r="K418" s="83"/>
      <c r="L418" s="57"/>
      <c r="M418" s="58"/>
      <c r="N418" s="71"/>
      <c r="O418" s="71"/>
      <c r="P418" s="71"/>
      <c r="Q418" s="71"/>
      <c r="R418" s="71"/>
      <c r="S418" s="71"/>
      <c r="T418" s="71"/>
      <c r="U418" s="61">
        <f>SUM('Daily Halba'!$E418,'Daily Halba'!$H418,$M418:$T418)</f>
        <v>0</v>
      </c>
      <c r="V418" s="22"/>
      <c r="W418" s="85"/>
      <c r="X418" s="85"/>
      <c r="Y418" s="85"/>
      <c r="Z418" s="85"/>
      <c r="AA418" s="72"/>
      <c r="AB418" s="73"/>
      <c r="AC418" s="73"/>
      <c r="AD418" s="73"/>
      <c r="AE418" s="86">
        <f t="shared" si="12"/>
        <v>0</v>
      </c>
      <c r="AF418" s="74"/>
      <c r="AG418" s="74"/>
      <c r="AH418" s="74"/>
      <c r="AI418" s="74"/>
      <c r="AJ418" s="74"/>
      <c r="AK418" s="74"/>
      <c r="AL418" s="74"/>
      <c r="AM418" s="74"/>
      <c r="AN418" s="87">
        <f t="shared" si="13"/>
        <v>0</v>
      </c>
      <c r="AO418" s="74"/>
      <c r="AP418" s="88">
        <f t="shared" si="14"/>
        <v>0</v>
      </c>
      <c r="AQ418" s="75"/>
      <c r="AR418" s="22"/>
      <c r="AS418" s="70">
        <f>'Daily Halba'!$U418-'Daily Halba'!$AP418</f>
        <v>0</v>
      </c>
      <c r="AT418" s="5"/>
      <c r="AU418" s="5"/>
      <c r="AV418" s="5"/>
    </row>
    <row r="419" spans="1:48" ht="12.75" customHeight="1" x14ac:dyDescent="0.3">
      <c r="A419" s="49"/>
      <c r="B419" s="82"/>
      <c r="C419" s="51"/>
      <c r="D419" s="52"/>
      <c r="E419" s="53"/>
      <c r="F419" s="54"/>
      <c r="G419" s="52"/>
      <c r="H419" s="53"/>
      <c r="I419" s="54"/>
      <c r="J419" s="53"/>
      <c r="K419" s="83"/>
      <c r="L419" s="57"/>
      <c r="M419" s="58"/>
      <c r="N419" s="71"/>
      <c r="O419" s="71"/>
      <c r="P419" s="71"/>
      <c r="Q419" s="71"/>
      <c r="R419" s="71"/>
      <c r="S419" s="71"/>
      <c r="T419" s="71"/>
      <c r="U419" s="61">
        <f>SUM('Daily Halba'!$E419,'Daily Halba'!$H419,$M419:$T419)</f>
        <v>0</v>
      </c>
      <c r="V419" s="22"/>
      <c r="W419" s="62"/>
      <c r="X419" s="62"/>
      <c r="Y419" s="62"/>
      <c r="Z419" s="79"/>
      <c r="AA419" s="63"/>
      <c r="AB419" s="64"/>
      <c r="AC419" s="64"/>
      <c r="AD419" s="64"/>
      <c r="AE419" s="65">
        <f t="shared" si="12"/>
        <v>0</v>
      </c>
      <c r="AF419" s="66"/>
      <c r="AG419" s="66"/>
      <c r="AH419" s="66"/>
      <c r="AI419" s="66"/>
      <c r="AJ419" s="66"/>
      <c r="AK419" s="66"/>
      <c r="AL419" s="66"/>
      <c r="AM419" s="66"/>
      <c r="AN419" s="67">
        <f t="shared" si="13"/>
        <v>0</v>
      </c>
      <c r="AO419" s="66"/>
      <c r="AP419" s="68">
        <f t="shared" si="14"/>
        <v>0</v>
      </c>
      <c r="AQ419" s="69"/>
      <c r="AR419" s="22"/>
      <c r="AS419" s="70">
        <f>'Daily Halba'!$U419-'Daily Halba'!$AP419</f>
        <v>0</v>
      </c>
      <c r="AT419" s="5"/>
      <c r="AU419" s="5"/>
      <c r="AV419" s="5"/>
    </row>
    <row r="420" spans="1:48" ht="12.75" customHeight="1" x14ac:dyDescent="0.3">
      <c r="A420" s="49"/>
      <c r="B420" s="82"/>
      <c r="C420" s="51"/>
      <c r="D420" s="52"/>
      <c r="E420" s="53"/>
      <c r="F420" s="54"/>
      <c r="G420" s="52"/>
      <c r="H420" s="53"/>
      <c r="I420" s="54"/>
      <c r="J420" s="53"/>
      <c r="K420" s="83"/>
      <c r="L420" s="57"/>
      <c r="M420" s="58"/>
      <c r="N420" s="71"/>
      <c r="O420" s="71"/>
      <c r="P420" s="71"/>
      <c r="Q420" s="71"/>
      <c r="R420" s="71"/>
      <c r="S420" s="71"/>
      <c r="T420" s="71"/>
      <c r="U420" s="61">
        <f>SUM('Daily Halba'!$E420,'Daily Halba'!$H420,$M420:$T420)</f>
        <v>0</v>
      </c>
      <c r="V420" s="22"/>
      <c r="W420" s="85"/>
      <c r="X420" s="85"/>
      <c r="Y420" s="85"/>
      <c r="Z420" s="85"/>
      <c r="AA420" s="72"/>
      <c r="AB420" s="73"/>
      <c r="AC420" s="73"/>
      <c r="AD420" s="73"/>
      <c r="AE420" s="86">
        <f t="shared" si="12"/>
        <v>0</v>
      </c>
      <c r="AF420" s="74"/>
      <c r="AG420" s="74"/>
      <c r="AH420" s="74"/>
      <c r="AI420" s="74"/>
      <c r="AJ420" s="74"/>
      <c r="AK420" s="74"/>
      <c r="AL420" s="74"/>
      <c r="AM420" s="74"/>
      <c r="AN420" s="87">
        <f t="shared" si="13"/>
        <v>0</v>
      </c>
      <c r="AO420" s="74"/>
      <c r="AP420" s="88">
        <f t="shared" si="14"/>
        <v>0</v>
      </c>
      <c r="AQ420" s="75"/>
      <c r="AR420" s="22"/>
      <c r="AS420" s="70">
        <f>'Daily Halba'!$U420-'Daily Halba'!$AP420</f>
        <v>0</v>
      </c>
      <c r="AT420" s="5"/>
      <c r="AU420" s="5"/>
      <c r="AV420" s="5"/>
    </row>
    <row r="421" spans="1:48" ht="12.75" customHeight="1" x14ac:dyDescent="0.3">
      <c r="A421" s="49"/>
      <c r="B421" s="82"/>
      <c r="C421" s="51"/>
      <c r="D421" s="52"/>
      <c r="E421" s="53"/>
      <c r="F421" s="54"/>
      <c r="G421" s="52"/>
      <c r="H421" s="53"/>
      <c r="I421" s="54"/>
      <c r="J421" s="53"/>
      <c r="K421" s="83"/>
      <c r="L421" s="57"/>
      <c r="M421" s="58"/>
      <c r="N421" s="71"/>
      <c r="O421" s="71"/>
      <c r="P421" s="71"/>
      <c r="Q421" s="71"/>
      <c r="R421" s="71"/>
      <c r="S421" s="71"/>
      <c r="T421" s="71"/>
      <c r="U421" s="61">
        <f>SUM('Daily Halba'!$E421,'Daily Halba'!$H421,$M421:$T421)</f>
        <v>0</v>
      </c>
      <c r="V421" s="22"/>
      <c r="W421" s="62"/>
      <c r="X421" s="62"/>
      <c r="Y421" s="62"/>
      <c r="Z421" s="79"/>
      <c r="AA421" s="63"/>
      <c r="AB421" s="64"/>
      <c r="AC421" s="64"/>
      <c r="AD421" s="64"/>
      <c r="AE421" s="65">
        <f t="shared" si="12"/>
        <v>0</v>
      </c>
      <c r="AF421" s="66"/>
      <c r="AG421" s="66"/>
      <c r="AH421" s="66"/>
      <c r="AI421" s="66"/>
      <c r="AJ421" s="66"/>
      <c r="AK421" s="66"/>
      <c r="AL421" s="66"/>
      <c r="AM421" s="66"/>
      <c r="AN421" s="67">
        <f t="shared" si="13"/>
        <v>0</v>
      </c>
      <c r="AO421" s="66"/>
      <c r="AP421" s="68">
        <f t="shared" si="14"/>
        <v>0</v>
      </c>
      <c r="AQ421" s="69"/>
      <c r="AR421" s="22"/>
      <c r="AS421" s="70">
        <f>'Daily Halba'!$U421-'Daily Halba'!$AP421</f>
        <v>0</v>
      </c>
      <c r="AT421" s="5"/>
      <c r="AU421" s="5"/>
      <c r="AV421" s="5"/>
    </row>
    <row r="422" spans="1:48" ht="12.75" customHeight="1" x14ac:dyDescent="0.3">
      <c r="A422" s="49"/>
      <c r="B422" s="82"/>
      <c r="C422" s="51"/>
      <c r="D422" s="52"/>
      <c r="E422" s="53"/>
      <c r="F422" s="54"/>
      <c r="G422" s="52"/>
      <c r="H422" s="53"/>
      <c r="I422" s="54"/>
      <c r="J422" s="53"/>
      <c r="K422" s="83"/>
      <c r="L422" s="57"/>
      <c r="M422" s="58"/>
      <c r="N422" s="71"/>
      <c r="O422" s="71"/>
      <c r="P422" s="71"/>
      <c r="Q422" s="71"/>
      <c r="R422" s="71"/>
      <c r="S422" s="71"/>
      <c r="T422" s="71"/>
      <c r="U422" s="61">
        <f>SUM('Daily Halba'!$E422,'Daily Halba'!$H422,$M422:$T422)</f>
        <v>0</v>
      </c>
      <c r="V422" s="22"/>
      <c r="W422" s="85"/>
      <c r="X422" s="85"/>
      <c r="Y422" s="85"/>
      <c r="Z422" s="85"/>
      <c r="AA422" s="72"/>
      <c r="AB422" s="73"/>
      <c r="AC422" s="73"/>
      <c r="AD422" s="73"/>
      <c r="AE422" s="86">
        <f t="shared" si="12"/>
        <v>0</v>
      </c>
      <c r="AF422" s="74"/>
      <c r="AG422" s="74"/>
      <c r="AH422" s="74"/>
      <c r="AI422" s="74"/>
      <c r="AJ422" s="74"/>
      <c r="AK422" s="74"/>
      <c r="AL422" s="74"/>
      <c r="AM422" s="74"/>
      <c r="AN422" s="87">
        <f t="shared" si="13"/>
        <v>0</v>
      </c>
      <c r="AO422" s="74"/>
      <c r="AP422" s="88">
        <f t="shared" si="14"/>
        <v>0</v>
      </c>
      <c r="AQ422" s="75"/>
      <c r="AR422" s="22"/>
      <c r="AS422" s="70">
        <f>'Daily Halba'!$U422-'Daily Halba'!$AP422</f>
        <v>0</v>
      </c>
      <c r="AT422" s="5"/>
      <c r="AU422" s="5"/>
      <c r="AV422" s="5"/>
    </row>
    <row r="423" spans="1:48" ht="12.75" customHeight="1" x14ac:dyDescent="0.3">
      <c r="A423" s="49"/>
      <c r="B423" s="82"/>
      <c r="C423" s="51"/>
      <c r="D423" s="52"/>
      <c r="E423" s="53"/>
      <c r="F423" s="54"/>
      <c r="G423" s="52"/>
      <c r="H423" s="53"/>
      <c r="I423" s="54"/>
      <c r="J423" s="53"/>
      <c r="K423" s="83"/>
      <c r="L423" s="57"/>
      <c r="M423" s="58"/>
      <c r="N423" s="71"/>
      <c r="O423" s="71"/>
      <c r="P423" s="71"/>
      <c r="Q423" s="71"/>
      <c r="R423" s="71"/>
      <c r="S423" s="71"/>
      <c r="T423" s="71"/>
      <c r="U423" s="61">
        <f>SUM('Daily Halba'!$E423,'Daily Halba'!$H423,$M423:$T423)</f>
        <v>0</v>
      </c>
      <c r="V423" s="22"/>
      <c r="W423" s="62"/>
      <c r="X423" s="62"/>
      <c r="Y423" s="62"/>
      <c r="Z423" s="79"/>
      <c r="AA423" s="63"/>
      <c r="AB423" s="64"/>
      <c r="AC423" s="64"/>
      <c r="AD423" s="64"/>
      <c r="AE423" s="65">
        <f t="shared" si="12"/>
        <v>0</v>
      </c>
      <c r="AF423" s="66"/>
      <c r="AG423" s="66"/>
      <c r="AH423" s="66"/>
      <c r="AI423" s="66"/>
      <c r="AJ423" s="66"/>
      <c r="AK423" s="66"/>
      <c r="AL423" s="66"/>
      <c r="AM423" s="66"/>
      <c r="AN423" s="67">
        <f t="shared" si="13"/>
        <v>0</v>
      </c>
      <c r="AO423" s="66"/>
      <c r="AP423" s="68">
        <f t="shared" si="14"/>
        <v>0</v>
      </c>
      <c r="AQ423" s="69"/>
      <c r="AR423" s="22"/>
      <c r="AS423" s="70">
        <f>'Daily Halba'!$U423-'Daily Halba'!$AP423</f>
        <v>0</v>
      </c>
      <c r="AT423" s="5"/>
      <c r="AU423" s="5"/>
      <c r="AV423" s="5"/>
    </row>
    <row r="424" spans="1:48" ht="12.75" customHeight="1" x14ac:dyDescent="0.3">
      <c r="A424" s="49"/>
      <c r="B424" s="82"/>
      <c r="C424" s="51"/>
      <c r="D424" s="52"/>
      <c r="E424" s="53"/>
      <c r="F424" s="54"/>
      <c r="G424" s="52"/>
      <c r="H424" s="53"/>
      <c r="I424" s="54"/>
      <c r="J424" s="53"/>
      <c r="K424" s="83"/>
      <c r="L424" s="57"/>
      <c r="M424" s="58"/>
      <c r="N424" s="71"/>
      <c r="O424" s="71"/>
      <c r="P424" s="71"/>
      <c r="Q424" s="71"/>
      <c r="R424" s="71"/>
      <c r="S424" s="71"/>
      <c r="T424" s="71"/>
      <c r="U424" s="61">
        <f>SUM('Daily Halba'!$E424,'Daily Halba'!$H424,$M424:$T424)</f>
        <v>0</v>
      </c>
      <c r="V424" s="22"/>
      <c r="W424" s="85"/>
      <c r="X424" s="85"/>
      <c r="Y424" s="85"/>
      <c r="Z424" s="85"/>
      <c r="AA424" s="72"/>
      <c r="AB424" s="73"/>
      <c r="AC424" s="73"/>
      <c r="AD424" s="73"/>
      <c r="AE424" s="86">
        <f t="shared" si="12"/>
        <v>0</v>
      </c>
      <c r="AF424" s="74"/>
      <c r="AG424" s="74"/>
      <c r="AH424" s="74"/>
      <c r="AI424" s="74"/>
      <c r="AJ424" s="74"/>
      <c r="AK424" s="74"/>
      <c r="AL424" s="74"/>
      <c r="AM424" s="74"/>
      <c r="AN424" s="87">
        <f t="shared" si="13"/>
        <v>0</v>
      </c>
      <c r="AO424" s="74"/>
      <c r="AP424" s="88">
        <f t="shared" si="14"/>
        <v>0</v>
      </c>
      <c r="AQ424" s="75"/>
      <c r="AR424" s="22"/>
      <c r="AS424" s="70">
        <f>'Daily Halba'!$U424-'Daily Halba'!$AP424</f>
        <v>0</v>
      </c>
      <c r="AT424" s="5"/>
      <c r="AU424" s="5"/>
      <c r="AV424" s="5"/>
    </row>
    <row r="425" spans="1:48" ht="12.75" customHeight="1" x14ac:dyDescent="0.3">
      <c r="A425" s="49"/>
      <c r="B425" s="82"/>
      <c r="C425" s="51"/>
      <c r="D425" s="52"/>
      <c r="E425" s="53"/>
      <c r="F425" s="54"/>
      <c r="G425" s="52"/>
      <c r="H425" s="53"/>
      <c r="I425" s="54"/>
      <c r="J425" s="53"/>
      <c r="K425" s="83"/>
      <c r="L425" s="57"/>
      <c r="M425" s="58"/>
      <c r="N425" s="71"/>
      <c r="O425" s="71"/>
      <c r="P425" s="71"/>
      <c r="Q425" s="71"/>
      <c r="R425" s="71"/>
      <c r="S425" s="71"/>
      <c r="T425" s="71"/>
      <c r="U425" s="61">
        <f>SUM('Daily Halba'!$E425,'Daily Halba'!$H425,$M425:$T425)</f>
        <v>0</v>
      </c>
      <c r="V425" s="22"/>
      <c r="W425" s="62"/>
      <c r="X425" s="62"/>
      <c r="Y425" s="62"/>
      <c r="Z425" s="79"/>
      <c r="AA425" s="63"/>
      <c r="AB425" s="64"/>
      <c r="AC425" s="64"/>
      <c r="AD425" s="64"/>
      <c r="AE425" s="65">
        <f t="shared" si="12"/>
        <v>0</v>
      </c>
      <c r="AF425" s="66"/>
      <c r="AG425" s="66"/>
      <c r="AH425" s="66"/>
      <c r="AI425" s="66"/>
      <c r="AJ425" s="66"/>
      <c r="AK425" s="66"/>
      <c r="AL425" s="66"/>
      <c r="AM425" s="66"/>
      <c r="AN425" s="67">
        <f t="shared" si="13"/>
        <v>0</v>
      </c>
      <c r="AO425" s="66"/>
      <c r="AP425" s="68">
        <f t="shared" si="14"/>
        <v>0</v>
      </c>
      <c r="AQ425" s="69"/>
      <c r="AR425" s="22"/>
      <c r="AS425" s="70">
        <f>'Daily Halba'!$U425-'Daily Halba'!$AP425</f>
        <v>0</v>
      </c>
      <c r="AT425" s="5"/>
      <c r="AU425" s="5"/>
      <c r="AV425" s="5"/>
    </row>
    <row r="426" spans="1:48" ht="12.75" customHeight="1" x14ac:dyDescent="0.3">
      <c r="A426" s="49"/>
      <c r="B426" s="82"/>
      <c r="C426" s="51"/>
      <c r="D426" s="52"/>
      <c r="E426" s="53"/>
      <c r="F426" s="54"/>
      <c r="G426" s="52"/>
      <c r="H426" s="53"/>
      <c r="I426" s="54"/>
      <c r="J426" s="53"/>
      <c r="K426" s="83"/>
      <c r="L426" s="57"/>
      <c r="M426" s="58"/>
      <c r="N426" s="71"/>
      <c r="O426" s="71"/>
      <c r="P426" s="71"/>
      <c r="Q426" s="71"/>
      <c r="R426" s="71"/>
      <c r="S426" s="71"/>
      <c r="T426" s="71"/>
      <c r="U426" s="61">
        <f>SUM('Daily Halba'!$E426,'Daily Halba'!$H426,$M426:$T426)</f>
        <v>0</v>
      </c>
      <c r="V426" s="22"/>
      <c r="W426" s="85"/>
      <c r="X426" s="85"/>
      <c r="Y426" s="85"/>
      <c r="Z426" s="85"/>
      <c r="AA426" s="72"/>
      <c r="AB426" s="73"/>
      <c r="AC426" s="73"/>
      <c r="AD426" s="73"/>
      <c r="AE426" s="86">
        <f t="shared" si="12"/>
        <v>0</v>
      </c>
      <c r="AF426" s="74"/>
      <c r="AG426" s="74"/>
      <c r="AH426" s="74"/>
      <c r="AI426" s="74"/>
      <c r="AJ426" s="74"/>
      <c r="AK426" s="74"/>
      <c r="AL426" s="74"/>
      <c r="AM426" s="74"/>
      <c r="AN426" s="87">
        <f t="shared" si="13"/>
        <v>0</v>
      </c>
      <c r="AO426" s="74"/>
      <c r="AP426" s="88">
        <f t="shared" si="14"/>
        <v>0</v>
      </c>
      <c r="AQ426" s="75"/>
      <c r="AR426" s="22"/>
      <c r="AS426" s="70">
        <f>'Daily Halba'!$U426-'Daily Halba'!$AP426</f>
        <v>0</v>
      </c>
      <c r="AT426" s="5"/>
      <c r="AU426" s="5"/>
      <c r="AV426" s="5"/>
    </row>
    <row r="427" spans="1:48" ht="12.75" customHeight="1" x14ac:dyDescent="0.3">
      <c r="A427" s="49"/>
      <c r="B427" s="82"/>
      <c r="C427" s="51"/>
      <c r="D427" s="52"/>
      <c r="E427" s="53"/>
      <c r="F427" s="54"/>
      <c r="G427" s="52"/>
      <c r="H427" s="53"/>
      <c r="I427" s="54"/>
      <c r="J427" s="53"/>
      <c r="K427" s="83"/>
      <c r="L427" s="57"/>
      <c r="M427" s="58"/>
      <c r="N427" s="71"/>
      <c r="O427" s="71"/>
      <c r="P427" s="71"/>
      <c r="Q427" s="71"/>
      <c r="R427" s="71"/>
      <c r="S427" s="71"/>
      <c r="T427" s="71"/>
      <c r="U427" s="61">
        <f>SUM('Daily Halba'!$E427,'Daily Halba'!$H427,$M427:$T427)</f>
        <v>0</v>
      </c>
      <c r="V427" s="22"/>
      <c r="W427" s="62"/>
      <c r="X427" s="62"/>
      <c r="Y427" s="62"/>
      <c r="Z427" s="79"/>
      <c r="AA427" s="63"/>
      <c r="AB427" s="64"/>
      <c r="AC427" s="64"/>
      <c r="AD427" s="64"/>
      <c r="AE427" s="65">
        <f t="shared" si="12"/>
        <v>0</v>
      </c>
      <c r="AF427" s="66"/>
      <c r="AG427" s="66"/>
      <c r="AH427" s="66"/>
      <c r="AI427" s="66"/>
      <c r="AJ427" s="66"/>
      <c r="AK427" s="66"/>
      <c r="AL427" s="66"/>
      <c r="AM427" s="66"/>
      <c r="AN427" s="67">
        <f t="shared" si="13"/>
        <v>0</v>
      </c>
      <c r="AO427" s="66"/>
      <c r="AP427" s="68">
        <f t="shared" si="14"/>
        <v>0</v>
      </c>
      <c r="AQ427" s="69"/>
      <c r="AR427" s="22"/>
      <c r="AS427" s="70">
        <f>'Daily Halba'!$U427-'Daily Halba'!$AP427</f>
        <v>0</v>
      </c>
      <c r="AT427" s="5"/>
      <c r="AU427" s="5"/>
      <c r="AV427" s="5"/>
    </row>
    <row r="428" spans="1:48" ht="12.75" customHeight="1" x14ac:dyDescent="0.3">
      <c r="A428" s="49"/>
      <c r="B428" s="82"/>
      <c r="C428" s="51"/>
      <c r="D428" s="52"/>
      <c r="E428" s="53"/>
      <c r="F428" s="54"/>
      <c r="G428" s="52"/>
      <c r="H428" s="53"/>
      <c r="I428" s="54"/>
      <c r="J428" s="53"/>
      <c r="K428" s="83"/>
      <c r="L428" s="57"/>
      <c r="M428" s="58"/>
      <c r="N428" s="71"/>
      <c r="O428" s="71"/>
      <c r="P428" s="71"/>
      <c r="Q428" s="71"/>
      <c r="R428" s="71"/>
      <c r="S428" s="71"/>
      <c r="T428" s="71"/>
      <c r="U428" s="61">
        <f>SUM('Daily Halba'!$E428,'Daily Halba'!$H428,$M428:$T428)</f>
        <v>0</v>
      </c>
      <c r="V428" s="22"/>
      <c r="W428" s="85"/>
      <c r="X428" s="85"/>
      <c r="Y428" s="85"/>
      <c r="Z428" s="85"/>
      <c r="AA428" s="72"/>
      <c r="AB428" s="73"/>
      <c r="AC428" s="73"/>
      <c r="AD428" s="73"/>
      <c r="AE428" s="86">
        <f t="shared" si="12"/>
        <v>0</v>
      </c>
      <c r="AF428" s="74"/>
      <c r="AG428" s="74"/>
      <c r="AH428" s="74"/>
      <c r="AI428" s="74"/>
      <c r="AJ428" s="74"/>
      <c r="AK428" s="74"/>
      <c r="AL428" s="74"/>
      <c r="AM428" s="74"/>
      <c r="AN428" s="87">
        <f t="shared" si="13"/>
        <v>0</v>
      </c>
      <c r="AO428" s="74"/>
      <c r="AP428" s="88">
        <f t="shared" si="14"/>
        <v>0</v>
      </c>
      <c r="AQ428" s="75"/>
      <c r="AR428" s="22"/>
      <c r="AS428" s="70">
        <f>'Daily Halba'!$U428-'Daily Halba'!$AP428</f>
        <v>0</v>
      </c>
      <c r="AT428" s="5"/>
      <c r="AU428" s="5"/>
      <c r="AV428" s="5"/>
    </row>
    <row r="429" spans="1:48" ht="12.75" customHeight="1" x14ac:dyDescent="0.3">
      <c r="A429" s="49"/>
      <c r="B429" s="82"/>
      <c r="C429" s="51"/>
      <c r="D429" s="52"/>
      <c r="E429" s="53"/>
      <c r="F429" s="54"/>
      <c r="G429" s="52"/>
      <c r="H429" s="53"/>
      <c r="I429" s="54"/>
      <c r="J429" s="53"/>
      <c r="K429" s="83"/>
      <c r="L429" s="57"/>
      <c r="M429" s="58"/>
      <c r="N429" s="71"/>
      <c r="O429" s="71"/>
      <c r="P429" s="71"/>
      <c r="Q429" s="71"/>
      <c r="R429" s="71"/>
      <c r="S429" s="71"/>
      <c r="T429" s="71"/>
      <c r="U429" s="61">
        <f>SUM('Daily Halba'!$E429,'Daily Halba'!$H429,$M429:$T429)</f>
        <v>0</v>
      </c>
      <c r="V429" s="22"/>
      <c r="W429" s="62"/>
      <c r="X429" s="62"/>
      <c r="Y429" s="62"/>
      <c r="Z429" s="79"/>
      <c r="AA429" s="63"/>
      <c r="AB429" s="64"/>
      <c r="AC429" s="64"/>
      <c r="AD429" s="64"/>
      <c r="AE429" s="65">
        <f t="shared" si="12"/>
        <v>0</v>
      </c>
      <c r="AF429" s="66"/>
      <c r="AG429" s="66"/>
      <c r="AH429" s="66"/>
      <c r="AI429" s="66"/>
      <c r="AJ429" s="66"/>
      <c r="AK429" s="66"/>
      <c r="AL429" s="66"/>
      <c r="AM429" s="66"/>
      <c r="AN429" s="67">
        <f t="shared" si="13"/>
        <v>0</v>
      </c>
      <c r="AO429" s="66"/>
      <c r="AP429" s="68">
        <f t="shared" si="14"/>
        <v>0</v>
      </c>
      <c r="AQ429" s="69"/>
      <c r="AR429" s="22"/>
      <c r="AS429" s="70">
        <f>'Daily Halba'!$U429-'Daily Halba'!$AP429</f>
        <v>0</v>
      </c>
      <c r="AT429" s="5"/>
      <c r="AU429" s="5"/>
      <c r="AV429" s="5"/>
    </row>
    <row r="430" spans="1:48" ht="12.75" customHeight="1" x14ac:dyDescent="0.3">
      <c r="A430" s="49"/>
      <c r="B430" s="82"/>
      <c r="C430" s="51"/>
      <c r="D430" s="52"/>
      <c r="E430" s="53"/>
      <c r="F430" s="54"/>
      <c r="G430" s="52"/>
      <c r="H430" s="53"/>
      <c r="I430" s="54"/>
      <c r="J430" s="53"/>
      <c r="K430" s="83"/>
      <c r="L430" s="57"/>
      <c r="M430" s="58"/>
      <c r="N430" s="71"/>
      <c r="O430" s="71"/>
      <c r="P430" s="71"/>
      <c r="Q430" s="71"/>
      <c r="R430" s="71"/>
      <c r="S430" s="71"/>
      <c r="T430" s="71"/>
      <c r="U430" s="61">
        <f>SUM('Daily Halba'!$E430,'Daily Halba'!$H430,$M430:$T430)</f>
        <v>0</v>
      </c>
      <c r="V430" s="22"/>
      <c r="W430" s="85"/>
      <c r="X430" s="85"/>
      <c r="Y430" s="85"/>
      <c r="Z430" s="85"/>
      <c r="AA430" s="72"/>
      <c r="AB430" s="73"/>
      <c r="AC430" s="73"/>
      <c r="AD430" s="73"/>
      <c r="AE430" s="86">
        <f t="shared" si="12"/>
        <v>0</v>
      </c>
      <c r="AF430" s="74"/>
      <c r="AG430" s="74"/>
      <c r="AH430" s="74"/>
      <c r="AI430" s="74"/>
      <c r="AJ430" s="74"/>
      <c r="AK430" s="74"/>
      <c r="AL430" s="74"/>
      <c r="AM430" s="74"/>
      <c r="AN430" s="87">
        <f t="shared" si="13"/>
        <v>0</v>
      </c>
      <c r="AO430" s="74"/>
      <c r="AP430" s="88">
        <f t="shared" si="14"/>
        <v>0</v>
      </c>
      <c r="AQ430" s="75"/>
      <c r="AR430" s="22"/>
      <c r="AS430" s="70">
        <f>'Daily Halba'!$U430-'Daily Halba'!$AP430</f>
        <v>0</v>
      </c>
      <c r="AT430" s="5"/>
      <c r="AU430" s="5"/>
      <c r="AV430" s="5"/>
    </row>
    <row r="431" spans="1:48" ht="12.75" customHeight="1" x14ac:dyDescent="0.3">
      <c r="A431" s="49"/>
      <c r="B431" s="82"/>
      <c r="C431" s="51"/>
      <c r="D431" s="52"/>
      <c r="E431" s="53"/>
      <c r="F431" s="54"/>
      <c r="G431" s="52"/>
      <c r="H431" s="53"/>
      <c r="I431" s="54"/>
      <c r="J431" s="53"/>
      <c r="K431" s="83"/>
      <c r="L431" s="57"/>
      <c r="M431" s="58"/>
      <c r="N431" s="71"/>
      <c r="O431" s="71"/>
      <c r="P431" s="71"/>
      <c r="Q431" s="71"/>
      <c r="R431" s="71"/>
      <c r="S431" s="71"/>
      <c r="T431" s="71"/>
      <c r="U431" s="61">
        <f>SUM('Daily Halba'!$E431,'Daily Halba'!$H431,$M431:$T431)</f>
        <v>0</v>
      </c>
      <c r="V431" s="22"/>
      <c r="W431" s="62"/>
      <c r="X431" s="62"/>
      <c r="Y431" s="62"/>
      <c r="Z431" s="79"/>
      <c r="AA431" s="63"/>
      <c r="AB431" s="64"/>
      <c r="AC431" s="64"/>
      <c r="AD431" s="64"/>
      <c r="AE431" s="65">
        <f t="shared" si="12"/>
        <v>0</v>
      </c>
      <c r="AF431" s="66"/>
      <c r="AG431" s="66"/>
      <c r="AH431" s="66"/>
      <c r="AI431" s="66"/>
      <c r="AJ431" s="66"/>
      <c r="AK431" s="66"/>
      <c r="AL431" s="66"/>
      <c r="AM431" s="66"/>
      <c r="AN431" s="67">
        <f t="shared" si="13"/>
        <v>0</v>
      </c>
      <c r="AO431" s="66"/>
      <c r="AP431" s="68">
        <f t="shared" si="14"/>
        <v>0</v>
      </c>
      <c r="AQ431" s="69"/>
      <c r="AR431" s="22"/>
      <c r="AS431" s="70">
        <f>'Daily Halba'!$U431-'Daily Halba'!$AP431</f>
        <v>0</v>
      </c>
      <c r="AT431" s="5"/>
      <c r="AU431" s="5"/>
      <c r="AV431" s="5"/>
    </row>
    <row r="432" spans="1:48" ht="12.75" customHeight="1" x14ac:dyDescent="0.3">
      <c r="A432" s="49"/>
      <c r="B432" s="82"/>
      <c r="C432" s="51"/>
      <c r="D432" s="52"/>
      <c r="E432" s="53"/>
      <c r="F432" s="54"/>
      <c r="G432" s="52"/>
      <c r="H432" s="53"/>
      <c r="I432" s="54"/>
      <c r="J432" s="53"/>
      <c r="K432" s="83"/>
      <c r="L432" s="57"/>
      <c r="M432" s="58"/>
      <c r="N432" s="71"/>
      <c r="O432" s="71"/>
      <c r="P432" s="71"/>
      <c r="Q432" s="71"/>
      <c r="R432" s="71"/>
      <c r="S432" s="71"/>
      <c r="T432" s="71"/>
      <c r="U432" s="61">
        <f>SUM('Daily Halba'!$E432,'Daily Halba'!$H432,$M432:$T432)</f>
        <v>0</v>
      </c>
      <c r="V432" s="22"/>
      <c r="W432" s="85"/>
      <c r="X432" s="85"/>
      <c r="Y432" s="85"/>
      <c r="Z432" s="85"/>
      <c r="AA432" s="72"/>
      <c r="AB432" s="73"/>
      <c r="AC432" s="73"/>
      <c r="AD432" s="73"/>
      <c r="AE432" s="86">
        <f t="shared" si="12"/>
        <v>0</v>
      </c>
      <c r="AF432" s="74"/>
      <c r="AG432" s="74"/>
      <c r="AH432" s="74"/>
      <c r="AI432" s="74"/>
      <c r="AJ432" s="74"/>
      <c r="AK432" s="74"/>
      <c r="AL432" s="74"/>
      <c r="AM432" s="74"/>
      <c r="AN432" s="87">
        <f t="shared" si="13"/>
        <v>0</v>
      </c>
      <c r="AO432" s="74"/>
      <c r="AP432" s="88">
        <f t="shared" si="14"/>
        <v>0</v>
      </c>
      <c r="AQ432" s="75"/>
      <c r="AR432" s="22"/>
      <c r="AS432" s="70">
        <f>'Daily Halba'!$U432-'Daily Halba'!$AP432</f>
        <v>0</v>
      </c>
      <c r="AT432" s="5"/>
      <c r="AU432" s="5"/>
      <c r="AV432" s="5"/>
    </row>
    <row r="433" spans="1:48" ht="12.75" customHeight="1" x14ac:dyDescent="0.3">
      <c r="A433" s="49"/>
      <c r="B433" s="82"/>
      <c r="C433" s="51"/>
      <c r="D433" s="52"/>
      <c r="E433" s="53"/>
      <c r="F433" s="54"/>
      <c r="G433" s="52"/>
      <c r="H433" s="53"/>
      <c r="I433" s="54"/>
      <c r="J433" s="53"/>
      <c r="K433" s="83"/>
      <c r="L433" s="57"/>
      <c r="M433" s="58"/>
      <c r="N433" s="71"/>
      <c r="O433" s="71"/>
      <c r="P433" s="71"/>
      <c r="Q433" s="71"/>
      <c r="R433" s="71"/>
      <c r="S433" s="71"/>
      <c r="T433" s="71"/>
      <c r="U433" s="61">
        <f>SUM('Daily Halba'!$E433,'Daily Halba'!$H433,$M433:$T433)</f>
        <v>0</v>
      </c>
      <c r="V433" s="22"/>
      <c r="W433" s="62"/>
      <c r="X433" s="62"/>
      <c r="Y433" s="62"/>
      <c r="Z433" s="79"/>
      <c r="AA433" s="63"/>
      <c r="AB433" s="64"/>
      <c r="AC433" s="64"/>
      <c r="AD433" s="64"/>
      <c r="AE433" s="65">
        <f t="shared" si="12"/>
        <v>0</v>
      </c>
      <c r="AF433" s="66"/>
      <c r="AG433" s="66"/>
      <c r="AH433" s="66"/>
      <c r="AI433" s="66"/>
      <c r="AJ433" s="66"/>
      <c r="AK433" s="66"/>
      <c r="AL433" s="66"/>
      <c r="AM433" s="66"/>
      <c r="AN433" s="67">
        <f t="shared" si="13"/>
        <v>0</v>
      </c>
      <c r="AO433" s="66"/>
      <c r="AP433" s="68">
        <f t="shared" si="14"/>
        <v>0</v>
      </c>
      <c r="AQ433" s="69"/>
      <c r="AR433" s="22"/>
      <c r="AS433" s="70">
        <f>'Daily Halba'!$U433-'Daily Halba'!$AP433</f>
        <v>0</v>
      </c>
      <c r="AT433" s="5"/>
      <c r="AU433" s="5"/>
      <c r="AV433" s="5"/>
    </row>
    <row r="434" spans="1:48" ht="12.75" customHeight="1" x14ac:dyDescent="0.3">
      <c r="A434" s="49"/>
      <c r="B434" s="82"/>
      <c r="C434" s="51"/>
      <c r="D434" s="52"/>
      <c r="E434" s="53"/>
      <c r="F434" s="54"/>
      <c r="G434" s="52"/>
      <c r="H434" s="53"/>
      <c r="I434" s="54"/>
      <c r="J434" s="53"/>
      <c r="K434" s="83"/>
      <c r="L434" s="57"/>
      <c r="M434" s="58"/>
      <c r="N434" s="71"/>
      <c r="O434" s="71"/>
      <c r="P434" s="71"/>
      <c r="Q434" s="71"/>
      <c r="R434" s="71"/>
      <c r="S434" s="71"/>
      <c r="T434" s="71"/>
      <c r="U434" s="61">
        <f>SUM('Daily Halba'!$E434,'Daily Halba'!$H434,$M434:$T434)</f>
        <v>0</v>
      </c>
      <c r="V434" s="22"/>
      <c r="W434" s="85"/>
      <c r="X434" s="85"/>
      <c r="Y434" s="85"/>
      <c r="Z434" s="85"/>
      <c r="AA434" s="72"/>
      <c r="AB434" s="73"/>
      <c r="AC434" s="73"/>
      <c r="AD434" s="73"/>
      <c r="AE434" s="86">
        <f t="shared" si="12"/>
        <v>0</v>
      </c>
      <c r="AF434" s="74"/>
      <c r="AG434" s="74"/>
      <c r="AH434" s="74"/>
      <c r="AI434" s="74"/>
      <c r="AJ434" s="74"/>
      <c r="AK434" s="74"/>
      <c r="AL434" s="74"/>
      <c r="AM434" s="74"/>
      <c r="AN434" s="87">
        <f t="shared" si="13"/>
        <v>0</v>
      </c>
      <c r="AO434" s="74"/>
      <c r="AP434" s="88">
        <f t="shared" si="14"/>
        <v>0</v>
      </c>
      <c r="AQ434" s="75"/>
      <c r="AR434" s="22"/>
      <c r="AS434" s="70">
        <f>'Daily Halba'!$U434-'Daily Halba'!$AP434</f>
        <v>0</v>
      </c>
      <c r="AT434" s="5"/>
      <c r="AU434" s="5"/>
      <c r="AV434" s="5"/>
    </row>
    <row r="435" spans="1:48" ht="12.75" customHeight="1" x14ac:dyDescent="0.3">
      <c r="A435" s="49"/>
      <c r="B435" s="82"/>
      <c r="C435" s="51"/>
      <c r="D435" s="52"/>
      <c r="E435" s="53"/>
      <c r="F435" s="54"/>
      <c r="G435" s="52"/>
      <c r="H435" s="53"/>
      <c r="I435" s="54"/>
      <c r="J435" s="53"/>
      <c r="K435" s="83"/>
      <c r="L435" s="57"/>
      <c r="M435" s="58"/>
      <c r="N435" s="71"/>
      <c r="O435" s="71"/>
      <c r="P435" s="71"/>
      <c r="Q435" s="71"/>
      <c r="R435" s="71"/>
      <c r="S435" s="71"/>
      <c r="T435" s="71"/>
      <c r="U435" s="61">
        <f>SUM('Daily Halba'!$E435,'Daily Halba'!$H435,$M435:$T435)</f>
        <v>0</v>
      </c>
      <c r="V435" s="22"/>
      <c r="W435" s="62"/>
      <c r="X435" s="62"/>
      <c r="Y435" s="62"/>
      <c r="Z435" s="79"/>
      <c r="AA435" s="63"/>
      <c r="AB435" s="64"/>
      <c r="AC435" s="64"/>
      <c r="AD435" s="64"/>
      <c r="AE435" s="65">
        <f t="shared" si="12"/>
        <v>0</v>
      </c>
      <c r="AF435" s="66"/>
      <c r="AG435" s="66"/>
      <c r="AH435" s="66"/>
      <c r="AI435" s="66"/>
      <c r="AJ435" s="66"/>
      <c r="AK435" s="66"/>
      <c r="AL435" s="66"/>
      <c r="AM435" s="66"/>
      <c r="AN435" s="67">
        <f t="shared" si="13"/>
        <v>0</v>
      </c>
      <c r="AO435" s="66"/>
      <c r="AP435" s="68">
        <f t="shared" si="14"/>
        <v>0</v>
      </c>
      <c r="AQ435" s="69"/>
      <c r="AR435" s="22"/>
      <c r="AS435" s="70">
        <f>'Daily Halba'!$U435-'Daily Halba'!$AP435</f>
        <v>0</v>
      </c>
      <c r="AT435" s="5"/>
      <c r="AU435" s="5"/>
      <c r="AV435" s="5"/>
    </row>
    <row r="436" spans="1:48" ht="12.75" customHeight="1" x14ac:dyDescent="0.3">
      <c r="A436" s="49"/>
      <c r="B436" s="82"/>
      <c r="C436" s="51"/>
      <c r="D436" s="52"/>
      <c r="E436" s="53"/>
      <c r="F436" s="54"/>
      <c r="G436" s="52"/>
      <c r="H436" s="53"/>
      <c r="I436" s="54"/>
      <c r="J436" s="53"/>
      <c r="K436" s="83"/>
      <c r="L436" s="57"/>
      <c r="M436" s="58"/>
      <c r="N436" s="71"/>
      <c r="O436" s="71"/>
      <c r="P436" s="71"/>
      <c r="Q436" s="71"/>
      <c r="R436" s="71"/>
      <c r="S436" s="71"/>
      <c r="T436" s="71"/>
      <c r="U436" s="61">
        <f>SUM('Daily Halba'!$E436,'Daily Halba'!$H436,$M436:$T436)</f>
        <v>0</v>
      </c>
      <c r="V436" s="22"/>
      <c r="W436" s="85"/>
      <c r="X436" s="85"/>
      <c r="Y436" s="85"/>
      <c r="Z436" s="85"/>
      <c r="AA436" s="72"/>
      <c r="AB436" s="73"/>
      <c r="AC436" s="73"/>
      <c r="AD436" s="73"/>
      <c r="AE436" s="86">
        <f t="shared" si="12"/>
        <v>0</v>
      </c>
      <c r="AF436" s="74"/>
      <c r="AG436" s="74"/>
      <c r="AH436" s="74"/>
      <c r="AI436" s="74"/>
      <c r="AJ436" s="74"/>
      <c r="AK436" s="74"/>
      <c r="AL436" s="74"/>
      <c r="AM436" s="74"/>
      <c r="AN436" s="87">
        <f t="shared" si="13"/>
        <v>0</v>
      </c>
      <c r="AO436" s="74"/>
      <c r="AP436" s="88">
        <f t="shared" si="14"/>
        <v>0</v>
      </c>
      <c r="AQ436" s="75"/>
      <c r="AR436" s="22"/>
      <c r="AS436" s="70">
        <f>'Daily Halba'!$U436-'Daily Halba'!$AP436</f>
        <v>0</v>
      </c>
      <c r="AT436" s="5"/>
      <c r="AU436" s="5"/>
      <c r="AV436" s="5"/>
    </row>
    <row r="437" spans="1:48" ht="12.75" customHeight="1" x14ac:dyDescent="0.3">
      <c r="A437" s="49"/>
      <c r="B437" s="82"/>
      <c r="C437" s="51"/>
      <c r="D437" s="52"/>
      <c r="E437" s="53"/>
      <c r="F437" s="54"/>
      <c r="G437" s="52"/>
      <c r="H437" s="53"/>
      <c r="I437" s="54"/>
      <c r="J437" s="53"/>
      <c r="K437" s="83"/>
      <c r="L437" s="57"/>
      <c r="M437" s="58"/>
      <c r="N437" s="71"/>
      <c r="O437" s="71"/>
      <c r="P437" s="71"/>
      <c r="Q437" s="71"/>
      <c r="R437" s="71"/>
      <c r="S437" s="71"/>
      <c r="T437" s="71"/>
      <c r="U437" s="61">
        <f>SUM('Daily Halba'!$E437,'Daily Halba'!$H437,$M437:$T437)</f>
        <v>0</v>
      </c>
      <c r="V437" s="22"/>
      <c r="W437" s="62"/>
      <c r="X437" s="62"/>
      <c r="Y437" s="62"/>
      <c r="Z437" s="79"/>
      <c r="AA437" s="63"/>
      <c r="AB437" s="64"/>
      <c r="AC437" s="64"/>
      <c r="AD437" s="64"/>
      <c r="AE437" s="65">
        <f t="shared" si="12"/>
        <v>0</v>
      </c>
      <c r="AF437" s="66"/>
      <c r="AG437" s="66"/>
      <c r="AH437" s="66"/>
      <c r="AI437" s="66"/>
      <c r="AJ437" s="66"/>
      <c r="AK437" s="66"/>
      <c r="AL437" s="66"/>
      <c r="AM437" s="66"/>
      <c r="AN437" s="67">
        <f t="shared" si="13"/>
        <v>0</v>
      </c>
      <c r="AO437" s="66"/>
      <c r="AP437" s="68">
        <f t="shared" si="14"/>
        <v>0</v>
      </c>
      <c r="AQ437" s="69"/>
      <c r="AR437" s="22"/>
      <c r="AS437" s="70">
        <f>'Daily Halba'!$U437-'Daily Halba'!$AP437</f>
        <v>0</v>
      </c>
      <c r="AT437" s="5"/>
      <c r="AU437" s="5"/>
      <c r="AV437" s="5"/>
    </row>
    <row r="438" spans="1:48" ht="12.75" customHeight="1" x14ac:dyDescent="0.3">
      <c r="A438" s="49"/>
      <c r="B438" s="82"/>
      <c r="C438" s="51"/>
      <c r="D438" s="52"/>
      <c r="E438" s="53"/>
      <c r="F438" s="54"/>
      <c r="G438" s="52"/>
      <c r="H438" s="53"/>
      <c r="I438" s="54"/>
      <c r="J438" s="53"/>
      <c r="K438" s="83"/>
      <c r="L438" s="57"/>
      <c r="M438" s="58"/>
      <c r="N438" s="71"/>
      <c r="O438" s="71"/>
      <c r="P438" s="71"/>
      <c r="Q438" s="71"/>
      <c r="R438" s="71"/>
      <c r="S438" s="71"/>
      <c r="T438" s="71"/>
      <c r="U438" s="61">
        <f>SUM('Daily Halba'!$E438,'Daily Halba'!$H438,$M438:$T438)</f>
        <v>0</v>
      </c>
      <c r="V438" s="22"/>
      <c r="W438" s="85"/>
      <c r="X438" s="85"/>
      <c r="Y438" s="85"/>
      <c r="Z438" s="85"/>
      <c r="AA438" s="72"/>
      <c r="AB438" s="73"/>
      <c r="AC438" s="73"/>
      <c r="AD438" s="73"/>
      <c r="AE438" s="86">
        <f t="shared" si="12"/>
        <v>0</v>
      </c>
      <c r="AF438" s="74"/>
      <c r="AG438" s="74"/>
      <c r="AH438" s="74"/>
      <c r="AI438" s="74"/>
      <c r="AJ438" s="74"/>
      <c r="AK438" s="74"/>
      <c r="AL438" s="74"/>
      <c r="AM438" s="74"/>
      <c r="AN438" s="87">
        <f t="shared" si="13"/>
        <v>0</v>
      </c>
      <c r="AO438" s="74"/>
      <c r="AP438" s="88">
        <f t="shared" si="14"/>
        <v>0</v>
      </c>
      <c r="AQ438" s="75"/>
      <c r="AR438" s="22"/>
      <c r="AS438" s="70">
        <f>'Daily Halba'!$U438-'Daily Halba'!$AP438</f>
        <v>0</v>
      </c>
      <c r="AT438" s="5"/>
      <c r="AU438" s="5"/>
      <c r="AV438" s="5"/>
    </row>
    <row r="439" spans="1:48" ht="12.75" customHeight="1" x14ac:dyDescent="0.3">
      <c r="A439" s="49"/>
      <c r="B439" s="82"/>
      <c r="C439" s="51"/>
      <c r="D439" s="52"/>
      <c r="E439" s="53"/>
      <c r="F439" s="54"/>
      <c r="G439" s="52"/>
      <c r="H439" s="53"/>
      <c r="I439" s="54"/>
      <c r="J439" s="53"/>
      <c r="K439" s="83"/>
      <c r="L439" s="57"/>
      <c r="M439" s="58"/>
      <c r="N439" s="71"/>
      <c r="O439" s="71"/>
      <c r="P439" s="71"/>
      <c r="Q439" s="71"/>
      <c r="R439" s="71"/>
      <c r="S439" s="71"/>
      <c r="T439" s="71"/>
      <c r="U439" s="61">
        <f>SUM('Daily Halba'!$E439,'Daily Halba'!$H439,$M439:$T439)</f>
        <v>0</v>
      </c>
      <c r="V439" s="22"/>
      <c r="W439" s="62"/>
      <c r="X439" s="62"/>
      <c r="Y439" s="62"/>
      <c r="Z439" s="79"/>
      <c r="AA439" s="63"/>
      <c r="AB439" s="64"/>
      <c r="AC439" s="64"/>
      <c r="AD439" s="64"/>
      <c r="AE439" s="65">
        <f t="shared" si="12"/>
        <v>0</v>
      </c>
      <c r="AF439" s="66"/>
      <c r="AG439" s="66"/>
      <c r="AH439" s="66"/>
      <c r="AI439" s="66"/>
      <c r="AJ439" s="66"/>
      <c r="AK439" s="66"/>
      <c r="AL439" s="66"/>
      <c r="AM439" s="66"/>
      <c r="AN439" s="67">
        <f t="shared" si="13"/>
        <v>0</v>
      </c>
      <c r="AO439" s="66"/>
      <c r="AP439" s="68">
        <f t="shared" si="14"/>
        <v>0</v>
      </c>
      <c r="AQ439" s="69"/>
      <c r="AR439" s="22"/>
      <c r="AS439" s="70">
        <f>'Daily Halba'!$U439-'Daily Halba'!$AP439</f>
        <v>0</v>
      </c>
      <c r="AT439" s="5"/>
      <c r="AU439" s="5"/>
      <c r="AV439" s="5"/>
    </row>
    <row r="440" spans="1:48" ht="12.75" customHeight="1" x14ac:dyDescent="0.3">
      <c r="A440" s="49"/>
      <c r="B440" s="82"/>
      <c r="C440" s="51"/>
      <c r="D440" s="52"/>
      <c r="E440" s="53"/>
      <c r="F440" s="54"/>
      <c r="G440" s="52"/>
      <c r="H440" s="53"/>
      <c r="I440" s="54"/>
      <c r="J440" s="53"/>
      <c r="K440" s="83"/>
      <c r="L440" s="57"/>
      <c r="M440" s="58"/>
      <c r="N440" s="71"/>
      <c r="O440" s="71"/>
      <c r="P440" s="71"/>
      <c r="Q440" s="71"/>
      <c r="R440" s="71"/>
      <c r="S440" s="71"/>
      <c r="T440" s="71"/>
      <c r="U440" s="61">
        <f>SUM('Daily Halba'!$E440,'Daily Halba'!$H440,$M440:$T440)</f>
        <v>0</v>
      </c>
      <c r="V440" s="22"/>
      <c r="W440" s="85"/>
      <c r="X440" s="85"/>
      <c r="Y440" s="85"/>
      <c r="Z440" s="85"/>
      <c r="AA440" s="72"/>
      <c r="AB440" s="73"/>
      <c r="AC440" s="73"/>
      <c r="AD440" s="73"/>
      <c r="AE440" s="86">
        <f t="shared" si="12"/>
        <v>0</v>
      </c>
      <c r="AF440" s="74"/>
      <c r="AG440" s="74"/>
      <c r="AH440" s="74"/>
      <c r="AI440" s="74"/>
      <c r="AJ440" s="74"/>
      <c r="AK440" s="74"/>
      <c r="AL440" s="74"/>
      <c r="AM440" s="74"/>
      <c r="AN440" s="87">
        <f t="shared" si="13"/>
        <v>0</v>
      </c>
      <c r="AO440" s="74"/>
      <c r="AP440" s="88">
        <f t="shared" si="14"/>
        <v>0</v>
      </c>
      <c r="AQ440" s="75"/>
      <c r="AR440" s="22"/>
      <c r="AS440" s="70">
        <f>'Daily Halba'!$U440-'Daily Halba'!$AP440</f>
        <v>0</v>
      </c>
      <c r="AT440" s="5"/>
      <c r="AU440" s="5"/>
      <c r="AV440" s="5"/>
    </row>
    <row r="441" spans="1:48" ht="12.75" customHeight="1" x14ac:dyDescent="0.3">
      <c r="A441" s="49"/>
      <c r="B441" s="82"/>
      <c r="C441" s="51"/>
      <c r="D441" s="52"/>
      <c r="E441" s="53"/>
      <c r="F441" s="54"/>
      <c r="G441" s="52"/>
      <c r="H441" s="53"/>
      <c r="I441" s="54"/>
      <c r="J441" s="53"/>
      <c r="K441" s="83"/>
      <c r="L441" s="57"/>
      <c r="M441" s="58"/>
      <c r="N441" s="71"/>
      <c r="O441" s="71"/>
      <c r="P441" s="71"/>
      <c r="Q441" s="71"/>
      <c r="R441" s="71"/>
      <c r="S441" s="71"/>
      <c r="T441" s="71"/>
      <c r="U441" s="61">
        <f>SUM('Daily Halba'!$E441,'Daily Halba'!$H441,$M441:$T441)</f>
        <v>0</v>
      </c>
      <c r="V441" s="22"/>
      <c r="W441" s="62"/>
      <c r="X441" s="62"/>
      <c r="Y441" s="62"/>
      <c r="Z441" s="79"/>
      <c r="AA441" s="63"/>
      <c r="AB441" s="64"/>
      <c r="AC441" s="64"/>
      <c r="AD441" s="64"/>
      <c r="AE441" s="65">
        <f t="shared" si="12"/>
        <v>0</v>
      </c>
      <c r="AF441" s="66"/>
      <c r="AG441" s="66"/>
      <c r="AH441" s="66"/>
      <c r="AI441" s="66"/>
      <c r="AJ441" s="66"/>
      <c r="AK441" s="66"/>
      <c r="AL441" s="66"/>
      <c r="AM441" s="66"/>
      <c r="AN441" s="67">
        <f t="shared" si="13"/>
        <v>0</v>
      </c>
      <c r="AO441" s="66"/>
      <c r="AP441" s="68">
        <f t="shared" si="14"/>
        <v>0</v>
      </c>
      <c r="AQ441" s="69"/>
      <c r="AR441" s="22"/>
      <c r="AS441" s="70">
        <f>'Daily Halba'!$U441-'Daily Halba'!$AP441</f>
        <v>0</v>
      </c>
      <c r="AT441" s="5"/>
      <c r="AU441" s="5"/>
      <c r="AV441" s="5"/>
    </row>
    <row r="442" spans="1:48" ht="12.75" customHeight="1" x14ac:dyDescent="0.3">
      <c r="A442" s="49"/>
      <c r="B442" s="82"/>
      <c r="C442" s="51"/>
      <c r="D442" s="52"/>
      <c r="E442" s="53"/>
      <c r="F442" s="54"/>
      <c r="G442" s="52"/>
      <c r="H442" s="53"/>
      <c r="I442" s="54"/>
      <c r="J442" s="53"/>
      <c r="K442" s="83"/>
      <c r="L442" s="57"/>
      <c r="M442" s="58"/>
      <c r="N442" s="71"/>
      <c r="O442" s="71"/>
      <c r="P442" s="71"/>
      <c r="Q442" s="71"/>
      <c r="R442" s="71"/>
      <c r="S442" s="71"/>
      <c r="T442" s="71"/>
      <c r="U442" s="61">
        <f>SUM('Daily Halba'!$E442,'Daily Halba'!$H442,$M442:$T442)</f>
        <v>0</v>
      </c>
      <c r="V442" s="22"/>
      <c r="W442" s="85"/>
      <c r="X442" s="85"/>
      <c r="Y442" s="85"/>
      <c r="Z442" s="85"/>
      <c r="AA442" s="72"/>
      <c r="AB442" s="73"/>
      <c r="AC442" s="73"/>
      <c r="AD442" s="73"/>
      <c r="AE442" s="86">
        <f t="shared" si="12"/>
        <v>0</v>
      </c>
      <c r="AF442" s="74"/>
      <c r="AG442" s="74"/>
      <c r="AH442" s="74"/>
      <c r="AI442" s="74"/>
      <c r="AJ442" s="74"/>
      <c r="AK442" s="74"/>
      <c r="AL442" s="74"/>
      <c r="AM442" s="74"/>
      <c r="AN442" s="87">
        <f t="shared" si="13"/>
        <v>0</v>
      </c>
      <c r="AO442" s="74"/>
      <c r="AP442" s="88">
        <f t="shared" si="14"/>
        <v>0</v>
      </c>
      <c r="AQ442" s="75"/>
      <c r="AR442" s="22"/>
      <c r="AS442" s="70">
        <f>'Daily Halba'!$U442-'Daily Halba'!$AP442</f>
        <v>0</v>
      </c>
      <c r="AT442" s="5"/>
      <c r="AU442" s="5"/>
      <c r="AV442" s="5"/>
    </row>
    <row r="443" spans="1:48" ht="12.75" customHeight="1" x14ac:dyDescent="0.3">
      <c r="A443" s="49"/>
      <c r="B443" s="82"/>
      <c r="C443" s="51"/>
      <c r="D443" s="52"/>
      <c r="E443" s="53"/>
      <c r="F443" s="54"/>
      <c r="G443" s="52"/>
      <c r="H443" s="53"/>
      <c r="I443" s="54"/>
      <c r="J443" s="53"/>
      <c r="K443" s="83"/>
      <c r="L443" s="57"/>
      <c r="M443" s="58"/>
      <c r="N443" s="71"/>
      <c r="O443" s="71"/>
      <c r="P443" s="71"/>
      <c r="Q443" s="71"/>
      <c r="R443" s="71"/>
      <c r="S443" s="71"/>
      <c r="T443" s="71"/>
      <c r="U443" s="61">
        <f>SUM('Daily Halba'!$E443,'Daily Halba'!$H443,$M443:$T443)</f>
        <v>0</v>
      </c>
      <c r="V443" s="22"/>
      <c r="W443" s="62"/>
      <c r="X443" s="62"/>
      <c r="Y443" s="62"/>
      <c r="Z443" s="79"/>
      <c r="AA443" s="63"/>
      <c r="AB443" s="64"/>
      <c r="AC443" s="64"/>
      <c r="AD443" s="64"/>
      <c r="AE443" s="65">
        <f t="shared" si="12"/>
        <v>0</v>
      </c>
      <c r="AF443" s="66"/>
      <c r="AG443" s="66"/>
      <c r="AH443" s="66"/>
      <c r="AI443" s="66"/>
      <c r="AJ443" s="66"/>
      <c r="AK443" s="66"/>
      <c r="AL443" s="66"/>
      <c r="AM443" s="66"/>
      <c r="AN443" s="67">
        <f t="shared" si="13"/>
        <v>0</v>
      </c>
      <c r="AO443" s="66"/>
      <c r="AP443" s="68">
        <f t="shared" si="14"/>
        <v>0</v>
      </c>
      <c r="AQ443" s="69"/>
      <c r="AR443" s="22"/>
      <c r="AS443" s="70">
        <f>'Daily Halba'!$U443-'Daily Halba'!$AP443</f>
        <v>0</v>
      </c>
      <c r="AT443" s="5"/>
      <c r="AU443" s="5"/>
      <c r="AV443" s="5"/>
    </row>
    <row r="444" spans="1:48" ht="12.75" customHeight="1" x14ac:dyDescent="0.3">
      <c r="A444" s="49"/>
      <c r="B444" s="82"/>
      <c r="C444" s="51"/>
      <c r="D444" s="52"/>
      <c r="E444" s="53"/>
      <c r="F444" s="54"/>
      <c r="G444" s="52"/>
      <c r="H444" s="53"/>
      <c r="I444" s="54"/>
      <c r="J444" s="53"/>
      <c r="K444" s="83"/>
      <c r="L444" s="57"/>
      <c r="M444" s="58"/>
      <c r="N444" s="71"/>
      <c r="O444" s="71"/>
      <c r="P444" s="71"/>
      <c r="Q444" s="71"/>
      <c r="R444" s="71"/>
      <c r="S444" s="71"/>
      <c r="T444" s="71"/>
      <c r="U444" s="61">
        <f>SUM('Daily Halba'!$E444,'Daily Halba'!$H444,$M444:$T444)</f>
        <v>0</v>
      </c>
      <c r="V444" s="22"/>
      <c r="W444" s="85"/>
      <c r="X444" s="85"/>
      <c r="Y444" s="85"/>
      <c r="Z444" s="85"/>
      <c r="AA444" s="72"/>
      <c r="AB444" s="73"/>
      <c r="AC444" s="73"/>
      <c r="AD444" s="73"/>
      <c r="AE444" s="86">
        <f t="shared" si="12"/>
        <v>0</v>
      </c>
      <c r="AF444" s="74"/>
      <c r="AG444" s="74"/>
      <c r="AH444" s="74"/>
      <c r="AI444" s="74"/>
      <c r="AJ444" s="74"/>
      <c r="AK444" s="74"/>
      <c r="AL444" s="74"/>
      <c r="AM444" s="74"/>
      <c r="AN444" s="87">
        <f t="shared" si="13"/>
        <v>0</v>
      </c>
      <c r="AO444" s="74"/>
      <c r="AP444" s="88">
        <f t="shared" si="14"/>
        <v>0</v>
      </c>
      <c r="AQ444" s="75"/>
      <c r="AR444" s="22"/>
      <c r="AS444" s="70">
        <f>'Daily Halba'!$U444-'Daily Halba'!$AP444</f>
        <v>0</v>
      </c>
      <c r="AT444" s="5"/>
      <c r="AU444" s="5"/>
      <c r="AV444" s="5"/>
    </row>
    <row r="445" spans="1:48" ht="12.75" customHeight="1" x14ac:dyDescent="0.3">
      <c r="A445" s="49"/>
      <c r="B445" s="82"/>
      <c r="C445" s="51"/>
      <c r="D445" s="52"/>
      <c r="E445" s="53"/>
      <c r="F445" s="54"/>
      <c r="G445" s="52"/>
      <c r="H445" s="53"/>
      <c r="I445" s="54"/>
      <c r="J445" s="53"/>
      <c r="K445" s="83"/>
      <c r="L445" s="57"/>
      <c r="M445" s="58"/>
      <c r="N445" s="71"/>
      <c r="O445" s="71"/>
      <c r="P445" s="71"/>
      <c r="Q445" s="71"/>
      <c r="R445" s="71"/>
      <c r="S445" s="71"/>
      <c r="T445" s="71"/>
      <c r="U445" s="61">
        <f>SUM('Daily Halba'!$E445,'Daily Halba'!$H445,$M445:$T445)</f>
        <v>0</v>
      </c>
      <c r="V445" s="22"/>
      <c r="W445" s="62"/>
      <c r="X445" s="62"/>
      <c r="Y445" s="62"/>
      <c r="Z445" s="79"/>
      <c r="AA445" s="63"/>
      <c r="AB445" s="64"/>
      <c r="AC445" s="64"/>
      <c r="AD445" s="64"/>
      <c r="AE445" s="65">
        <f t="shared" si="12"/>
        <v>0</v>
      </c>
      <c r="AF445" s="66"/>
      <c r="AG445" s="66"/>
      <c r="AH445" s="66"/>
      <c r="AI445" s="66"/>
      <c r="AJ445" s="66"/>
      <c r="AK445" s="66"/>
      <c r="AL445" s="66"/>
      <c r="AM445" s="66"/>
      <c r="AN445" s="67">
        <f t="shared" si="13"/>
        <v>0</v>
      </c>
      <c r="AO445" s="66"/>
      <c r="AP445" s="68">
        <f t="shared" si="14"/>
        <v>0</v>
      </c>
      <c r="AQ445" s="69"/>
      <c r="AR445" s="22"/>
      <c r="AS445" s="70">
        <f>'Daily Halba'!$U445-'Daily Halba'!$AP445</f>
        <v>0</v>
      </c>
      <c r="AT445" s="5"/>
      <c r="AU445" s="5"/>
      <c r="AV445" s="5"/>
    </row>
    <row r="446" spans="1:48" ht="12.75" customHeight="1" x14ac:dyDescent="0.3">
      <c r="A446" s="49"/>
      <c r="B446" s="82"/>
      <c r="C446" s="51"/>
      <c r="D446" s="52"/>
      <c r="E446" s="53"/>
      <c r="F446" s="54"/>
      <c r="G446" s="52"/>
      <c r="H446" s="53"/>
      <c r="I446" s="54"/>
      <c r="J446" s="53"/>
      <c r="K446" s="83"/>
      <c r="L446" s="57"/>
      <c r="M446" s="58"/>
      <c r="N446" s="71"/>
      <c r="O446" s="71"/>
      <c r="P446" s="71"/>
      <c r="Q446" s="71"/>
      <c r="R446" s="71"/>
      <c r="S446" s="71"/>
      <c r="T446" s="71"/>
      <c r="U446" s="61">
        <f>SUM('Daily Halba'!$E446,'Daily Halba'!$H446,$M446:$T446)</f>
        <v>0</v>
      </c>
      <c r="V446" s="22"/>
      <c r="W446" s="85"/>
      <c r="X446" s="85"/>
      <c r="Y446" s="85"/>
      <c r="Z446" s="85"/>
      <c r="AA446" s="72"/>
      <c r="AB446" s="73"/>
      <c r="AC446" s="73"/>
      <c r="AD446" s="73"/>
      <c r="AE446" s="86">
        <f t="shared" si="12"/>
        <v>0</v>
      </c>
      <c r="AF446" s="74"/>
      <c r="AG446" s="74"/>
      <c r="AH446" s="74"/>
      <c r="AI446" s="74"/>
      <c r="AJ446" s="74"/>
      <c r="AK446" s="74"/>
      <c r="AL446" s="74"/>
      <c r="AM446" s="74"/>
      <c r="AN446" s="87">
        <f t="shared" si="13"/>
        <v>0</v>
      </c>
      <c r="AO446" s="74"/>
      <c r="AP446" s="88">
        <f t="shared" si="14"/>
        <v>0</v>
      </c>
      <c r="AQ446" s="75"/>
      <c r="AR446" s="22"/>
      <c r="AS446" s="70">
        <f>'Daily Halba'!$U446-'Daily Halba'!$AP446</f>
        <v>0</v>
      </c>
      <c r="AT446" s="5"/>
      <c r="AU446" s="5"/>
      <c r="AV446" s="5"/>
    </row>
    <row r="447" spans="1:48" ht="12.75" customHeight="1" x14ac:dyDescent="0.3">
      <c r="A447" s="49"/>
      <c r="B447" s="82"/>
      <c r="C447" s="51"/>
      <c r="D447" s="52"/>
      <c r="E447" s="53"/>
      <c r="F447" s="54"/>
      <c r="G447" s="52"/>
      <c r="H447" s="53"/>
      <c r="I447" s="54"/>
      <c r="J447" s="53"/>
      <c r="K447" s="83"/>
      <c r="L447" s="57"/>
      <c r="M447" s="58"/>
      <c r="N447" s="71"/>
      <c r="O447" s="71"/>
      <c r="P447" s="71"/>
      <c r="Q447" s="71"/>
      <c r="R447" s="71"/>
      <c r="S447" s="71"/>
      <c r="T447" s="71"/>
      <c r="U447" s="61">
        <f>SUM('Daily Halba'!$E447,'Daily Halba'!$H447,$M447:$T447)</f>
        <v>0</v>
      </c>
      <c r="V447" s="22"/>
      <c r="W447" s="62"/>
      <c r="X447" s="62"/>
      <c r="Y447" s="62"/>
      <c r="Z447" s="79"/>
      <c r="AA447" s="63"/>
      <c r="AB447" s="64"/>
      <c r="AC447" s="64"/>
      <c r="AD447" s="64"/>
      <c r="AE447" s="65">
        <f t="shared" si="12"/>
        <v>0</v>
      </c>
      <c r="AF447" s="66"/>
      <c r="AG447" s="66"/>
      <c r="AH447" s="66"/>
      <c r="AI447" s="66"/>
      <c r="AJ447" s="66"/>
      <c r="AK447" s="66"/>
      <c r="AL447" s="66"/>
      <c r="AM447" s="66"/>
      <c r="AN447" s="67">
        <f t="shared" si="13"/>
        <v>0</v>
      </c>
      <c r="AO447" s="66"/>
      <c r="AP447" s="68">
        <f t="shared" si="14"/>
        <v>0</v>
      </c>
      <c r="AQ447" s="69"/>
      <c r="AR447" s="22"/>
      <c r="AS447" s="70">
        <f>'Daily Halba'!$U447-'Daily Halba'!$AP447</f>
        <v>0</v>
      </c>
      <c r="AT447" s="5"/>
      <c r="AU447" s="5"/>
      <c r="AV447" s="5"/>
    </row>
    <row r="448" spans="1:48" ht="12.75" customHeight="1" x14ac:dyDescent="0.3">
      <c r="A448" s="49"/>
      <c r="B448" s="82"/>
      <c r="C448" s="51"/>
      <c r="D448" s="52"/>
      <c r="E448" s="53"/>
      <c r="F448" s="54"/>
      <c r="G448" s="52"/>
      <c r="H448" s="53"/>
      <c r="I448" s="54"/>
      <c r="J448" s="53"/>
      <c r="K448" s="83"/>
      <c r="L448" s="57"/>
      <c r="M448" s="58"/>
      <c r="N448" s="71"/>
      <c r="O448" s="71"/>
      <c r="P448" s="71"/>
      <c r="Q448" s="71"/>
      <c r="R448" s="71"/>
      <c r="S448" s="71"/>
      <c r="T448" s="71"/>
      <c r="U448" s="61">
        <f>SUM('Daily Halba'!$E448,'Daily Halba'!$H448,$M448:$T448)</f>
        <v>0</v>
      </c>
      <c r="V448" s="22"/>
      <c r="W448" s="85"/>
      <c r="X448" s="85"/>
      <c r="Y448" s="85"/>
      <c r="Z448" s="85"/>
      <c r="AA448" s="72"/>
      <c r="AB448" s="73"/>
      <c r="AC448" s="73"/>
      <c r="AD448" s="73"/>
      <c r="AE448" s="86">
        <f t="shared" si="12"/>
        <v>0</v>
      </c>
      <c r="AF448" s="74"/>
      <c r="AG448" s="74"/>
      <c r="AH448" s="74"/>
      <c r="AI448" s="74"/>
      <c r="AJ448" s="74"/>
      <c r="AK448" s="74"/>
      <c r="AL448" s="74"/>
      <c r="AM448" s="74"/>
      <c r="AN448" s="87">
        <f t="shared" si="13"/>
        <v>0</v>
      </c>
      <c r="AO448" s="74"/>
      <c r="AP448" s="88">
        <f t="shared" si="14"/>
        <v>0</v>
      </c>
      <c r="AQ448" s="75"/>
      <c r="AR448" s="22"/>
      <c r="AS448" s="70">
        <f>'Daily Halba'!$U448-'Daily Halba'!$AP448</f>
        <v>0</v>
      </c>
      <c r="AT448" s="5"/>
      <c r="AU448" s="5"/>
      <c r="AV448" s="5"/>
    </row>
    <row r="449" spans="1:48" ht="12.75" customHeight="1" x14ac:dyDescent="0.3">
      <c r="A449" s="49"/>
      <c r="B449" s="82"/>
      <c r="C449" s="51"/>
      <c r="D449" s="52"/>
      <c r="E449" s="53"/>
      <c r="F449" s="54"/>
      <c r="G449" s="52"/>
      <c r="H449" s="53"/>
      <c r="I449" s="54"/>
      <c r="J449" s="53"/>
      <c r="K449" s="83"/>
      <c r="L449" s="57"/>
      <c r="M449" s="58"/>
      <c r="N449" s="71"/>
      <c r="O449" s="71"/>
      <c r="P449" s="71"/>
      <c r="Q449" s="71"/>
      <c r="R449" s="71"/>
      <c r="S449" s="71"/>
      <c r="T449" s="71"/>
      <c r="U449" s="61">
        <f>SUM('Daily Halba'!$E449,'Daily Halba'!$H449,$M449:$T449)</f>
        <v>0</v>
      </c>
      <c r="V449" s="22"/>
      <c r="W449" s="62"/>
      <c r="X449" s="62"/>
      <c r="Y449" s="62"/>
      <c r="Z449" s="79"/>
      <c r="AA449" s="63"/>
      <c r="AB449" s="64"/>
      <c r="AC449" s="64"/>
      <c r="AD449" s="64"/>
      <c r="AE449" s="65">
        <f t="shared" si="12"/>
        <v>0</v>
      </c>
      <c r="AF449" s="66"/>
      <c r="AG449" s="66"/>
      <c r="AH449" s="66"/>
      <c r="AI449" s="66"/>
      <c r="AJ449" s="66"/>
      <c r="AK449" s="66"/>
      <c r="AL449" s="66"/>
      <c r="AM449" s="66"/>
      <c r="AN449" s="67">
        <f t="shared" si="13"/>
        <v>0</v>
      </c>
      <c r="AO449" s="66"/>
      <c r="AP449" s="68">
        <f t="shared" si="14"/>
        <v>0</v>
      </c>
      <c r="AQ449" s="69"/>
      <c r="AR449" s="22"/>
      <c r="AS449" s="70">
        <f>'Daily Halba'!$U449-'Daily Halba'!$AP449</f>
        <v>0</v>
      </c>
      <c r="AT449" s="5"/>
      <c r="AU449" s="5"/>
      <c r="AV449" s="5"/>
    </row>
    <row r="450" spans="1:48" ht="12.75" customHeight="1" x14ac:dyDescent="0.3">
      <c r="A450" s="49"/>
      <c r="B450" s="82"/>
      <c r="C450" s="51"/>
      <c r="D450" s="52"/>
      <c r="E450" s="53"/>
      <c r="F450" s="54"/>
      <c r="G450" s="52"/>
      <c r="H450" s="53"/>
      <c r="I450" s="54"/>
      <c r="J450" s="53"/>
      <c r="K450" s="83"/>
      <c r="L450" s="57"/>
      <c r="M450" s="58"/>
      <c r="N450" s="71"/>
      <c r="O450" s="71"/>
      <c r="P450" s="71"/>
      <c r="Q450" s="71"/>
      <c r="R450" s="71"/>
      <c r="S450" s="71"/>
      <c r="T450" s="71"/>
      <c r="U450" s="61">
        <f>SUM('Daily Halba'!$E450,'Daily Halba'!$H450,$M450:$T450)</f>
        <v>0</v>
      </c>
      <c r="V450" s="22"/>
      <c r="W450" s="85"/>
      <c r="X450" s="85"/>
      <c r="Y450" s="85"/>
      <c r="Z450" s="85"/>
      <c r="AA450" s="72"/>
      <c r="AB450" s="73"/>
      <c r="AC450" s="73"/>
      <c r="AD450" s="73"/>
      <c r="AE450" s="86">
        <f t="shared" si="12"/>
        <v>0</v>
      </c>
      <c r="AF450" s="74"/>
      <c r="AG450" s="74"/>
      <c r="AH450" s="74"/>
      <c r="AI450" s="74"/>
      <c r="AJ450" s="74"/>
      <c r="AK450" s="74"/>
      <c r="AL450" s="74"/>
      <c r="AM450" s="74"/>
      <c r="AN450" s="87">
        <f t="shared" si="13"/>
        <v>0</v>
      </c>
      <c r="AO450" s="74"/>
      <c r="AP450" s="88">
        <f t="shared" si="14"/>
        <v>0</v>
      </c>
      <c r="AQ450" s="75"/>
      <c r="AR450" s="22"/>
      <c r="AS450" s="70">
        <f>'Daily Halba'!$U450-'Daily Halba'!$AP450</f>
        <v>0</v>
      </c>
      <c r="AT450" s="5"/>
      <c r="AU450" s="5"/>
      <c r="AV450" s="5"/>
    </row>
    <row r="451" spans="1:48" ht="12.75" customHeight="1" x14ac:dyDescent="0.3">
      <c r="A451" s="49"/>
      <c r="B451" s="82"/>
      <c r="C451" s="51"/>
      <c r="D451" s="52"/>
      <c r="E451" s="53"/>
      <c r="F451" s="54"/>
      <c r="G451" s="52"/>
      <c r="H451" s="53"/>
      <c r="I451" s="54"/>
      <c r="J451" s="53"/>
      <c r="K451" s="83"/>
      <c r="L451" s="57"/>
      <c r="M451" s="58"/>
      <c r="N451" s="71"/>
      <c r="O451" s="71"/>
      <c r="P451" s="71"/>
      <c r="Q451" s="71"/>
      <c r="R451" s="71"/>
      <c r="S451" s="71"/>
      <c r="T451" s="71"/>
      <c r="U451" s="61">
        <f>SUM('Daily Halba'!$E451,'Daily Halba'!$H451,$M451:$T451)</f>
        <v>0</v>
      </c>
      <c r="V451" s="22"/>
      <c r="W451" s="62"/>
      <c r="X451" s="62"/>
      <c r="Y451" s="62"/>
      <c r="Z451" s="79"/>
      <c r="AA451" s="63"/>
      <c r="AB451" s="64"/>
      <c r="AC451" s="64"/>
      <c r="AD451" s="64"/>
      <c r="AE451" s="65">
        <f t="shared" si="12"/>
        <v>0</v>
      </c>
      <c r="AF451" s="66"/>
      <c r="AG451" s="66"/>
      <c r="AH451" s="66"/>
      <c r="AI451" s="66"/>
      <c r="AJ451" s="66"/>
      <c r="AK451" s="66"/>
      <c r="AL451" s="66"/>
      <c r="AM451" s="66"/>
      <c r="AN451" s="67">
        <f t="shared" si="13"/>
        <v>0</v>
      </c>
      <c r="AO451" s="66"/>
      <c r="AP451" s="68">
        <f t="shared" si="14"/>
        <v>0</v>
      </c>
      <c r="AQ451" s="69"/>
      <c r="AR451" s="22"/>
      <c r="AS451" s="70">
        <f>'Daily Halba'!$U451-'Daily Halba'!$AP451</f>
        <v>0</v>
      </c>
      <c r="AT451" s="5"/>
      <c r="AU451" s="5"/>
      <c r="AV451" s="5"/>
    </row>
    <row r="452" spans="1:48" ht="12.75" customHeight="1" x14ac:dyDescent="0.3">
      <c r="A452" s="49"/>
      <c r="B452" s="82"/>
      <c r="C452" s="51"/>
      <c r="D452" s="52"/>
      <c r="E452" s="53"/>
      <c r="F452" s="54"/>
      <c r="G452" s="52"/>
      <c r="H452" s="53"/>
      <c r="I452" s="54"/>
      <c r="J452" s="53"/>
      <c r="K452" s="83"/>
      <c r="L452" s="57"/>
      <c r="M452" s="58"/>
      <c r="N452" s="71"/>
      <c r="O452" s="71"/>
      <c r="P452" s="71"/>
      <c r="Q452" s="71"/>
      <c r="R452" s="71"/>
      <c r="S452" s="71"/>
      <c r="T452" s="71"/>
      <c r="U452" s="61">
        <f>SUM('Daily Halba'!$E452,'Daily Halba'!$H452,$M452:$T452)</f>
        <v>0</v>
      </c>
      <c r="V452" s="22"/>
      <c r="W452" s="85"/>
      <c r="X452" s="85"/>
      <c r="Y452" s="85"/>
      <c r="Z452" s="85"/>
      <c r="AA452" s="72"/>
      <c r="AB452" s="73"/>
      <c r="AC452" s="73"/>
      <c r="AD452" s="73"/>
      <c r="AE452" s="86">
        <f t="shared" si="12"/>
        <v>0</v>
      </c>
      <c r="AF452" s="74"/>
      <c r="AG452" s="74"/>
      <c r="AH452" s="74"/>
      <c r="AI452" s="74"/>
      <c r="AJ452" s="74"/>
      <c r="AK452" s="74"/>
      <c r="AL452" s="74"/>
      <c r="AM452" s="74"/>
      <c r="AN452" s="87">
        <f t="shared" si="13"/>
        <v>0</v>
      </c>
      <c r="AO452" s="74"/>
      <c r="AP452" s="88">
        <f t="shared" si="14"/>
        <v>0</v>
      </c>
      <c r="AQ452" s="75"/>
      <c r="AR452" s="22"/>
      <c r="AS452" s="70">
        <f>'Daily Halba'!$U452-'Daily Halba'!$AP452</f>
        <v>0</v>
      </c>
      <c r="AT452" s="5"/>
      <c r="AU452" s="5"/>
      <c r="AV452" s="5"/>
    </row>
    <row r="453" spans="1:48" ht="12.75" customHeight="1" x14ac:dyDescent="0.3">
      <c r="A453" s="49"/>
      <c r="B453" s="82"/>
      <c r="C453" s="51"/>
      <c r="D453" s="52"/>
      <c r="E453" s="53"/>
      <c r="F453" s="54"/>
      <c r="G453" s="52"/>
      <c r="H453" s="53"/>
      <c r="I453" s="54"/>
      <c r="J453" s="53"/>
      <c r="K453" s="83"/>
      <c r="L453" s="57"/>
      <c r="M453" s="58"/>
      <c r="N453" s="71"/>
      <c r="O453" s="71"/>
      <c r="P453" s="71"/>
      <c r="Q453" s="71"/>
      <c r="R453" s="71"/>
      <c r="S453" s="71"/>
      <c r="T453" s="71"/>
      <c r="U453" s="61">
        <f>SUM('Daily Halba'!$E453,'Daily Halba'!$H453,$M453:$T453)</f>
        <v>0</v>
      </c>
      <c r="V453" s="22"/>
      <c r="W453" s="62"/>
      <c r="X453" s="62"/>
      <c r="Y453" s="62"/>
      <c r="Z453" s="79"/>
      <c r="AA453" s="63"/>
      <c r="AB453" s="64"/>
      <c r="AC453" s="64"/>
      <c r="AD453" s="64"/>
      <c r="AE453" s="65">
        <f t="shared" si="12"/>
        <v>0</v>
      </c>
      <c r="AF453" s="66"/>
      <c r="AG453" s="66"/>
      <c r="AH453" s="66"/>
      <c r="AI453" s="66"/>
      <c r="AJ453" s="66"/>
      <c r="AK453" s="66"/>
      <c r="AL453" s="66"/>
      <c r="AM453" s="66"/>
      <c r="AN453" s="67">
        <f t="shared" si="13"/>
        <v>0</v>
      </c>
      <c r="AO453" s="66"/>
      <c r="AP453" s="68">
        <f t="shared" si="14"/>
        <v>0</v>
      </c>
      <c r="AQ453" s="69"/>
      <c r="AR453" s="22"/>
      <c r="AS453" s="70">
        <f>'Daily Halba'!$U453-'Daily Halba'!$AP453</f>
        <v>0</v>
      </c>
      <c r="AT453" s="5"/>
      <c r="AU453" s="5"/>
      <c r="AV453" s="5"/>
    </row>
    <row r="454" spans="1:48" ht="12.75" customHeight="1" x14ac:dyDescent="0.3">
      <c r="A454" s="49"/>
      <c r="B454" s="82"/>
      <c r="C454" s="51"/>
      <c r="D454" s="52"/>
      <c r="E454" s="53"/>
      <c r="F454" s="54"/>
      <c r="G454" s="52"/>
      <c r="H454" s="53"/>
      <c r="I454" s="54"/>
      <c r="J454" s="53"/>
      <c r="K454" s="83"/>
      <c r="L454" s="57"/>
      <c r="M454" s="58"/>
      <c r="N454" s="71"/>
      <c r="O454" s="71"/>
      <c r="P454" s="71"/>
      <c r="Q454" s="71"/>
      <c r="R454" s="71"/>
      <c r="S454" s="71"/>
      <c r="T454" s="71"/>
      <c r="U454" s="61">
        <f>SUM('Daily Halba'!$E454,'Daily Halba'!$H454,$M454:$T454)</f>
        <v>0</v>
      </c>
      <c r="V454" s="22"/>
      <c r="W454" s="85"/>
      <c r="X454" s="85"/>
      <c r="Y454" s="85"/>
      <c r="Z454" s="85"/>
      <c r="AA454" s="72"/>
      <c r="AB454" s="73"/>
      <c r="AC454" s="73"/>
      <c r="AD454" s="73"/>
      <c r="AE454" s="86">
        <f t="shared" si="12"/>
        <v>0</v>
      </c>
      <c r="AF454" s="74"/>
      <c r="AG454" s="74"/>
      <c r="AH454" s="74"/>
      <c r="AI454" s="74"/>
      <c r="AJ454" s="74"/>
      <c r="AK454" s="74"/>
      <c r="AL454" s="74"/>
      <c r="AM454" s="74"/>
      <c r="AN454" s="87">
        <f t="shared" si="13"/>
        <v>0</v>
      </c>
      <c r="AO454" s="74"/>
      <c r="AP454" s="88">
        <f t="shared" si="14"/>
        <v>0</v>
      </c>
      <c r="AQ454" s="75"/>
      <c r="AR454" s="22"/>
      <c r="AS454" s="70">
        <f>'Daily Halba'!$U454-'Daily Halba'!$AP454</f>
        <v>0</v>
      </c>
      <c r="AT454" s="5"/>
      <c r="AU454" s="5"/>
      <c r="AV454" s="5"/>
    </row>
    <row r="455" spans="1:48" ht="12.75" customHeight="1" x14ac:dyDescent="0.3">
      <c r="A455" s="49"/>
      <c r="B455" s="82"/>
      <c r="C455" s="51"/>
      <c r="D455" s="52"/>
      <c r="E455" s="53"/>
      <c r="F455" s="54"/>
      <c r="G455" s="52"/>
      <c r="H455" s="53"/>
      <c r="I455" s="54"/>
      <c r="J455" s="53"/>
      <c r="K455" s="83"/>
      <c r="L455" s="57"/>
      <c r="M455" s="58"/>
      <c r="N455" s="71"/>
      <c r="O455" s="71"/>
      <c r="P455" s="71"/>
      <c r="Q455" s="71"/>
      <c r="R455" s="71"/>
      <c r="S455" s="71"/>
      <c r="T455" s="71"/>
      <c r="U455" s="61">
        <f>SUM('Daily Halba'!$E455,'Daily Halba'!$H455,$M455:$T455)</f>
        <v>0</v>
      </c>
      <c r="V455" s="22"/>
      <c r="W455" s="62"/>
      <c r="X455" s="62"/>
      <c r="Y455" s="62"/>
      <c r="Z455" s="79"/>
      <c r="AA455" s="63"/>
      <c r="AB455" s="64"/>
      <c r="AC455" s="64"/>
      <c r="AD455" s="64"/>
      <c r="AE455" s="65">
        <f t="shared" si="12"/>
        <v>0</v>
      </c>
      <c r="AF455" s="66"/>
      <c r="AG455" s="66"/>
      <c r="AH455" s="66"/>
      <c r="AI455" s="66"/>
      <c r="AJ455" s="66"/>
      <c r="AK455" s="66"/>
      <c r="AL455" s="66"/>
      <c r="AM455" s="66"/>
      <c r="AN455" s="67">
        <f t="shared" si="13"/>
        <v>0</v>
      </c>
      <c r="AO455" s="66"/>
      <c r="AP455" s="68">
        <f t="shared" si="14"/>
        <v>0</v>
      </c>
      <c r="AQ455" s="69"/>
      <c r="AR455" s="22"/>
      <c r="AS455" s="70">
        <f>'Daily Halba'!$U455-'Daily Halba'!$AP455</f>
        <v>0</v>
      </c>
      <c r="AT455" s="5"/>
      <c r="AU455" s="5"/>
      <c r="AV455" s="5"/>
    </row>
    <row r="456" spans="1:48" ht="12.75" customHeight="1" x14ac:dyDescent="0.3">
      <c r="A456" s="49"/>
      <c r="B456" s="82"/>
      <c r="C456" s="51"/>
      <c r="D456" s="52"/>
      <c r="E456" s="53"/>
      <c r="F456" s="54"/>
      <c r="G456" s="52"/>
      <c r="H456" s="53"/>
      <c r="I456" s="54"/>
      <c r="J456" s="53"/>
      <c r="K456" s="83"/>
      <c r="L456" s="57"/>
      <c r="M456" s="58"/>
      <c r="N456" s="71"/>
      <c r="O456" s="71"/>
      <c r="P456" s="71"/>
      <c r="Q456" s="71"/>
      <c r="R456" s="71"/>
      <c r="S456" s="71"/>
      <c r="T456" s="71"/>
      <c r="U456" s="61">
        <f>SUM('Daily Halba'!$E456,'Daily Halba'!$H456,$M456:$T456)</f>
        <v>0</v>
      </c>
      <c r="V456" s="22"/>
      <c r="W456" s="85"/>
      <c r="X456" s="85"/>
      <c r="Y456" s="85"/>
      <c r="Z456" s="85"/>
      <c r="AA456" s="72"/>
      <c r="AB456" s="73"/>
      <c r="AC456" s="73"/>
      <c r="AD456" s="73"/>
      <c r="AE456" s="86">
        <f t="shared" si="12"/>
        <v>0</v>
      </c>
      <c r="AF456" s="74"/>
      <c r="AG456" s="74"/>
      <c r="AH456" s="74"/>
      <c r="AI456" s="74"/>
      <c r="AJ456" s="74"/>
      <c r="AK456" s="74"/>
      <c r="AL456" s="74"/>
      <c r="AM456" s="74"/>
      <c r="AN456" s="87">
        <f t="shared" si="13"/>
        <v>0</v>
      </c>
      <c r="AO456" s="74"/>
      <c r="AP456" s="88">
        <f t="shared" si="14"/>
        <v>0</v>
      </c>
      <c r="AQ456" s="75"/>
      <c r="AR456" s="22"/>
      <c r="AS456" s="70">
        <f>'Daily Halba'!$U456-'Daily Halba'!$AP456</f>
        <v>0</v>
      </c>
      <c r="AT456" s="5"/>
      <c r="AU456" s="5"/>
      <c r="AV456" s="5"/>
    </row>
    <row r="457" spans="1:48" ht="12.75" customHeight="1" x14ac:dyDescent="0.3">
      <c r="A457" s="49"/>
      <c r="B457" s="82"/>
      <c r="C457" s="51"/>
      <c r="D457" s="52"/>
      <c r="E457" s="53"/>
      <c r="F457" s="54"/>
      <c r="G457" s="52"/>
      <c r="H457" s="53"/>
      <c r="I457" s="54"/>
      <c r="J457" s="53"/>
      <c r="K457" s="83"/>
      <c r="L457" s="57"/>
      <c r="M457" s="58"/>
      <c r="N457" s="71"/>
      <c r="O457" s="71"/>
      <c r="P457" s="71"/>
      <c r="Q457" s="71"/>
      <c r="R457" s="71"/>
      <c r="S457" s="71"/>
      <c r="T457" s="71"/>
      <c r="U457" s="61">
        <f>SUM('Daily Halba'!$E457,'Daily Halba'!$H457,$M457:$T457)</f>
        <v>0</v>
      </c>
      <c r="V457" s="22"/>
      <c r="W457" s="62"/>
      <c r="X457" s="62"/>
      <c r="Y457" s="62"/>
      <c r="Z457" s="79"/>
      <c r="AA457" s="63"/>
      <c r="AB457" s="64"/>
      <c r="AC457" s="64"/>
      <c r="AD457" s="64"/>
      <c r="AE457" s="65">
        <f t="shared" si="12"/>
        <v>0</v>
      </c>
      <c r="AF457" s="66"/>
      <c r="AG457" s="66"/>
      <c r="AH457" s="66"/>
      <c r="AI457" s="66"/>
      <c r="AJ457" s="66"/>
      <c r="AK457" s="66"/>
      <c r="AL457" s="66"/>
      <c r="AM457" s="66"/>
      <c r="AN457" s="67">
        <f t="shared" si="13"/>
        <v>0</v>
      </c>
      <c r="AO457" s="66"/>
      <c r="AP457" s="68">
        <f t="shared" si="14"/>
        <v>0</v>
      </c>
      <c r="AQ457" s="69"/>
      <c r="AR457" s="22"/>
      <c r="AS457" s="70">
        <f>'Daily Halba'!$U457-'Daily Halba'!$AP457</f>
        <v>0</v>
      </c>
      <c r="AT457" s="5"/>
      <c r="AU457" s="5"/>
      <c r="AV457" s="5"/>
    </row>
    <row r="458" spans="1:48" ht="12.75" customHeight="1" x14ac:dyDescent="0.3">
      <c r="A458" s="49"/>
      <c r="B458" s="82"/>
      <c r="C458" s="51"/>
      <c r="D458" s="52"/>
      <c r="E458" s="53"/>
      <c r="F458" s="54"/>
      <c r="G458" s="52"/>
      <c r="H458" s="53"/>
      <c r="I458" s="54"/>
      <c r="J458" s="53"/>
      <c r="K458" s="83"/>
      <c r="L458" s="57"/>
      <c r="M458" s="58"/>
      <c r="N458" s="71"/>
      <c r="O458" s="71"/>
      <c r="P458" s="71"/>
      <c r="Q458" s="71"/>
      <c r="R458" s="71"/>
      <c r="S458" s="71"/>
      <c r="T458" s="71"/>
      <c r="U458" s="61">
        <f>SUM('Daily Halba'!$E458,'Daily Halba'!$H458,$M458:$T458)</f>
        <v>0</v>
      </c>
      <c r="V458" s="22"/>
      <c r="W458" s="85"/>
      <c r="X458" s="85"/>
      <c r="Y458" s="85"/>
      <c r="Z458" s="85"/>
      <c r="AA458" s="72"/>
      <c r="AB458" s="73"/>
      <c r="AC458" s="73"/>
      <c r="AD458" s="73"/>
      <c r="AE458" s="86">
        <f t="shared" si="12"/>
        <v>0</v>
      </c>
      <c r="AF458" s="74"/>
      <c r="AG458" s="74"/>
      <c r="AH458" s="74"/>
      <c r="AI458" s="74"/>
      <c r="AJ458" s="74"/>
      <c r="AK458" s="74"/>
      <c r="AL458" s="74"/>
      <c r="AM458" s="74"/>
      <c r="AN458" s="87">
        <f t="shared" si="13"/>
        <v>0</v>
      </c>
      <c r="AO458" s="74"/>
      <c r="AP458" s="88">
        <f t="shared" si="14"/>
        <v>0</v>
      </c>
      <c r="AQ458" s="75"/>
      <c r="AR458" s="22"/>
      <c r="AS458" s="70">
        <f>'Daily Halba'!$U458-'Daily Halba'!$AP458</f>
        <v>0</v>
      </c>
      <c r="AT458" s="5"/>
      <c r="AU458" s="5"/>
      <c r="AV458" s="5"/>
    </row>
    <row r="459" spans="1:48" ht="12.75" customHeight="1" x14ac:dyDescent="0.3">
      <c r="A459" s="49"/>
      <c r="B459" s="82"/>
      <c r="C459" s="51"/>
      <c r="D459" s="52"/>
      <c r="E459" s="53"/>
      <c r="F459" s="54"/>
      <c r="G459" s="52"/>
      <c r="H459" s="53"/>
      <c r="I459" s="54"/>
      <c r="J459" s="53"/>
      <c r="K459" s="83"/>
      <c r="L459" s="57"/>
      <c r="M459" s="58"/>
      <c r="N459" s="71"/>
      <c r="O459" s="71"/>
      <c r="P459" s="71"/>
      <c r="Q459" s="71"/>
      <c r="R459" s="71"/>
      <c r="S459" s="71"/>
      <c r="T459" s="71"/>
      <c r="U459" s="61">
        <f>SUM('Daily Halba'!$E459,'Daily Halba'!$H459,$M459:$T459)</f>
        <v>0</v>
      </c>
      <c r="V459" s="22"/>
      <c r="W459" s="62"/>
      <c r="X459" s="62"/>
      <c r="Y459" s="62"/>
      <c r="Z459" s="79"/>
      <c r="AA459" s="63"/>
      <c r="AB459" s="64"/>
      <c r="AC459" s="64"/>
      <c r="AD459" s="64"/>
      <c r="AE459" s="65">
        <f t="shared" si="12"/>
        <v>0</v>
      </c>
      <c r="AF459" s="66"/>
      <c r="AG459" s="66"/>
      <c r="AH459" s="66"/>
      <c r="AI459" s="66"/>
      <c r="AJ459" s="66"/>
      <c r="AK459" s="66"/>
      <c r="AL459" s="66"/>
      <c r="AM459" s="66"/>
      <c r="AN459" s="67">
        <f t="shared" si="13"/>
        <v>0</v>
      </c>
      <c r="AO459" s="66"/>
      <c r="AP459" s="68">
        <f t="shared" si="14"/>
        <v>0</v>
      </c>
      <c r="AQ459" s="69"/>
      <c r="AR459" s="22"/>
      <c r="AS459" s="70">
        <f>'Daily Halba'!$U459-'Daily Halba'!$AP459</f>
        <v>0</v>
      </c>
      <c r="AT459" s="5"/>
      <c r="AU459" s="5"/>
      <c r="AV459" s="5"/>
    </row>
    <row r="460" spans="1:48" ht="12.75" customHeight="1" x14ac:dyDescent="0.3">
      <c r="A460" s="49"/>
      <c r="B460" s="82"/>
      <c r="C460" s="51"/>
      <c r="D460" s="52"/>
      <c r="E460" s="53"/>
      <c r="F460" s="54"/>
      <c r="G460" s="52"/>
      <c r="H460" s="53"/>
      <c r="I460" s="54"/>
      <c r="J460" s="53"/>
      <c r="K460" s="83"/>
      <c r="L460" s="57"/>
      <c r="M460" s="58"/>
      <c r="N460" s="71"/>
      <c r="O460" s="71"/>
      <c r="P460" s="71"/>
      <c r="Q460" s="71"/>
      <c r="R460" s="71"/>
      <c r="S460" s="71"/>
      <c r="T460" s="71"/>
      <c r="U460" s="61">
        <f>SUM('Daily Halba'!$E460,'Daily Halba'!$H460,$M460:$T460)</f>
        <v>0</v>
      </c>
      <c r="V460" s="22"/>
      <c r="W460" s="85"/>
      <c r="X460" s="85"/>
      <c r="Y460" s="85"/>
      <c r="Z460" s="85"/>
      <c r="AA460" s="72"/>
      <c r="AB460" s="73"/>
      <c r="AC460" s="73"/>
      <c r="AD460" s="73"/>
      <c r="AE460" s="86">
        <f t="shared" si="12"/>
        <v>0</v>
      </c>
      <c r="AF460" s="74"/>
      <c r="AG460" s="74"/>
      <c r="AH460" s="74"/>
      <c r="AI460" s="74"/>
      <c r="AJ460" s="74"/>
      <c r="AK460" s="74"/>
      <c r="AL460" s="74"/>
      <c r="AM460" s="74"/>
      <c r="AN460" s="87">
        <f t="shared" si="13"/>
        <v>0</v>
      </c>
      <c r="AO460" s="74"/>
      <c r="AP460" s="88">
        <f t="shared" si="14"/>
        <v>0</v>
      </c>
      <c r="AQ460" s="75"/>
      <c r="AR460" s="22"/>
      <c r="AS460" s="70">
        <f>'Daily Halba'!$U460-'Daily Halba'!$AP460</f>
        <v>0</v>
      </c>
      <c r="AT460" s="5"/>
      <c r="AU460" s="5"/>
      <c r="AV460" s="5"/>
    </row>
    <row r="461" spans="1:48" ht="12.75" customHeight="1" x14ac:dyDescent="0.3">
      <c r="A461" s="49"/>
      <c r="B461" s="82"/>
      <c r="C461" s="51"/>
      <c r="D461" s="52"/>
      <c r="E461" s="53"/>
      <c r="F461" s="54"/>
      <c r="G461" s="52"/>
      <c r="H461" s="53"/>
      <c r="I461" s="54"/>
      <c r="J461" s="53"/>
      <c r="K461" s="83"/>
      <c r="L461" s="57"/>
      <c r="M461" s="58"/>
      <c r="N461" s="71"/>
      <c r="O461" s="71"/>
      <c r="P461" s="71"/>
      <c r="Q461" s="71"/>
      <c r="R461" s="71"/>
      <c r="S461" s="71"/>
      <c r="T461" s="71"/>
      <c r="U461" s="61">
        <f>SUM('Daily Halba'!$E461,'Daily Halba'!$H461,$M461:$T461)</f>
        <v>0</v>
      </c>
      <c r="V461" s="22"/>
      <c r="W461" s="62"/>
      <c r="X461" s="62"/>
      <c r="Y461" s="62"/>
      <c r="Z461" s="79"/>
      <c r="AA461" s="63"/>
      <c r="AB461" s="64"/>
      <c r="AC461" s="64"/>
      <c r="AD461" s="64"/>
      <c r="AE461" s="65">
        <f t="shared" si="12"/>
        <v>0</v>
      </c>
      <c r="AF461" s="66"/>
      <c r="AG461" s="66"/>
      <c r="AH461" s="66"/>
      <c r="AI461" s="66"/>
      <c r="AJ461" s="66"/>
      <c r="AK461" s="66"/>
      <c r="AL461" s="66"/>
      <c r="AM461" s="66"/>
      <c r="AN461" s="67">
        <f t="shared" si="13"/>
        <v>0</v>
      </c>
      <c r="AO461" s="66"/>
      <c r="AP461" s="68">
        <f t="shared" si="14"/>
        <v>0</v>
      </c>
      <c r="AQ461" s="69"/>
      <c r="AR461" s="22"/>
      <c r="AS461" s="70">
        <f>'Daily Halba'!$U461-'Daily Halba'!$AP461</f>
        <v>0</v>
      </c>
      <c r="AT461" s="5"/>
      <c r="AU461" s="5"/>
      <c r="AV461" s="5"/>
    </row>
    <row r="462" spans="1:48" ht="12.75" customHeight="1" x14ac:dyDescent="0.3">
      <c r="A462" s="49"/>
      <c r="B462" s="82"/>
      <c r="C462" s="51"/>
      <c r="D462" s="52"/>
      <c r="E462" s="53"/>
      <c r="F462" s="54"/>
      <c r="G462" s="52"/>
      <c r="H462" s="53"/>
      <c r="I462" s="54"/>
      <c r="J462" s="53"/>
      <c r="K462" s="83"/>
      <c r="L462" s="57"/>
      <c r="M462" s="58"/>
      <c r="N462" s="71"/>
      <c r="O462" s="71"/>
      <c r="P462" s="71"/>
      <c r="Q462" s="71"/>
      <c r="R462" s="71"/>
      <c r="S462" s="71"/>
      <c r="T462" s="71"/>
      <c r="U462" s="61">
        <f>SUM('Daily Halba'!$E462,'Daily Halba'!$H462,$M462:$T462)</f>
        <v>0</v>
      </c>
      <c r="V462" s="22"/>
      <c r="W462" s="85"/>
      <c r="X462" s="85"/>
      <c r="Y462" s="85"/>
      <c r="Z462" s="85"/>
      <c r="AA462" s="72"/>
      <c r="AB462" s="73"/>
      <c r="AC462" s="73"/>
      <c r="AD462" s="73"/>
      <c r="AE462" s="86">
        <f t="shared" si="12"/>
        <v>0</v>
      </c>
      <c r="AF462" s="74"/>
      <c r="AG462" s="74"/>
      <c r="AH462" s="74"/>
      <c r="AI462" s="74"/>
      <c r="AJ462" s="74"/>
      <c r="AK462" s="74"/>
      <c r="AL462" s="74"/>
      <c r="AM462" s="74"/>
      <c r="AN462" s="87">
        <f t="shared" si="13"/>
        <v>0</v>
      </c>
      <c r="AO462" s="74"/>
      <c r="AP462" s="88">
        <f t="shared" si="14"/>
        <v>0</v>
      </c>
      <c r="AQ462" s="75"/>
      <c r="AR462" s="22"/>
      <c r="AS462" s="70">
        <f>'Daily Halba'!$U462-'Daily Halba'!$AP462</f>
        <v>0</v>
      </c>
      <c r="AT462" s="5"/>
      <c r="AU462" s="5"/>
      <c r="AV462" s="5"/>
    </row>
    <row r="463" spans="1:48" ht="12.75" customHeight="1" x14ac:dyDescent="0.3">
      <c r="A463" s="49"/>
      <c r="B463" s="82"/>
      <c r="C463" s="51"/>
      <c r="D463" s="52"/>
      <c r="E463" s="53"/>
      <c r="F463" s="54"/>
      <c r="G463" s="52"/>
      <c r="H463" s="53"/>
      <c r="I463" s="54"/>
      <c r="J463" s="53"/>
      <c r="K463" s="83"/>
      <c r="L463" s="57"/>
      <c r="M463" s="58"/>
      <c r="N463" s="71"/>
      <c r="O463" s="71"/>
      <c r="P463" s="71"/>
      <c r="Q463" s="71"/>
      <c r="R463" s="71"/>
      <c r="S463" s="71"/>
      <c r="T463" s="71"/>
      <c r="U463" s="61">
        <f>SUM('Daily Halba'!$E463,'Daily Halba'!$H463,$M463:$T463)</f>
        <v>0</v>
      </c>
      <c r="V463" s="22"/>
      <c r="W463" s="62"/>
      <c r="X463" s="62"/>
      <c r="Y463" s="62"/>
      <c r="Z463" s="79"/>
      <c r="AA463" s="63"/>
      <c r="AB463" s="64"/>
      <c r="AC463" s="64"/>
      <c r="AD463" s="64"/>
      <c r="AE463" s="65">
        <f t="shared" si="12"/>
        <v>0</v>
      </c>
      <c r="AF463" s="66"/>
      <c r="AG463" s="66"/>
      <c r="AH463" s="66"/>
      <c r="AI463" s="66"/>
      <c r="AJ463" s="66"/>
      <c r="AK463" s="66"/>
      <c r="AL463" s="66"/>
      <c r="AM463" s="66"/>
      <c r="AN463" s="67">
        <f t="shared" si="13"/>
        <v>0</v>
      </c>
      <c r="AO463" s="66"/>
      <c r="AP463" s="68">
        <f t="shared" si="14"/>
        <v>0</v>
      </c>
      <c r="AQ463" s="69"/>
      <c r="AR463" s="22"/>
      <c r="AS463" s="70">
        <f>'Daily Halba'!$U463-'Daily Halba'!$AP463</f>
        <v>0</v>
      </c>
      <c r="AT463" s="5"/>
      <c r="AU463" s="5"/>
      <c r="AV463" s="5"/>
    </row>
    <row r="464" spans="1:48" ht="12.75" customHeight="1" x14ac:dyDescent="0.3">
      <c r="A464" s="49"/>
      <c r="B464" s="82"/>
      <c r="C464" s="51"/>
      <c r="D464" s="52"/>
      <c r="E464" s="53"/>
      <c r="F464" s="54"/>
      <c r="G464" s="52"/>
      <c r="H464" s="53"/>
      <c r="I464" s="54"/>
      <c r="J464" s="53"/>
      <c r="K464" s="83"/>
      <c r="L464" s="57"/>
      <c r="M464" s="58"/>
      <c r="N464" s="71"/>
      <c r="O464" s="71"/>
      <c r="P464" s="71"/>
      <c r="Q464" s="71"/>
      <c r="R464" s="71"/>
      <c r="S464" s="71"/>
      <c r="T464" s="71"/>
      <c r="U464" s="61">
        <f>SUM('Daily Halba'!$E464,'Daily Halba'!$H464,$M464:$T464)</f>
        <v>0</v>
      </c>
      <c r="V464" s="22"/>
      <c r="W464" s="85"/>
      <c r="X464" s="85"/>
      <c r="Y464" s="85"/>
      <c r="Z464" s="85"/>
      <c r="AA464" s="72"/>
      <c r="AB464" s="73"/>
      <c r="AC464" s="73"/>
      <c r="AD464" s="73"/>
      <c r="AE464" s="86">
        <f t="shared" si="12"/>
        <v>0</v>
      </c>
      <c r="AF464" s="74"/>
      <c r="AG464" s="74"/>
      <c r="AH464" s="74"/>
      <c r="AI464" s="74"/>
      <c r="AJ464" s="74"/>
      <c r="AK464" s="74"/>
      <c r="AL464" s="74"/>
      <c r="AM464" s="74"/>
      <c r="AN464" s="87">
        <f t="shared" si="13"/>
        <v>0</v>
      </c>
      <c r="AO464" s="74"/>
      <c r="AP464" s="88">
        <f t="shared" si="14"/>
        <v>0</v>
      </c>
      <c r="AQ464" s="75"/>
      <c r="AR464" s="22"/>
      <c r="AS464" s="70">
        <f>'Daily Halba'!$U464-'Daily Halba'!$AP464</f>
        <v>0</v>
      </c>
      <c r="AT464" s="5"/>
      <c r="AU464" s="5"/>
      <c r="AV464" s="5"/>
    </row>
    <row r="465" spans="1:48" ht="12.75" customHeight="1" x14ac:dyDescent="0.3">
      <c r="A465" s="49"/>
      <c r="B465" s="82"/>
      <c r="C465" s="51"/>
      <c r="D465" s="52"/>
      <c r="E465" s="53"/>
      <c r="F465" s="54"/>
      <c r="G465" s="52"/>
      <c r="H465" s="53"/>
      <c r="I465" s="54"/>
      <c r="J465" s="53"/>
      <c r="K465" s="83"/>
      <c r="L465" s="57"/>
      <c r="M465" s="58"/>
      <c r="N465" s="71"/>
      <c r="O465" s="71"/>
      <c r="P465" s="71"/>
      <c r="Q465" s="71"/>
      <c r="R465" s="71"/>
      <c r="S465" s="71"/>
      <c r="T465" s="71"/>
      <c r="U465" s="61">
        <f>SUM('Daily Halba'!$E465,'Daily Halba'!$H465,$M465:$T465)</f>
        <v>0</v>
      </c>
      <c r="V465" s="22"/>
      <c r="W465" s="62"/>
      <c r="X465" s="62"/>
      <c r="Y465" s="62"/>
      <c r="Z465" s="79"/>
      <c r="AA465" s="63"/>
      <c r="AB465" s="64"/>
      <c r="AC465" s="64"/>
      <c r="AD465" s="64"/>
      <c r="AE465" s="65">
        <f t="shared" ref="AE465:AE524" si="15">SUM(AA465:AD465)</f>
        <v>0</v>
      </c>
      <c r="AF465" s="66"/>
      <c r="AG465" s="66"/>
      <c r="AH465" s="66"/>
      <c r="AI465" s="66"/>
      <c r="AJ465" s="66"/>
      <c r="AK465" s="66"/>
      <c r="AL465" s="66"/>
      <c r="AM465" s="66"/>
      <c r="AN465" s="67">
        <f t="shared" ref="AN465:AN524" si="16">SUM(AF465:AM465)</f>
        <v>0</v>
      </c>
      <c r="AO465" s="66"/>
      <c r="AP465" s="68">
        <f t="shared" ref="AP465:AP524" si="17">SUM(W465:Z465,AE465,AN465,AO465)</f>
        <v>0</v>
      </c>
      <c r="AQ465" s="69"/>
      <c r="AR465" s="22"/>
      <c r="AS465" s="70">
        <f>'Daily Halba'!$U465-'Daily Halba'!$AP465</f>
        <v>0</v>
      </c>
      <c r="AT465" s="5"/>
      <c r="AU465" s="5"/>
      <c r="AV465" s="5"/>
    </row>
    <row r="466" spans="1:48" ht="12.75" customHeight="1" x14ac:dyDescent="0.3">
      <c r="A466" s="49"/>
      <c r="B466" s="82"/>
      <c r="C466" s="51"/>
      <c r="D466" s="52"/>
      <c r="E466" s="53"/>
      <c r="F466" s="54"/>
      <c r="G466" s="52"/>
      <c r="H466" s="53"/>
      <c r="I466" s="54"/>
      <c r="J466" s="53"/>
      <c r="K466" s="83"/>
      <c r="L466" s="57"/>
      <c r="M466" s="58"/>
      <c r="N466" s="71"/>
      <c r="O466" s="71"/>
      <c r="P466" s="71"/>
      <c r="Q466" s="71"/>
      <c r="R466" s="71"/>
      <c r="S466" s="71"/>
      <c r="T466" s="71"/>
      <c r="U466" s="61">
        <f>SUM('Daily Halba'!$E466,'Daily Halba'!$H466,$M466:$T466)</f>
        <v>0</v>
      </c>
      <c r="V466" s="22"/>
      <c r="W466" s="85"/>
      <c r="X466" s="85"/>
      <c r="Y466" s="85"/>
      <c r="Z466" s="85"/>
      <c r="AA466" s="72"/>
      <c r="AB466" s="73"/>
      <c r="AC466" s="73"/>
      <c r="AD466" s="73"/>
      <c r="AE466" s="86">
        <f t="shared" si="15"/>
        <v>0</v>
      </c>
      <c r="AF466" s="74"/>
      <c r="AG466" s="74"/>
      <c r="AH466" s="74"/>
      <c r="AI466" s="74"/>
      <c r="AJ466" s="74"/>
      <c r="AK466" s="74"/>
      <c r="AL466" s="74"/>
      <c r="AM466" s="74"/>
      <c r="AN466" s="87">
        <f t="shared" si="16"/>
        <v>0</v>
      </c>
      <c r="AO466" s="74"/>
      <c r="AP466" s="88">
        <f t="shared" si="17"/>
        <v>0</v>
      </c>
      <c r="AQ466" s="75"/>
      <c r="AR466" s="22"/>
      <c r="AS466" s="70">
        <f>'Daily Halba'!$U466-'Daily Halba'!$AP466</f>
        <v>0</v>
      </c>
      <c r="AT466" s="5"/>
      <c r="AU466" s="5"/>
      <c r="AV466" s="5"/>
    </row>
    <row r="467" spans="1:48" ht="12.75" customHeight="1" x14ac:dyDescent="0.3">
      <c r="A467" s="49"/>
      <c r="B467" s="82"/>
      <c r="C467" s="51"/>
      <c r="D467" s="52"/>
      <c r="E467" s="53"/>
      <c r="F467" s="54"/>
      <c r="G467" s="52"/>
      <c r="H467" s="53"/>
      <c r="I467" s="54"/>
      <c r="J467" s="53"/>
      <c r="K467" s="83"/>
      <c r="L467" s="57"/>
      <c r="M467" s="58"/>
      <c r="N467" s="71"/>
      <c r="O467" s="71"/>
      <c r="P467" s="71"/>
      <c r="Q467" s="71"/>
      <c r="R467" s="71"/>
      <c r="S467" s="71"/>
      <c r="T467" s="71"/>
      <c r="U467" s="61">
        <f>SUM('Daily Halba'!$E467,'Daily Halba'!$H467,$M467:$T467)</f>
        <v>0</v>
      </c>
      <c r="V467" s="22"/>
      <c r="W467" s="62"/>
      <c r="X467" s="62"/>
      <c r="Y467" s="62"/>
      <c r="Z467" s="79"/>
      <c r="AA467" s="63"/>
      <c r="AB467" s="64"/>
      <c r="AC467" s="64"/>
      <c r="AD467" s="64"/>
      <c r="AE467" s="65">
        <f t="shared" si="15"/>
        <v>0</v>
      </c>
      <c r="AF467" s="66"/>
      <c r="AG467" s="66"/>
      <c r="AH467" s="66"/>
      <c r="AI467" s="66"/>
      <c r="AJ467" s="66"/>
      <c r="AK467" s="66"/>
      <c r="AL467" s="66"/>
      <c r="AM467" s="66"/>
      <c r="AN467" s="67">
        <f t="shared" si="16"/>
        <v>0</v>
      </c>
      <c r="AO467" s="66"/>
      <c r="AP467" s="68">
        <f t="shared" si="17"/>
        <v>0</v>
      </c>
      <c r="AQ467" s="69"/>
      <c r="AR467" s="22"/>
      <c r="AS467" s="70">
        <f>'Daily Halba'!$U467-'Daily Halba'!$AP467</f>
        <v>0</v>
      </c>
      <c r="AT467" s="5"/>
      <c r="AU467" s="5"/>
      <c r="AV467" s="5"/>
    </row>
    <row r="468" spans="1:48" ht="12.75" customHeight="1" x14ac:dyDescent="0.3">
      <c r="A468" s="49"/>
      <c r="B468" s="82"/>
      <c r="C468" s="51"/>
      <c r="D468" s="52"/>
      <c r="E468" s="53"/>
      <c r="F468" s="54"/>
      <c r="G468" s="52"/>
      <c r="H468" s="53"/>
      <c r="I468" s="54"/>
      <c r="J468" s="53"/>
      <c r="K468" s="83"/>
      <c r="L468" s="57"/>
      <c r="M468" s="58"/>
      <c r="N468" s="71"/>
      <c r="O468" s="71"/>
      <c r="P468" s="71"/>
      <c r="Q468" s="71"/>
      <c r="R468" s="71"/>
      <c r="S468" s="71"/>
      <c r="T468" s="71"/>
      <c r="U468" s="61">
        <f>SUM('Daily Halba'!$E468,'Daily Halba'!$H468,$M468:$T468)</f>
        <v>0</v>
      </c>
      <c r="V468" s="22"/>
      <c r="W468" s="85"/>
      <c r="X468" s="85"/>
      <c r="Y468" s="85"/>
      <c r="Z468" s="85"/>
      <c r="AA468" s="72"/>
      <c r="AB468" s="73"/>
      <c r="AC468" s="73"/>
      <c r="AD468" s="73"/>
      <c r="AE468" s="86">
        <f t="shared" si="15"/>
        <v>0</v>
      </c>
      <c r="AF468" s="74"/>
      <c r="AG468" s="74"/>
      <c r="AH468" s="74"/>
      <c r="AI468" s="74"/>
      <c r="AJ468" s="74"/>
      <c r="AK468" s="74"/>
      <c r="AL468" s="74"/>
      <c r="AM468" s="74"/>
      <c r="AN468" s="87">
        <f t="shared" si="16"/>
        <v>0</v>
      </c>
      <c r="AO468" s="74"/>
      <c r="AP468" s="88">
        <f t="shared" si="17"/>
        <v>0</v>
      </c>
      <c r="AQ468" s="75"/>
      <c r="AR468" s="22"/>
      <c r="AS468" s="70">
        <f>'Daily Halba'!$U468-'Daily Halba'!$AP468</f>
        <v>0</v>
      </c>
      <c r="AT468" s="5"/>
      <c r="AU468" s="5"/>
      <c r="AV468" s="5"/>
    </row>
    <row r="469" spans="1:48" ht="12.75" customHeight="1" x14ac:dyDescent="0.3">
      <c r="A469" s="49"/>
      <c r="B469" s="82"/>
      <c r="C469" s="51"/>
      <c r="D469" s="52"/>
      <c r="E469" s="53"/>
      <c r="F469" s="54"/>
      <c r="G469" s="52"/>
      <c r="H469" s="53"/>
      <c r="I469" s="54"/>
      <c r="J469" s="53"/>
      <c r="K469" s="83"/>
      <c r="L469" s="57"/>
      <c r="M469" s="58"/>
      <c r="N469" s="71"/>
      <c r="O469" s="71"/>
      <c r="P469" s="71"/>
      <c r="Q469" s="71"/>
      <c r="R469" s="71"/>
      <c r="S469" s="71"/>
      <c r="T469" s="71"/>
      <c r="U469" s="61">
        <f>SUM('Daily Halba'!$E469,'Daily Halba'!$H469,$M469:$T469)</f>
        <v>0</v>
      </c>
      <c r="V469" s="22"/>
      <c r="W469" s="62"/>
      <c r="X469" s="62"/>
      <c r="Y469" s="62"/>
      <c r="Z469" s="79"/>
      <c r="AA469" s="63"/>
      <c r="AB469" s="64"/>
      <c r="AC469" s="64"/>
      <c r="AD469" s="64"/>
      <c r="AE469" s="65">
        <f t="shared" si="15"/>
        <v>0</v>
      </c>
      <c r="AF469" s="66"/>
      <c r="AG469" s="66"/>
      <c r="AH469" s="66"/>
      <c r="AI469" s="66"/>
      <c r="AJ469" s="66"/>
      <c r="AK469" s="66"/>
      <c r="AL469" s="66"/>
      <c r="AM469" s="66"/>
      <c r="AN469" s="67">
        <f t="shared" si="16"/>
        <v>0</v>
      </c>
      <c r="AO469" s="66"/>
      <c r="AP469" s="68">
        <f t="shared" si="17"/>
        <v>0</v>
      </c>
      <c r="AQ469" s="69"/>
      <c r="AR469" s="22"/>
      <c r="AS469" s="70">
        <f>'Daily Halba'!$U469-'Daily Halba'!$AP469</f>
        <v>0</v>
      </c>
      <c r="AT469" s="5"/>
      <c r="AU469" s="5"/>
      <c r="AV469" s="5"/>
    </row>
    <row r="470" spans="1:48" ht="12.75" customHeight="1" x14ac:dyDescent="0.3">
      <c r="A470" s="49"/>
      <c r="B470" s="82"/>
      <c r="C470" s="51"/>
      <c r="D470" s="52"/>
      <c r="E470" s="53"/>
      <c r="F470" s="54"/>
      <c r="G470" s="52"/>
      <c r="H470" s="53"/>
      <c r="I470" s="54"/>
      <c r="J470" s="53"/>
      <c r="K470" s="83"/>
      <c r="L470" s="57"/>
      <c r="M470" s="58"/>
      <c r="N470" s="71"/>
      <c r="O470" s="71"/>
      <c r="P470" s="71"/>
      <c r="Q470" s="71"/>
      <c r="R470" s="71"/>
      <c r="S470" s="71"/>
      <c r="T470" s="71"/>
      <c r="U470" s="61">
        <f>SUM('Daily Halba'!$E470,'Daily Halba'!$H470,$M470:$T470)</f>
        <v>0</v>
      </c>
      <c r="V470" s="22"/>
      <c r="W470" s="85"/>
      <c r="X470" s="85"/>
      <c r="Y470" s="85"/>
      <c r="Z470" s="85"/>
      <c r="AA470" s="72"/>
      <c r="AB470" s="73"/>
      <c r="AC470" s="73"/>
      <c r="AD470" s="73"/>
      <c r="AE470" s="86">
        <f t="shared" si="15"/>
        <v>0</v>
      </c>
      <c r="AF470" s="74"/>
      <c r="AG470" s="74"/>
      <c r="AH470" s="74"/>
      <c r="AI470" s="74"/>
      <c r="AJ470" s="74"/>
      <c r="AK470" s="74"/>
      <c r="AL470" s="74"/>
      <c r="AM470" s="74"/>
      <c r="AN470" s="87">
        <f t="shared" si="16"/>
        <v>0</v>
      </c>
      <c r="AO470" s="74"/>
      <c r="AP470" s="88">
        <f t="shared" si="17"/>
        <v>0</v>
      </c>
      <c r="AQ470" s="75"/>
      <c r="AR470" s="22"/>
      <c r="AS470" s="70">
        <f>'Daily Halba'!$U470-'Daily Halba'!$AP470</f>
        <v>0</v>
      </c>
      <c r="AT470" s="5"/>
      <c r="AU470" s="5"/>
      <c r="AV470" s="5"/>
    </row>
    <row r="471" spans="1:48" ht="12.75" customHeight="1" x14ac:dyDescent="0.3">
      <c r="A471" s="49"/>
      <c r="B471" s="82"/>
      <c r="C471" s="51"/>
      <c r="D471" s="52"/>
      <c r="E471" s="53"/>
      <c r="F471" s="54"/>
      <c r="G471" s="52"/>
      <c r="H471" s="53"/>
      <c r="I471" s="54"/>
      <c r="J471" s="53"/>
      <c r="K471" s="83"/>
      <c r="L471" s="57"/>
      <c r="M471" s="58"/>
      <c r="N471" s="71"/>
      <c r="O471" s="71"/>
      <c r="P471" s="71"/>
      <c r="Q471" s="71"/>
      <c r="R471" s="71"/>
      <c r="S471" s="71"/>
      <c r="T471" s="71"/>
      <c r="U471" s="61">
        <f>SUM('Daily Halba'!$E471,'Daily Halba'!$H471,$M471:$T471)</f>
        <v>0</v>
      </c>
      <c r="V471" s="22"/>
      <c r="W471" s="62"/>
      <c r="X471" s="62"/>
      <c r="Y471" s="62"/>
      <c r="Z471" s="79"/>
      <c r="AA471" s="63"/>
      <c r="AB471" s="64"/>
      <c r="AC471" s="64"/>
      <c r="AD471" s="64"/>
      <c r="AE471" s="65">
        <f t="shared" si="15"/>
        <v>0</v>
      </c>
      <c r="AF471" s="66"/>
      <c r="AG471" s="66"/>
      <c r="AH471" s="66"/>
      <c r="AI471" s="66"/>
      <c r="AJ471" s="66"/>
      <c r="AK471" s="66"/>
      <c r="AL471" s="66"/>
      <c r="AM471" s="66"/>
      <c r="AN471" s="67">
        <f t="shared" si="16"/>
        <v>0</v>
      </c>
      <c r="AO471" s="66"/>
      <c r="AP471" s="68">
        <f t="shared" si="17"/>
        <v>0</v>
      </c>
      <c r="AQ471" s="69"/>
      <c r="AR471" s="22"/>
      <c r="AS471" s="70">
        <f>'Daily Halba'!$U471-'Daily Halba'!$AP471</f>
        <v>0</v>
      </c>
      <c r="AT471" s="5"/>
      <c r="AU471" s="5"/>
      <c r="AV471" s="5"/>
    </row>
    <row r="472" spans="1:48" ht="12.75" customHeight="1" x14ac:dyDescent="0.3">
      <c r="A472" s="49"/>
      <c r="B472" s="82"/>
      <c r="C472" s="51"/>
      <c r="D472" s="52"/>
      <c r="E472" s="53"/>
      <c r="F472" s="54"/>
      <c r="G472" s="52"/>
      <c r="H472" s="53"/>
      <c r="I472" s="54"/>
      <c r="J472" s="53"/>
      <c r="K472" s="83"/>
      <c r="L472" s="57"/>
      <c r="M472" s="58"/>
      <c r="N472" s="71"/>
      <c r="O472" s="71"/>
      <c r="P472" s="71"/>
      <c r="Q472" s="71"/>
      <c r="R472" s="71"/>
      <c r="S472" s="71"/>
      <c r="T472" s="71"/>
      <c r="U472" s="61">
        <f>SUM('Daily Halba'!$E472,'Daily Halba'!$H472,$M472:$T472)</f>
        <v>0</v>
      </c>
      <c r="V472" s="22"/>
      <c r="W472" s="85"/>
      <c r="X472" s="85"/>
      <c r="Y472" s="85"/>
      <c r="Z472" s="85"/>
      <c r="AA472" s="72"/>
      <c r="AB472" s="73"/>
      <c r="AC472" s="73"/>
      <c r="AD472" s="73"/>
      <c r="AE472" s="86">
        <f t="shared" si="15"/>
        <v>0</v>
      </c>
      <c r="AF472" s="74"/>
      <c r="AG472" s="74"/>
      <c r="AH472" s="74"/>
      <c r="AI472" s="74"/>
      <c r="AJ472" s="74"/>
      <c r="AK472" s="74"/>
      <c r="AL472" s="74"/>
      <c r="AM472" s="74"/>
      <c r="AN472" s="87">
        <f t="shared" si="16"/>
        <v>0</v>
      </c>
      <c r="AO472" s="74"/>
      <c r="AP472" s="88">
        <f t="shared" si="17"/>
        <v>0</v>
      </c>
      <c r="AQ472" s="75"/>
      <c r="AR472" s="22"/>
      <c r="AS472" s="70">
        <f>'Daily Halba'!$U472-'Daily Halba'!$AP472</f>
        <v>0</v>
      </c>
      <c r="AT472" s="5"/>
      <c r="AU472" s="5"/>
      <c r="AV472" s="5"/>
    </row>
    <row r="473" spans="1:48" ht="12.75" customHeight="1" x14ac:dyDescent="0.3">
      <c r="A473" s="49"/>
      <c r="B473" s="82"/>
      <c r="C473" s="51"/>
      <c r="D473" s="52"/>
      <c r="E473" s="53"/>
      <c r="F473" s="54"/>
      <c r="G473" s="52"/>
      <c r="H473" s="53"/>
      <c r="I473" s="54"/>
      <c r="J473" s="53"/>
      <c r="K473" s="83"/>
      <c r="L473" s="57"/>
      <c r="M473" s="58"/>
      <c r="N473" s="71"/>
      <c r="O473" s="71"/>
      <c r="P473" s="71"/>
      <c r="Q473" s="71"/>
      <c r="R473" s="71"/>
      <c r="S473" s="71"/>
      <c r="T473" s="71"/>
      <c r="U473" s="61">
        <f>SUM('Daily Halba'!$E473,'Daily Halba'!$H473,$M473:$T473)</f>
        <v>0</v>
      </c>
      <c r="V473" s="22"/>
      <c r="W473" s="62"/>
      <c r="X473" s="62"/>
      <c r="Y473" s="62"/>
      <c r="Z473" s="79"/>
      <c r="AA473" s="63"/>
      <c r="AB473" s="64"/>
      <c r="AC473" s="64"/>
      <c r="AD473" s="64"/>
      <c r="AE473" s="65">
        <f t="shared" si="15"/>
        <v>0</v>
      </c>
      <c r="AF473" s="66"/>
      <c r="AG473" s="66"/>
      <c r="AH473" s="66"/>
      <c r="AI473" s="66"/>
      <c r="AJ473" s="66"/>
      <c r="AK473" s="66"/>
      <c r="AL473" s="66"/>
      <c r="AM473" s="66"/>
      <c r="AN473" s="67">
        <f t="shared" si="16"/>
        <v>0</v>
      </c>
      <c r="AO473" s="66"/>
      <c r="AP473" s="68">
        <f t="shared" si="17"/>
        <v>0</v>
      </c>
      <c r="AQ473" s="69"/>
      <c r="AR473" s="22"/>
      <c r="AS473" s="70">
        <f>'Daily Halba'!$U473-'Daily Halba'!$AP473</f>
        <v>0</v>
      </c>
      <c r="AT473" s="5"/>
      <c r="AU473" s="5"/>
      <c r="AV473" s="5"/>
    </row>
    <row r="474" spans="1:48" ht="12.75" customHeight="1" x14ac:dyDescent="0.3">
      <c r="A474" s="49"/>
      <c r="B474" s="82"/>
      <c r="C474" s="51"/>
      <c r="D474" s="52"/>
      <c r="E474" s="53"/>
      <c r="F474" s="54"/>
      <c r="G474" s="52"/>
      <c r="H474" s="53"/>
      <c r="I474" s="54"/>
      <c r="J474" s="53"/>
      <c r="K474" s="83"/>
      <c r="L474" s="57"/>
      <c r="M474" s="58"/>
      <c r="N474" s="71"/>
      <c r="O474" s="71"/>
      <c r="P474" s="71"/>
      <c r="Q474" s="71"/>
      <c r="R474" s="71"/>
      <c r="S474" s="71"/>
      <c r="T474" s="71"/>
      <c r="U474" s="61">
        <f>SUM('Daily Halba'!$E474,'Daily Halba'!$H474,$M474:$T474)</f>
        <v>0</v>
      </c>
      <c r="V474" s="22"/>
      <c r="W474" s="85"/>
      <c r="X474" s="85"/>
      <c r="Y474" s="85"/>
      <c r="Z474" s="85"/>
      <c r="AA474" s="72"/>
      <c r="AB474" s="73"/>
      <c r="AC474" s="73"/>
      <c r="AD474" s="73"/>
      <c r="AE474" s="86">
        <f t="shared" si="15"/>
        <v>0</v>
      </c>
      <c r="AF474" s="74"/>
      <c r="AG474" s="74"/>
      <c r="AH474" s="74"/>
      <c r="AI474" s="74"/>
      <c r="AJ474" s="74"/>
      <c r="AK474" s="74"/>
      <c r="AL474" s="74"/>
      <c r="AM474" s="74"/>
      <c r="AN474" s="87">
        <f t="shared" si="16"/>
        <v>0</v>
      </c>
      <c r="AO474" s="74"/>
      <c r="AP474" s="88">
        <f t="shared" si="17"/>
        <v>0</v>
      </c>
      <c r="AQ474" s="75"/>
      <c r="AR474" s="22"/>
      <c r="AS474" s="70">
        <f>'Daily Halba'!$U474-'Daily Halba'!$AP474</f>
        <v>0</v>
      </c>
      <c r="AT474" s="5"/>
      <c r="AU474" s="5"/>
      <c r="AV474" s="5"/>
    </row>
    <row r="475" spans="1:48" ht="12.75" customHeight="1" x14ac:dyDescent="0.3">
      <c r="A475" s="49"/>
      <c r="B475" s="82"/>
      <c r="C475" s="51"/>
      <c r="D475" s="52"/>
      <c r="E475" s="53"/>
      <c r="F475" s="54"/>
      <c r="G475" s="52"/>
      <c r="H475" s="53"/>
      <c r="I475" s="54"/>
      <c r="J475" s="53"/>
      <c r="K475" s="83"/>
      <c r="L475" s="57"/>
      <c r="M475" s="58"/>
      <c r="N475" s="71"/>
      <c r="O475" s="71"/>
      <c r="P475" s="71"/>
      <c r="Q475" s="71"/>
      <c r="R475" s="71"/>
      <c r="S475" s="71"/>
      <c r="T475" s="71"/>
      <c r="U475" s="61">
        <f>SUM('Daily Halba'!$E475,'Daily Halba'!$H475,$M475:$T475)</f>
        <v>0</v>
      </c>
      <c r="V475" s="22"/>
      <c r="W475" s="62"/>
      <c r="X475" s="62"/>
      <c r="Y475" s="62"/>
      <c r="Z475" s="79"/>
      <c r="AA475" s="63"/>
      <c r="AB475" s="64"/>
      <c r="AC475" s="64"/>
      <c r="AD475" s="64"/>
      <c r="AE475" s="65">
        <f t="shared" si="15"/>
        <v>0</v>
      </c>
      <c r="AF475" s="66"/>
      <c r="AG475" s="66"/>
      <c r="AH475" s="66"/>
      <c r="AI475" s="66"/>
      <c r="AJ475" s="66"/>
      <c r="AK475" s="66"/>
      <c r="AL475" s="66"/>
      <c r="AM475" s="66"/>
      <c r="AN475" s="67">
        <f t="shared" si="16"/>
        <v>0</v>
      </c>
      <c r="AO475" s="66"/>
      <c r="AP475" s="68">
        <f t="shared" si="17"/>
        <v>0</v>
      </c>
      <c r="AQ475" s="69"/>
      <c r="AR475" s="22"/>
      <c r="AS475" s="70">
        <f>'Daily Halba'!$U475-'Daily Halba'!$AP475</f>
        <v>0</v>
      </c>
      <c r="AT475" s="5"/>
      <c r="AU475" s="5"/>
      <c r="AV475" s="5"/>
    </row>
    <row r="476" spans="1:48" ht="12.75" customHeight="1" x14ac:dyDescent="0.3">
      <c r="A476" s="49"/>
      <c r="B476" s="82"/>
      <c r="C476" s="51"/>
      <c r="D476" s="52"/>
      <c r="E476" s="53"/>
      <c r="F476" s="54"/>
      <c r="G476" s="52"/>
      <c r="H476" s="53"/>
      <c r="I476" s="54"/>
      <c r="J476" s="53"/>
      <c r="K476" s="83"/>
      <c r="L476" s="57"/>
      <c r="M476" s="58"/>
      <c r="N476" s="71"/>
      <c r="O476" s="71"/>
      <c r="P476" s="71"/>
      <c r="Q476" s="71"/>
      <c r="R476" s="71"/>
      <c r="S476" s="71"/>
      <c r="T476" s="71"/>
      <c r="U476" s="61">
        <f>SUM('Daily Halba'!$E476,'Daily Halba'!$H476,$M476:$T476)</f>
        <v>0</v>
      </c>
      <c r="V476" s="22"/>
      <c r="W476" s="85"/>
      <c r="X476" s="85"/>
      <c r="Y476" s="85"/>
      <c r="Z476" s="85"/>
      <c r="AA476" s="72"/>
      <c r="AB476" s="73"/>
      <c r="AC476" s="73"/>
      <c r="AD476" s="73"/>
      <c r="AE476" s="86">
        <f t="shared" si="15"/>
        <v>0</v>
      </c>
      <c r="AF476" s="74"/>
      <c r="AG476" s="74"/>
      <c r="AH476" s="74"/>
      <c r="AI476" s="74"/>
      <c r="AJ476" s="74"/>
      <c r="AK476" s="74"/>
      <c r="AL476" s="74"/>
      <c r="AM476" s="74"/>
      <c r="AN476" s="87">
        <f t="shared" si="16"/>
        <v>0</v>
      </c>
      <c r="AO476" s="74"/>
      <c r="AP476" s="88">
        <f t="shared" si="17"/>
        <v>0</v>
      </c>
      <c r="AQ476" s="75"/>
      <c r="AR476" s="22"/>
      <c r="AS476" s="70">
        <f>'Daily Halba'!$U476-'Daily Halba'!$AP476</f>
        <v>0</v>
      </c>
      <c r="AT476" s="5"/>
      <c r="AU476" s="5"/>
      <c r="AV476" s="5"/>
    </row>
    <row r="477" spans="1:48" ht="12.75" customHeight="1" x14ac:dyDescent="0.3">
      <c r="A477" s="49"/>
      <c r="B477" s="82"/>
      <c r="C477" s="51"/>
      <c r="D477" s="52"/>
      <c r="E477" s="53"/>
      <c r="F477" s="54"/>
      <c r="G477" s="52"/>
      <c r="H477" s="53"/>
      <c r="I477" s="54"/>
      <c r="J477" s="53"/>
      <c r="K477" s="83"/>
      <c r="L477" s="57"/>
      <c r="M477" s="58"/>
      <c r="N477" s="71"/>
      <c r="O477" s="71"/>
      <c r="P477" s="71"/>
      <c r="Q477" s="71"/>
      <c r="R477" s="71"/>
      <c r="S477" s="71"/>
      <c r="T477" s="71"/>
      <c r="U477" s="61">
        <f>SUM('Daily Halba'!$E477,'Daily Halba'!$H477,$M477:$T477)</f>
        <v>0</v>
      </c>
      <c r="V477" s="22"/>
      <c r="W477" s="62"/>
      <c r="X477" s="62"/>
      <c r="Y477" s="62"/>
      <c r="Z477" s="79"/>
      <c r="AA477" s="63"/>
      <c r="AB477" s="64"/>
      <c r="AC477" s="64"/>
      <c r="AD477" s="64"/>
      <c r="AE477" s="65">
        <f t="shared" si="15"/>
        <v>0</v>
      </c>
      <c r="AF477" s="66"/>
      <c r="AG477" s="66"/>
      <c r="AH477" s="66"/>
      <c r="AI477" s="66"/>
      <c r="AJ477" s="66"/>
      <c r="AK477" s="66"/>
      <c r="AL477" s="66"/>
      <c r="AM477" s="66"/>
      <c r="AN477" s="67">
        <f t="shared" si="16"/>
        <v>0</v>
      </c>
      <c r="AO477" s="66"/>
      <c r="AP477" s="68">
        <f t="shared" si="17"/>
        <v>0</v>
      </c>
      <c r="AQ477" s="69"/>
      <c r="AR477" s="22"/>
      <c r="AS477" s="70">
        <f>'Daily Halba'!$U477-'Daily Halba'!$AP477</f>
        <v>0</v>
      </c>
      <c r="AT477" s="5"/>
      <c r="AU477" s="5"/>
      <c r="AV477" s="5"/>
    </row>
    <row r="478" spans="1:48" ht="12.75" customHeight="1" x14ac:dyDescent="0.3">
      <c r="A478" s="49"/>
      <c r="B478" s="82"/>
      <c r="C478" s="51"/>
      <c r="D478" s="52"/>
      <c r="E478" s="53"/>
      <c r="F478" s="54"/>
      <c r="G478" s="52"/>
      <c r="H478" s="53"/>
      <c r="I478" s="54"/>
      <c r="J478" s="53"/>
      <c r="K478" s="83"/>
      <c r="L478" s="57"/>
      <c r="M478" s="58"/>
      <c r="N478" s="71"/>
      <c r="O478" s="71"/>
      <c r="P478" s="71"/>
      <c r="Q478" s="71"/>
      <c r="R478" s="71"/>
      <c r="S478" s="71"/>
      <c r="T478" s="71"/>
      <c r="U478" s="61">
        <f>SUM('Daily Halba'!$E478,'Daily Halba'!$H478,$M478:$T478)</f>
        <v>0</v>
      </c>
      <c r="V478" s="22"/>
      <c r="W478" s="85"/>
      <c r="X478" s="85"/>
      <c r="Y478" s="85"/>
      <c r="Z478" s="85"/>
      <c r="AA478" s="72"/>
      <c r="AB478" s="73"/>
      <c r="AC478" s="73"/>
      <c r="AD478" s="73"/>
      <c r="AE478" s="86">
        <f t="shared" si="15"/>
        <v>0</v>
      </c>
      <c r="AF478" s="74"/>
      <c r="AG478" s="74"/>
      <c r="AH478" s="74"/>
      <c r="AI478" s="74"/>
      <c r="AJ478" s="74"/>
      <c r="AK478" s="74"/>
      <c r="AL478" s="74"/>
      <c r="AM478" s="74"/>
      <c r="AN478" s="87">
        <f t="shared" si="16"/>
        <v>0</v>
      </c>
      <c r="AO478" s="74"/>
      <c r="AP478" s="88">
        <f t="shared" si="17"/>
        <v>0</v>
      </c>
      <c r="AQ478" s="75"/>
      <c r="AR478" s="22"/>
      <c r="AS478" s="70">
        <f>'Daily Halba'!$U478-'Daily Halba'!$AP478</f>
        <v>0</v>
      </c>
      <c r="AT478" s="5"/>
      <c r="AU478" s="5"/>
      <c r="AV478" s="5"/>
    </row>
    <row r="479" spans="1:48" ht="12.75" customHeight="1" x14ac:dyDescent="0.3">
      <c r="A479" s="49"/>
      <c r="B479" s="82"/>
      <c r="C479" s="51"/>
      <c r="D479" s="52"/>
      <c r="E479" s="53"/>
      <c r="F479" s="54"/>
      <c r="G479" s="52"/>
      <c r="H479" s="53"/>
      <c r="I479" s="54"/>
      <c r="J479" s="53"/>
      <c r="K479" s="83"/>
      <c r="L479" s="57"/>
      <c r="M479" s="58"/>
      <c r="N479" s="71"/>
      <c r="O479" s="71"/>
      <c r="P479" s="71"/>
      <c r="Q479" s="71"/>
      <c r="R479" s="71"/>
      <c r="S479" s="71"/>
      <c r="T479" s="71"/>
      <c r="U479" s="61">
        <f>SUM('Daily Halba'!$E479,'Daily Halba'!$H479,$M479:$T479)</f>
        <v>0</v>
      </c>
      <c r="V479" s="22"/>
      <c r="W479" s="62"/>
      <c r="X479" s="62"/>
      <c r="Y479" s="62"/>
      <c r="Z479" s="79"/>
      <c r="AA479" s="63"/>
      <c r="AB479" s="64"/>
      <c r="AC479" s="64"/>
      <c r="AD479" s="64"/>
      <c r="AE479" s="65">
        <f t="shared" si="15"/>
        <v>0</v>
      </c>
      <c r="AF479" s="66"/>
      <c r="AG479" s="66"/>
      <c r="AH479" s="66"/>
      <c r="AI479" s="66"/>
      <c r="AJ479" s="66"/>
      <c r="AK479" s="66"/>
      <c r="AL479" s="66"/>
      <c r="AM479" s="66"/>
      <c r="AN479" s="67">
        <f t="shared" si="16"/>
        <v>0</v>
      </c>
      <c r="AO479" s="66"/>
      <c r="AP479" s="68">
        <f t="shared" si="17"/>
        <v>0</v>
      </c>
      <c r="AQ479" s="69"/>
      <c r="AR479" s="22"/>
      <c r="AS479" s="70">
        <f>'Daily Halba'!$U479-'Daily Halba'!$AP479</f>
        <v>0</v>
      </c>
      <c r="AT479" s="5"/>
      <c r="AU479" s="5"/>
      <c r="AV479" s="5"/>
    </row>
    <row r="480" spans="1:48" ht="12.75" customHeight="1" x14ac:dyDescent="0.3">
      <c r="A480" s="49"/>
      <c r="B480" s="82"/>
      <c r="C480" s="51"/>
      <c r="D480" s="52"/>
      <c r="E480" s="53"/>
      <c r="F480" s="54"/>
      <c r="G480" s="52"/>
      <c r="H480" s="53"/>
      <c r="I480" s="54"/>
      <c r="J480" s="53"/>
      <c r="K480" s="83"/>
      <c r="L480" s="57"/>
      <c r="M480" s="58"/>
      <c r="N480" s="71"/>
      <c r="O480" s="71"/>
      <c r="P480" s="71"/>
      <c r="Q480" s="71"/>
      <c r="R480" s="71"/>
      <c r="S480" s="71"/>
      <c r="T480" s="71"/>
      <c r="U480" s="61">
        <f>SUM('Daily Halba'!$E480,'Daily Halba'!$H480,$M480:$T480)</f>
        <v>0</v>
      </c>
      <c r="V480" s="22"/>
      <c r="W480" s="85"/>
      <c r="X480" s="85"/>
      <c r="Y480" s="85"/>
      <c r="Z480" s="85"/>
      <c r="AA480" s="72"/>
      <c r="AB480" s="73"/>
      <c r="AC480" s="73"/>
      <c r="AD480" s="73"/>
      <c r="AE480" s="86">
        <f t="shared" si="15"/>
        <v>0</v>
      </c>
      <c r="AF480" s="74"/>
      <c r="AG480" s="74"/>
      <c r="AH480" s="74"/>
      <c r="AI480" s="74"/>
      <c r="AJ480" s="74"/>
      <c r="AK480" s="74"/>
      <c r="AL480" s="74"/>
      <c r="AM480" s="74"/>
      <c r="AN480" s="87">
        <f t="shared" si="16"/>
        <v>0</v>
      </c>
      <c r="AO480" s="74"/>
      <c r="AP480" s="88">
        <f t="shared" si="17"/>
        <v>0</v>
      </c>
      <c r="AQ480" s="75"/>
      <c r="AR480" s="22"/>
      <c r="AS480" s="70">
        <f>'Daily Halba'!$U480-'Daily Halba'!$AP480</f>
        <v>0</v>
      </c>
      <c r="AT480" s="5"/>
      <c r="AU480" s="5"/>
      <c r="AV480" s="5"/>
    </row>
    <row r="481" spans="1:48" ht="12.75" customHeight="1" x14ac:dyDescent="0.3">
      <c r="A481" s="49"/>
      <c r="B481" s="82"/>
      <c r="C481" s="51"/>
      <c r="D481" s="52"/>
      <c r="E481" s="53"/>
      <c r="F481" s="54"/>
      <c r="G481" s="52"/>
      <c r="H481" s="53"/>
      <c r="I481" s="54"/>
      <c r="J481" s="53"/>
      <c r="K481" s="83"/>
      <c r="L481" s="57"/>
      <c r="M481" s="58"/>
      <c r="N481" s="71"/>
      <c r="O481" s="71"/>
      <c r="P481" s="71"/>
      <c r="Q481" s="71"/>
      <c r="R481" s="71"/>
      <c r="S481" s="71"/>
      <c r="T481" s="71"/>
      <c r="U481" s="61">
        <f>SUM('Daily Halba'!$E481,'Daily Halba'!$H481,$M481:$T481)</f>
        <v>0</v>
      </c>
      <c r="V481" s="22"/>
      <c r="W481" s="62"/>
      <c r="X481" s="62"/>
      <c r="Y481" s="62"/>
      <c r="Z481" s="79"/>
      <c r="AA481" s="63"/>
      <c r="AB481" s="64"/>
      <c r="AC481" s="64"/>
      <c r="AD481" s="64"/>
      <c r="AE481" s="65">
        <f t="shared" si="15"/>
        <v>0</v>
      </c>
      <c r="AF481" s="66"/>
      <c r="AG481" s="66"/>
      <c r="AH481" s="66"/>
      <c r="AI481" s="66"/>
      <c r="AJ481" s="66"/>
      <c r="AK481" s="66"/>
      <c r="AL481" s="66"/>
      <c r="AM481" s="66"/>
      <c r="AN481" s="67">
        <f t="shared" si="16"/>
        <v>0</v>
      </c>
      <c r="AO481" s="66"/>
      <c r="AP481" s="68">
        <f t="shared" si="17"/>
        <v>0</v>
      </c>
      <c r="AQ481" s="69"/>
      <c r="AR481" s="22"/>
      <c r="AS481" s="70">
        <f>'Daily Halba'!$U481-'Daily Halba'!$AP481</f>
        <v>0</v>
      </c>
      <c r="AT481" s="5"/>
      <c r="AU481" s="5"/>
      <c r="AV481" s="5"/>
    </row>
    <row r="482" spans="1:48" ht="12.75" customHeight="1" x14ac:dyDescent="0.3">
      <c r="A482" s="49"/>
      <c r="B482" s="82"/>
      <c r="C482" s="51"/>
      <c r="D482" s="52"/>
      <c r="E482" s="53"/>
      <c r="F482" s="54"/>
      <c r="G482" s="52"/>
      <c r="H482" s="53"/>
      <c r="I482" s="54"/>
      <c r="J482" s="53"/>
      <c r="K482" s="83"/>
      <c r="L482" s="57"/>
      <c r="M482" s="58"/>
      <c r="N482" s="71"/>
      <c r="O482" s="71"/>
      <c r="P482" s="71"/>
      <c r="Q482" s="71"/>
      <c r="R482" s="71"/>
      <c r="S482" s="71"/>
      <c r="T482" s="71"/>
      <c r="U482" s="61">
        <f>SUM('Daily Halba'!$E482,'Daily Halba'!$H482,$M482:$T482)</f>
        <v>0</v>
      </c>
      <c r="V482" s="22"/>
      <c r="W482" s="85"/>
      <c r="X482" s="85"/>
      <c r="Y482" s="85"/>
      <c r="Z482" s="85"/>
      <c r="AA482" s="72"/>
      <c r="AB482" s="73"/>
      <c r="AC482" s="73"/>
      <c r="AD482" s="73"/>
      <c r="AE482" s="86">
        <f t="shared" si="15"/>
        <v>0</v>
      </c>
      <c r="AF482" s="74"/>
      <c r="AG482" s="74"/>
      <c r="AH482" s="74"/>
      <c r="AI482" s="74"/>
      <c r="AJ482" s="74"/>
      <c r="AK482" s="74"/>
      <c r="AL482" s="74"/>
      <c r="AM482" s="74"/>
      <c r="AN482" s="87">
        <f t="shared" si="16"/>
        <v>0</v>
      </c>
      <c r="AO482" s="74"/>
      <c r="AP482" s="88">
        <f t="shared" si="17"/>
        <v>0</v>
      </c>
      <c r="AQ482" s="75"/>
      <c r="AR482" s="22"/>
      <c r="AS482" s="70">
        <f>'Daily Halba'!$U482-'Daily Halba'!$AP482</f>
        <v>0</v>
      </c>
      <c r="AT482" s="5"/>
      <c r="AU482" s="5"/>
      <c r="AV482" s="5"/>
    </row>
    <row r="483" spans="1:48" ht="12.75" customHeight="1" x14ac:dyDescent="0.3">
      <c r="A483" s="49"/>
      <c r="B483" s="82"/>
      <c r="C483" s="51"/>
      <c r="D483" s="52"/>
      <c r="E483" s="53"/>
      <c r="F483" s="54"/>
      <c r="G483" s="52"/>
      <c r="H483" s="53"/>
      <c r="I483" s="54"/>
      <c r="J483" s="53"/>
      <c r="K483" s="83"/>
      <c r="L483" s="57"/>
      <c r="M483" s="58"/>
      <c r="N483" s="71"/>
      <c r="O483" s="71"/>
      <c r="P483" s="71"/>
      <c r="Q483" s="71"/>
      <c r="R483" s="71"/>
      <c r="S483" s="71"/>
      <c r="T483" s="71"/>
      <c r="U483" s="61">
        <f>SUM('Daily Halba'!$E483,'Daily Halba'!$H483,$M483:$T483)</f>
        <v>0</v>
      </c>
      <c r="V483" s="22"/>
      <c r="W483" s="62"/>
      <c r="X483" s="62"/>
      <c r="Y483" s="62"/>
      <c r="Z483" s="79"/>
      <c r="AA483" s="63"/>
      <c r="AB483" s="64"/>
      <c r="AC483" s="64"/>
      <c r="AD483" s="64"/>
      <c r="AE483" s="65">
        <f t="shared" si="15"/>
        <v>0</v>
      </c>
      <c r="AF483" s="66"/>
      <c r="AG483" s="66"/>
      <c r="AH483" s="66"/>
      <c r="AI483" s="66"/>
      <c r="AJ483" s="66"/>
      <c r="AK483" s="66"/>
      <c r="AL483" s="66"/>
      <c r="AM483" s="66"/>
      <c r="AN483" s="67">
        <f t="shared" si="16"/>
        <v>0</v>
      </c>
      <c r="AO483" s="66"/>
      <c r="AP483" s="68">
        <f t="shared" si="17"/>
        <v>0</v>
      </c>
      <c r="AQ483" s="69"/>
      <c r="AR483" s="22"/>
      <c r="AS483" s="70">
        <f>'Daily Halba'!$U483-'Daily Halba'!$AP483</f>
        <v>0</v>
      </c>
      <c r="AT483" s="5"/>
      <c r="AU483" s="5"/>
      <c r="AV483" s="5"/>
    </row>
    <row r="484" spans="1:48" ht="12.75" customHeight="1" x14ac:dyDescent="0.3">
      <c r="A484" s="49"/>
      <c r="B484" s="82"/>
      <c r="C484" s="51"/>
      <c r="D484" s="52"/>
      <c r="E484" s="53"/>
      <c r="F484" s="54"/>
      <c r="G484" s="52"/>
      <c r="H484" s="53"/>
      <c r="I484" s="54"/>
      <c r="J484" s="53"/>
      <c r="K484" s="83"/>
      <c r="L484" s="57"/>
      <c r="M484" s="58"/>
      <c r="N484" s="71"/>
      <c r="O484" s="71"/>
      <c r="P484" s="71"/>
      <c r="Q484" s="71"/>
      <c r="R484" s="71"/>
      <c r="S484" s="71"/>
      <c r="T484" s="71"/>
      <c r="U484" s="61">
        <f>SUM('Daily Halba'!$E484,'Daily Halba'!$H484,$M484:$T484)</f>
        <v>0</v>
      </c>
      <c r="V484" s="22"/>
      <c r="W484" s="85"/>
      <c r="X484" s="85"/>
      <c r="Y484" s="85"/>
      <c r="Z484" s="85"/>
      <c r="AA484" s="72"/>
      <c r="AB484" s="73"/>
      <c r="AC484" s="73"/>
      <c r="AD484" s="73"/>
      <c r="AE484" s="86">
        <f t="shared" si="15"/>
        <v>0</v>
      </c>
      <c r="AF484" s="74"/>
      <c r="AG484" s="74"/>
      <c r="AH484" s="74"/>
      <c r="AI484" s="74"/>
      <c r="AJ484" s="74"/>
      <c r="AK484" s="74"/>
      <c r="AL484" s="74"/>
      <c r="AM484" s="74"/>
      <c r="AN484" s="87">
        <f t="shared" si="16"/>
        <v>0</v>
      </c>
      <c r="AO484" s="74"/>
      <c r="AP484" s="88">
        <f t="shared" si="17"/>
        <v>0</v>
      </c>
      <c r="AQ484" s="75"/>
      <c r="AR484" s="22"/>
      <c r="AS484" s="70">
        <f>'Daily Halba'!$U484-'Daily Halba'!$AP484</f>
        <v>0</v>
      </c>
      <c r="AT484" s="5"/>
      <c r="AU484" s="5"/>
      <c r="AV484" s="5"/>
    </row>
    <row r="485" spans="1:48" ht="12.75" customHeight="1" x14ac:dyDescent="0.3">
      <c r="A485" s="49"/>
      <c r="B485" s="82"/>
      <c r="C485" s="51"/>
      <c r="D485" s="52"/>
      <c r="E485" s="53"/>
      <c r="F485" s="54"/>
      <c r="G485" s="52"/>
      <c r="H485" s="53"/>
      <c r="I485" s="54"/>
      <c r="J485" s="53"/>
      <c r="K485" s="83"/>
      <c r="L485" s="57"/>
      <c r="M485" s="58"/>
      <c r="N485" s="71"/>
      <c r="O485" s="71"/>
      <c r="P485" s="71"/>
      <c r="Q485" s="71"/>
      <c r="R485" s="71"/>
      <c r="S485" s="71"/>
      <c r="T485" s="71"/>
      <c r="U485" s="61">
        <f>SUM('Daily Halba'!$E485,'Daily Halba'!$H485,$M485:$T485)</f>
        <v>0</v>
      </c>
      <c r="V485" s="22"/>
      <c r="W485" s="62"/>
      <c r="X485" s="62"/>
      <c r="Y485" s="62"/>
      <c r="Z485" s="79"/>
      <c r="AA485" s="63"/>
      <c r="AB485" s="64"/>
      <c r="AC485" s="64"/>
      <c r="AD485" s="64"/>
      <c r="AE485" s="65">
        <f t="shared" si="15"/>
        <v>0</v>
      </c>
      <c r="AF485" s="66"/>
      <c r="AG485" s="66"/>
      <c r="AH485" s="66"/>
      <c r="AI485" s="66"/>
      <c r="AJ485" s="66"/>
      <c r="AK485" s="66"/>
      <c r="AL485" s="66"/>
      <c r="AM485" s="66"/>
      <c r="AN485" s="67">
        <f t="shared" si="16"/>
        <v>0</v>
      </c>
      <c r="AO485" s="66"/>
      <c r="AP485" s="68">
        <f t="shared" si="17"/>
        <v>0</v>
      </c>
      <c r="AQ485" s="69"/>
      <c r="AR485" s="22"/>
      <c r="AS485" s="70">
        <f>'Daily Halba'!$U485-'Daily Halba'!$AP485</f>
        <v>0</v>
      </c>
      <c r="AT485" s="5"/>
      <c r="AU485" s="5"/>
      <c r="AV485" s="5"/>
    </row>
    <row r="486" spans="1:48" ht="12.75" customHeight="1" x14ac:dyDescent="0.3">
      <c r="A486" s="49"/>
      <c r="B486" s="82"/>
      <c r="C486" s="51"/>
      <c r="D486" s="52"/>
      <c r="E486" s="53"/>
      <c r="F486" s="54"/>
      <c r="G486" s="52"/>
      <c r="H486" s="53"/>
      <c r="I486" s="54"/>
      <c r="J486" s="53"/>
      <c r="K486" s="83"/>
      <c r="L486" s="57"/>
      <c r="M486" s="58"/>
      <c r="N486" s="71"/>
      <c r="O486" s="71"/>
      <c r="P486" s="71"/>
      <c r="Q486" s="71"/>
      <c r="R486" s="71"/>
      <c r="S486" s="71"/>
      <c r="T486" s="71"/>
      <c r="U486" s="61">
        <f>SUM('Daily Halba'!$E486,'Daily Halba'!$H486,$M486:$T486)</f>
        <v>0</v>
      </c>
      <c r="V486" s="22"/>
      <c r="W486" s="85"/>
      <c r="X486" s="85"/>
      <c r="Y486" s="85"/>
      <c r="Z486" s="85"/>
      <c r="AA486" s="72"/>
      <c r="AB486" s="73"/>
      <c r="AC486" s="73"/>
      <c r="AD486" s="73"/>
      <c r="AE486" s="86">
        <f t="shared" si="15"/>
        <v>0</v>
      </c>
      <c r="AF486" s="74"/>
      <c r="AG486" s="74"/>
      <c r="AH486" s="74"/>
      <c r="AI486" s="74"/>
      <c r="AJ486" s="74"/>
      <c r="AK486" s="74"/>
      <c r="AL486" s="74"/>
      <c r="AM486" s="74"/>
      <c r="AN486" s="87">
        <f t="shared" si="16"/>
        <v>0</v>
      </c>
      <c r="AO486" s="74"/>
      <c r="AP486" s="88">
        <f t="shared" si="17"/>
        <v>0</v>
      </c>
      <c r="AQ486" s="75"/>
      <c r="AR486" s="22"/>
      <c r="AS486" s="70">
        <f>'Daily Halba'!$U486-'Daily Halba'!$AP486</f>
        <v>0</v>
      </c>
      <c r="AT486" s="5"/>
      <c r="AU486" s="5"/>
      <c r="AV486" s="5"/>
    </row>
    <row r="487" spans="1:48" ht="12.75" customHeight="1" x14ac:dyDescent="0.3">
      <c r="A487" s="49"/>
      <c r="B487" s="82"/>
      <c r="C487" s="51"/>
      <c r="D487" s="52"/>
      <c r="E487" s="53"/>
      <c r="F487" s="54"/>
      <c r="G487" s="52"/>
      <c r="H487" s="53"/>
      <c r="I487" s="54"/>
      <c r="J487" s="53"/>
      <c r="K487" s="83"/>
      <c r="L487" s="57"/>
      <c r="M487" s="58"/>
      <c r="N487" s="71"/>
      <c r="O487" s="71"/>
      <c r="P487" s="71"/>
      <c r="Q487" s="71"/>
      <c r="R487" s="71"/>
      <c r="S487" s="71"/>
      <c r="T487" s="71"/>
      <c r="U487" s="61">
        <f>SUM('Daily Halba'!$E487,'Daily Halba'!$H487,$M487:$T487)</f>
        <v>0</v>
      </c>
      <c r="V487" s="22"/>
      <c r="W487" s="62"/>
      <c r="X487" s="62"/>
      <c r="Y487" s="62"/>
      <c r="Z487" s="79"/>
      <c r="AA487" s="63"/>
      <c r="AB487" s="64"/>
      <c r="AC487" s="64"/>
      <c r="AD487" s="64"/>
      <c r="AE487" s="65">
        <f t="shared" si="15"/>
        <v>0</v>
      </c>
      <c r="AF487" s="66"/>
      <c r="AG487" s="66"/>
      <c r="AH487" s="66"/>
      <c r="AI487" s="66"/>
      <c r="AJ487" s="66"/>
      <c r="AK487" s="66"/>
      <c r="AL487" s="66"/>
      <c r="AM487" s="66"/>
      <c r="AN487" s="67">
        <f t="shared" si="16"/>
        <v>0</v>
      </c>
      <c r="AO487" s="66"/>
      <c r="AP487" s="68">
        <f t="shared" si="17"/>
        <v>0</v>
      </c>
      <c r="AQ487" s="69"/>
      <c r="AR487" s="22"/>
      <c r="AS487" s="70">
        <f>'Daily Halba'!$U487-'Daily Halba'!$AP487</f>
        <v>0</v>
      </c>
      <c r="AT487" s="5"/>
      <c r="AU487" s="5"/>
      <c r="AV487" s="5"/>
    </row>
    <row r="488" spans="1:48" ht="12.75" customHeight="1" x14ac:dyDescent="0.3">
      <c r="A488" s="49"/>
      <c r="B488" s="82"/>
      <c r="C488" s="51"/>
      <c r="D488" s="52"/>
      <c r="E488" s="53"/>
      <c r="F488" s="54"/>
      <c r="G488" s="52"/>
      <c r="H488" s="53"/>
      <c r="I488" s="54"/>
      <c r="J488" s="53"/>
      <c r="K488" s="83"/>
      <c r="L488" s="57"/>
      <c r="M488" s="58"/>
      <c r="N488" s="71"/>
      <c r="O488" s="71"/>
      <c r="P488" s="71"/>
      <c r="Q488" s="71"/>
      <c r="R488" s="71"/>
      <c r="S488" s="71"/>
      <c r="T488" s="71"/>
      <c r="U488" s="61">
        <f>SUM('Daily Halba'!$E488,'Daily Halba'!$H488,$M488:$T488)</f>
        <v>0</v>
      </c>
      <c r="V488" s="22"/>
      <c r="W488" s="85"/>
      <c r="X488" s="85"/>
      <c r="Y488" s="85"/>
      <c r="Z488" s="85"/>
      <c r="AA488" s="72"/>
      <c r="AB488" s="73"/>
      <c r="AC488" s="73"/>
      <c r="AD488" s="73"/>
      <c r="AE488" s="86">
        <f t="shared" si="15"/>
        <v>0</v>
      </c>
      <c r="AF488" s="74"/>
      <c r="AG488" s="74"/>
      <c r="AH488" s="74"/>
      <c r="AI488" s="74"/>
      <c r="AJ488" s="74"/>
      <c r="AK488" s="74"/>
      <c r="AL488" s="74"/>
      <c r="AM488" s="74"/>
      <c r="AN488" s="87">
        <f t="shared" si="16"/>
        <v>0</v>
      </c>
      <c r="AO488" s="74"/>
      <c r="AP488" s="88">
        <f t="shared" si="17"/>
        <v>0</v>
      </c>
      <c r="AQ488" s="75"/>
      <c r="AR488" s="22"/>
      <c r="AS488" s="70">
        <f>'Daily Halba'!$U488-'Daily Halba'!$AP488</f>
        <v>0</v>
      </c>
      <c r="AT488" s="5"/>
      <c r="AU488" s="5"/>
      <c r="AV488" s="5"/>
    </row>
    <row r="489" spans="1:48" ht="12.75" customHeight="1" x14ac:dyDescent="0.3">
      <c r="A489" s="49"/>
      <c r="B489" s="82"/>
      <c r="C489" s="51"/>
      <c r="D489" s="52"/>
      <c r="E489" s="53"/>
      <c r="F489" s="54"/>
      <c r="G489" s="52"/>
      <c r="H489" s="53"/>
      <c r="I489" s="54"/>
      <c r="J489" s="53"/>
      <c r="K489" s="83"/>
      <c r="L489" s="57"/>
      <c r="M489" s="58"/>
      <c r="N489" s="71"/>
      <c r="O489" s="71"/>
      <c r="P489" s="71"/>
      <c r="Q489" s="71"/>
      <c r="R489" s="71"/>
      <c r="S489" s="71"/>
      <c r="T489" s="71"/>
      <c r="U489" s="61">
        <f>SUM('Daily Halba'!$E489,'Daily Halba'!$H489,$M489:$T489)</f>
        <v>0</v>
      </c>
      <c r="V489" s="22"/>
      <c r="W489" s="62"/>
      <c r="X489" s="62"/>
      <c r="Y489" s="62"/>
      <c r="Z489" s="79"/>
      <c r="AA489" s="63"/>
      <c r="AB489" s="64"/>
      <c r="AC489" s="64"/>
      <c r="AD489" s="64"/>
      <c r="AE489" s="65">
        <f t="shared" si="15"/>
        <v>0</v>
      </c>
      <c r="AF489" s="66"/>
      <c r="AG489" s="66"/>
      <c r="AH489" s="66"/>
      <c r="AI489" s="66"/>
      <c r="AJ489" s="66"/>
      <c r="AK489" s="66"/>
      <c r="AL489" s="66"/>
      <c r="AM489" s="66"/>
      <c r="AN489" s="67">
        <f t="shared" si="16"/>
        <v>0</v>
      </c>
      <c r="AO489" s="66"/>
      <c r="AP489" s="68">
        <f t="shared" si="17"/>
        <v>0</v>
      </c>
      <c r="AQ489" s="69"/>
      <c r="AR489" s="22"/>
      <c r="AS489" s="70">
        <f>'Daily Halba'!$U489-'Daily Halba'!$AP489</f>
        <v>0</v>
      </c>
      <c r="AT489" s="5"/>
      <c r="AU489" s="5"/>
      <c r="AV489" s="5"/>
    </row>
    <row r="490" spans="1:48" ht="12.75" customHeight="1" x14ac:dyDescent="0.3">
      <c r="A490" s="49"/>
      <c r="B490" s="82"/>
      <c r="C490" s="51"/>
      <c r="D490" s="52"/>
      <c r="E490" s="53"/>
      <c r="F490" s="54"/>
      <c r="G490" s="52"/>
      <c r="H490" s="53"/>
      <c r="I490" s="54"/>
      <c r="J490" s="53"/>
      <c r="K490" s="83"/>
      <c r="L490" s="57"/>
      <c r="M490" s="58"/>
      <c r="N490" s="71"/>
      <c r="O490" s="71"/>
      <c r="P490" s="71"/>
      <c r="Q490" s="71"/>
      <c r="R490" s="71"/>
      <c r="S490" s="71"/>
      <c r="T490" s="71"/>
      <c r="U490" s="61">
        <f>SUM('Daily Halba'!$E490,'Daily Halba'!$H490,$M490:$T490)</f>
        <v>0</v>
      </c>
      <c r="V490" s="22"/>
      <c r="W490" s="85"/>
      <c r="X490" s="85"/>
      <c r="Y490" s="85"/>
      <c r="Z490" s="85"/>
      <c r="AA490" s="72"/>
      <c r="AB490" s="73"/>
      <c r="AC490" s="73"/>
      <c r="AD490" s="73"/>
      <c r="AE490" s="86">
        <f t="shared" si="15"/>
        <v>0</v>
      </c>
      <c r="AF490" s="74"/>
      <c r="AG490" s="74"/>
      <c r="AH490" s="74"/>
      <c r="AI490" s="74"/>
      <c r="AJ490" s="74"/>
      <c r="AK490" s="74"/>
      <c r="AL490" s="74"/>
      <c r="AM490" s="74"/>
      <c r="AN490" s="87">
        <f t="shared" si="16"/>
        <v>0</v>
      </c>
      <c r="AO490" s="74"/>
      <c r="AP490" s="88">
        <f t="shared" si="17"/>
        <v>0</v>
      </c>
      <c r="AQ490" s="75"/>
      <c r="AR490" s="22"/>
      <c r="AS490" s="70">
        <f>'Daily Halba'!$U490-'Daily Halba'!$AP490</f>
        <v>0</v>
      </c>
      <c r="AT490" s="5"/>
      <c r="AU490" s="5"/>
      <c r="AV490" s="5"/>
    </row>
    <row r="491" spans="1:48" ht="12.75" customHeight="1" x14ac:dyDescent="0.3">
      <c r="A491" s="49"/>
      <c r="B491" s="82"/>
      <c r="C491" s="51"/>
      <c r="D491" s="52"/>
      <c r="E491" s="53"/>
      <c r="F491" s="54"/>
      <c r="G491" s="52"/>
      <c r="H491" s="53"/>
      <c r="I491" s="54"/>
      <c r="J491" s="53"/>
      <c r="K491" s="83"/>
      <c r="L491" s="57"/>
      <c r="M491" s="58"/>
      <c r="N491" s="71"/>
      <c r="O491" s="71"/>
      <c r="P491" s="71"/>
      <c r="Q491" s="71"/>
      <c r="R491" s="71"/>
      <c r="S491" s="71"/>
      <c r="T491" s="71"/>
      <c r="U491" s="61">
        <f>SUM('Daily Halba'!$E491,'Daily Halba'!$H491,$M491:$T491)</f>
        <v>0</v>
      </c>
      <c r="V491" s="22"/>
      <c r="W491" s="62"/>
      <c r="X491" s="62"/>
      <c r="Y491" s="62"/>
      <c r="Z491" s="79"/>
      <c r="AA491" s="63"/>
      <c r="AB491" s="64"/>
      <c r="AC491" s="64"/>
      <c r="AD491" s="64"/>
      <c r="AE491" s="65">
        <f t="shared" si="15"/>
        <v>0</v>
      </c>
      <c r="AF491" s="66"/>
      <c r="AG491" s="66"/>
      <c r="AH491" s="66"/>
      <c r="AI491" s="66"/>
      <c r="AJ491" s="66"/>
      <c r="AK491" s="66"/>
      <c r="AL491" s="66"/>
      <c r="AM491" s="66"/>
      <c r="AN491" s="67">
        <f t="shared" si="16"/>
        <v>0</v>
      </c>
      <c r="AO491" s="66"/>
      <c r="AP491" s="68">
        <f t="shared" si="17"/>
        <v>0</v>
      </c>
      <c r="AQ491" s="69"/>
      <c r="AR491" s="22"/>
      <c r="AS491" s="70">
        <f>'Daily Halba'!$U491-'Daily Halba'!$AP491</f>
        <v>0</v>
      </c>
      <c r="AT491" s="5"/>
      <c r="AU491" s="5"/>
      <c r="AV491" s="5"/>
    </row>
    <row r="492" spans="1:48" ht="12.75" customHeight="1" x14ac:dyDescent="0.3">
      <c r="A492" s="49"/>
      <c r="B492" s="82"/>
      <c r="C492" s="51"/>
      <c r="D492" s="52"/>
      <c r="E492" s="53"/>
      <c r="F492" s="54"/>
      <c r="G492" s="52"/>
      <c r="H492" s="53"/>
      <c r="I492" s="54"/>
      <c r="J492" s="53"/>
      <c r="K492" s="83"/>
      <c r="L492" s="57"/>
      <c r="M492" s="58"/>
      <c r="N492" s="71"/>
      <c r="O492" s="71"/>
      <c r="P492" s="71"/>
      <c r="Q492" s="71"/>
      <c r="R492" s="71"/>
      <c r="S492" s="71"/>
      <c r="T492" s="71"/>
      <c r="U492" s="61">
        <f>SUM('Daily Halba'!$E492,'Daily Halba'!$H492,$M492:$T492)</f>
        <v>0</v>
      </c>
      <c r="V492" s="22"/>
      <c r="W492" s="85"/>
      <c r="X492" s="85"/>
      <c r="Y492" s="85"/>
      <c r="Z492" s="85"/>
      <c r="AA492" s="72"/>
      <c r="AB492" s="73"/>
      <c r="AC492" s="73"/>
      <c r="AD492" s="73"/>
      <c r="AE492" s="86">
        <f t="shared" si="15"/>
        <v>0</v>
      </c>
      <c r="AF492" s="74"/>
      <c r="AG492" s="74"/>
      <c r="AH492" s="74"/>
      <c r="AI492" s="74"/>
      <c r="AJ492" s="74"/>
      <c r="AK492" s="74"/>
      <c r="AL492" s="74"/>
      <c r="AM492" s="74"/>
      <c r="AN492" s="87">
        <f t="shared" si="16"/>
        <v>0</v>
      </c>
      <c r="AO492" s="74"/>
      <c r="AP492" s="88">
        <f t="shared" si="17"/>
        <v>0</v>
      </c>
      <c r="AQ492" s="75"/>
      <c r="AR492" s="22"/>
      <c r="AS492" s="70">
        <f>'Daily Halba'!$U492-'Daily Halba'!$AP492</f>
        <v>0</v>
      </c>
      <c r="AT492" s="5"/>
      <c r="AU492" s="5"/>
      <c r="AV492" s="5"/>
    </row>
    <row r="493" spans="1:48" ht="12.75" customHeight="1" x14ac:dyDescent="0.3">
      <c r="A493" s="49"/>
      <c r="B493" s="82"/>
      <c r="C493" s="51"/>
      <c r="D493" s="52"/>
      <c r="E493" s="53"/>
      <c r="F493" s="54"/>
      <c r="G493" s="52"/>
      <c r="H493" s="53"/>
      <c r="I493" s="54"/>
      <c r="J493" s="53"/>
      <c r="K493" s="83"/>
      <c r="L493" s="57"/>
      <c r="M493" s="58"/>
      <c r="N493" s="71"/>
      <c r="O493" s="71"/>
      <c r="P493" s="71"/>
      <c r="Q493" s="71"/>
      <c r="R493" s="71"/>
      <c r="S493" s="71"/>
      <c r="T493" s="71"/>
      <c r="U493" s="61">
        <f>SUM('Daily Halba'!$E493,'Daily Halba'!$H493,$M493:$T493)</f>
        <v>0</v>
      </c>
      <c r="V493" s="22"/>
      <c r="W493" s="62"/>
      <c r="X493" s="62"/>
      <c r="Y493" s="62"/>
      <c r="Z493" s="79"/>
      <c r="AA493" s="63"/>
      <c r="AB493" s="64"/>
      <c r="AC493" s="64"/>
      <c r="AD493" s="64"/>
      <c r="AE493" s="65">
        <f t="shared" si="15"/>
        <v>0</v>
      </c>
      <c r="AF493" s="66"/>
      <c r="AG493" s="66"/>
      <c r="AH493" s="66"/>
      <c r="AI493" s="66"/>
      <c r="AJ493" s="66"/>
      <c r="AK493" s="66"/>
      <c r="AL493" s="66"/>
      <c r="AM493" s="66"/>
      <c r="AN493" s="67">
        <f t="shared" si="16"/>
        <v>0</v>
      </c>
      <c r="AO493" s="66"/>
      <c r="AP493" s="68">
        <f t="shared" si="17"/>
        <v>0</v>
      </c>
      <c r="AQ493" s="69"/>
      <c r="AR493" s="22"/>
      <c r="AS493" s="70">
        <f>'Daily Halba'!$U493-'Daily Halba'!$AP493</f>
        <v>0</v>
      </c>
      <c r="AT493" s="5"/>
      <c r="AU493" s="5"/>
      <c r="AV493" s="5"/>
    </row>
    <row r="494" spans="1:48" ht="12.75" customHeight="1" x14ac:dyDescent="0.3">
      <c r="A494" s="49"/>
      <c r="B494" s="82"/>
      <c r="C494" s="51"/>
      <c r="D494" s="52"/>
      <c r="E494" s="53"/>
      <c r="F494" s="54"/>
      <c r="G494" s="52"/>
      <c r="H494" s="53"/>
      <c r="I494" s="54"/>
      <c r="J494" s="53"/>
      <c r="K494" s="83"/>
      <c r="L494" s="57"/>
      <c r="M494" s="58"/>
      <c r="N494" s="71"/>
      <c r="O494" s="71"/>
      <c r="P494" s="71"/>
      <c r="Q494" s="71"/>
      <c r="R494" s="71"/>
      <c r="S494" s="71"/>
      <c r="T494" s="71"/>
      <c r="U494" s="61">
        <f>SUM('Daily Halba'!$E494,'Daily Halba'!$H494,$M494:$T494)</f>
        <v>0</v>
      </c>
      <c r="V494" s="22"/>
      <c r="W494" s="85"/>
      <c r="X494" s="85"/>
      <c r="Y494" s="85"/>
      <c r="Z494" s="85"/>
      <c r="AA494" s="72"/>
      <c r="AB494" s="73"/>
      <c r="AC494" s="73"/>
      <c r="AD494" s="73"/>
      <c r="AE494" s="86">
        <f t="shared" si="15"/>
        <v>0</v>
      </c>
      <c r="AF494" s="74"/>
      <c r="AG494" s="74"/>
      <c r="AH494" s="74"/>
      <c r="AI494" s="74"/>
      <c r="AJ494" s="74"/>
      <c r="AK494" s="74"/>
      <c r="AL494" s="74"/>
      <c r="AM494" s="74"/>
      <c r="AN494" s="87">
        <f t="shared" si="16"/>
        <v>0</v>
      </c>
      <c r="AO494" s="74"/>
      <c r="AP494" s="88">
        <f t="shared" si="17"/>
        <v>0</v>
      </c>
      <c r="AQ494" s="75"/>
      <c r="AR494" s="22"/>
      <c r="AS494" s="70">
        <f>'Daily Halba'!$U494-'Daily Halba'!$AP494</f>
        <v>0</v>
      </c>
      <c r="AT494" s="5"/>
      <c r="AU494" s="5"/>
      <c r="AV494" s="5"/>
    </row>
    <row r="495" spans="1:48" ht="12.75" customHeight="1" x14ac:dyDescent="0.3">
      <c r="A495" s="49"/>
      <c r="B495" s="82"/>
      <c r="C495" s="51"/>
      <c r="D495" s="52"/>
      <c r="E495" s="53"/>
      <c r="F495" s="54"/>
      <c r="G495" s="52"/>
      <c r="H495" s="53"/>
      <c r="I495" s="54"/>
      <c r="J495" s="53"/>
      <c r="K495" s="83"/>
      <c r="L495" s="57"/>
      <c r="M495" s="58"/>
      <c r="N495" s="71"/>
      <c r="O495" s="71"/>
      <c r="P495" s="71"/>
      <c r="Q495" s="71"/>
      <c r="R495" s="71"/>
      <c r="S495" s="71"/>
      <c r="T495" s="71"/>
      <c r="U495" s="61">
        <f>SUM('Daily Halba'!$E495,'Daily Halba'!$H495,$M495:$T495)</f>
        <v>0</v>
      </c>
      <c r="V495" s="22"/>
      <c r="W495" s="62"/>
      <c r="X495" s="62"/>
      <c r="Y495" s="62"/>
      <c r="Z495" s="79"/>
      <c r="AA495" s="63"/>
      <c r="AB495" s="64"/>
      <c r="AC495" s="64"/>
      <c r="AD495" s="64"/>
      <c r="AE495" s="65">
        <f t="shared" si="15"/>
        <v>0</v>
      </c>
      <c r="AF495" s="66"/>
      <c r="AG495" s="66"/>
      <c r="AH495" s="66"/>
      <c r="AI495" s="66"/>
      <c r="AJ495" s="66"/>
      <c r="AK495" s="66"/>
      <c r="AL495" s="66"/>
      <c r="AM495" s="66"/>
      <c r="AN495" s="67">
        <f t="shared" si="16"/>
        <v>0</v>
      </c>
      <c r="AO495" s="66"/>
      <c r="AP495" s="68">
        <f t="shared" si="17"/>
        <v>0</v>
      </c>
      <c r="AQ495" s="69"/>
      <c r="AR495" s="22"/>
      <c r="AS495" s="70">
        <f>'Daily Halba'!$U495-'Daily Halba'!$AP495</f>
        <v>0</v>
      </c>
      <c r="AT495" s="5"/>
      <c r="AU495" s="5"/>
      <c r="AV495" s="5"/>
    </row>
    <row r="496" spans="1:48" ht="12.75" customHeight="1" x14ac:dyDescent="0.3">
      <c r="A496" s="49"/>
      <c r="B496" s="82"/>
      <c r="C496" s="51"/>
      <c r="D496" s="52"/>
      <c r="E496" s="53"/>
      <c r="F496" s="54"/>
      <c r="G496" s="52"/>
      <c r="H496" s="53"/>
      <c r="I496" s="54"/>
      <c r="J496" s="53"/>
      <c r="K496" s="83"/>
      <c r="L496" s="57"/>
      <c r="M496" s="58"/>
      <c r="N496" s="71"/>
      <c r="O496" s="71"/>
      <c r="P496" s="71"/>
      <c r="Q496" s="71"/>
      <c r="R496" s="71"/>
      <c r="S496" s="71"/>
      <c r="T496" s="71"/>
      <c r="U496" s="61">
        <f>SUM('Daily Halba'!$E496,'Daily Halba'!$H496,$M496:$T496)</f>
        <v>0</v>
      </c>
      <c r="V496" s="22"/>
      <c r="W496" s="85"/>
      <c r="X496" s="85"/>
      <c r="Y496" s="85"/>
      <c r="Z496" s="85"/>
      <c r="AA496" s="72"/>
      <c r="AB496" s="73"/>
      <c r="AC496" s="73"/>
      <c r="AD496" s="73"/>
      <c r="AE496" s="86">
        <f t="shared" si="15"/>
        <v>0</v>
      </c>
      <c r="AF496" s="74"/>
      <c r="AG496" s="74"/>
      <c r="AH496" s="74"/>
      <c r="AI496" s="74"/>
      <c r="AJ496" s="74"/>
      <c r="AK496" s="74"/>
      <c r="AL496" s="74"/>
      <c r="AM496" s="74"/>
      <c r="AN496" s="87">
        <f t="shared" si="16"/>
        <v>0</v>
      </c>
      <c r="AO496" s="74"/>
      <c r="AP496" s="88">
        <f t="shared" si="17"/>
        <v>0</v>
      </c>
      <c r="AQ496" s="75"/>
      <c r="AR496" s="22"/>
      <c r="AS496" s="70">
        <f>'Daily Halba'!$U496-'Daily Halba'!$AP496</f>
        <v>0</v>
      </c>
      <c r="AT496" s="5"/>
      <c r="AU496" s="5"/>
      <c r="AV496" s="5"/>
    </row>
    <row r="497" spans="1:48" ht="12.75" customHeight="1" x14ac:dyDescent="0.3">
      <c r="A497" s="49"/>
      <c r="B497" s="82"/>
      <c r="C497" s="51"/>
      <c r="D497" s="52"/>
      <c r="E497" s="53"/>
      <c r="F497" s="54"/>
      <c r="G497" s="52"/>
      <c r="H497" s="53"/>
      <c r="I497" s="54"/>
      <c r="J497" s="53"/>
      <c r="K497" s="83"/>
      <c r="L497" s="57"/>
      <c r="M497" s="58"/>
      <c r="N497" s="71"/>
      <c r="O497" s="71"/>
      <c r="P497" s="71"/>
      <c r="Q497" s="71"/>
      <c r="R497" s="71"/>
      <c r="S497" s="71"/>
      <c r="T497" s="71"/>
      <c r="U497" s="61">
        <f>SUM('Daily Halba'!$E497,'Daily Halba'!$H497,$M497:$T497)</f>
        <v>0</v>
      </c>
      <c r="V497" s="22"/>
      <c r="W497" s="62"/>
      <c r="X497" s="62"/>
      <c r="Y497" s="62"/>
      <c r="Z497" s="79"/>
      <c r="AA497" s="63"/>
      <c r="AB497" s="64"/>
      <c r="AC497" s="64"/>
      <c r="AD497" s="64"/>
      <c r="AE497" s="65">
        <f t="shared" si="15"/>
        <v>0</v>
      </c>
      <c r="AF497" s="66"/>
      <c r="AG497" s="66"/>
      <c r="AH497" s="66"/>
      <c r="AI497" s="66"/>
      <c r="AJ497" s="66"/>
      <c r="AK497" s="66"/>
      <c r="AL497" s="66"/>
      <c r="AM497" s="66"/>
      <c r="AN497" s="67">
        <f t="shared" si="16"/>
        <v>0</v>
      </c>
      <c r="AO497" s="66"/>
      <c r="AP497" s="68">
        <f t="shared" si="17"/>
        <v>0</v>
      </c>
      <c r="AQ497" s="69"/>
      <c r="AR497" s="22"/>
      <c r="AS497" s="70">
        <f>'Daily Halba'!$U497-'Daily Halba'!$AP497</f>
        <v>0</v>
      </c>
      <c r="AT497" s="5"/>
      <c r="AU497" s="5"/>
      <c r="AV497" s="5"/>
    </row>
    <row r="498" spans="1:48" ht="12.75" customHeight="1" x14ac:dyDescent="0.3">
      <c r="A498" s="49"/>
      <c r="B498" s="82"/>
      <c r="C498" s="51"/>
      <c r="D498" s="52"/>
      <c r="E498" s="53"/>
      <c r="F498" s="54"/>
      <c r="G498" s="52"/>
      <c r="H498" s="53"/>
      <c r="I498" s="54"/>
      <c r="J498" s="53"/>
      <c r="K498" s="83"/>
      <c r="L498" s="57"/>
      <c r="M498" s="58"/>
      <c r="N498" s="71"/>
      <c r="O498" s="71"/>
      <c r="P498" s="71"/>
      <c r="Q498" s="71"/>
      <c r="R498" s="71"/>
      <c r="S498" s="71"/>
      <c r="T498" s="71"/>
      <c r="U498" s="61">
        <f>SUM('Daily Halba'!$E498,'Daily Halba'!$H498,$M498:$T498)</f>
        <v>0</v>
      </c>
      <c r="V498" s="22"/>
      <c r="W498" s="85"/>
      <c r="X498" s="85"/>
      <c r="Y498" s="85"/>
      <c r="Z498" s="85"/>
      <c r="AA498" s="72"/>
      <c r="AB498" s="73"/>
      <c r="AC498" s="73"/>
      <c r="AD498" s="73"/>
      <c r="AE498" s="86">
        <f t="shared" si="15"/>
        <v>0</v>
      </c>
      <c r="AF498" s="74"/>
      <c r="AG498" s="74"/>
      <c r="AH498" s="74"/>
      <c r="AI498" s="74"/>
      <c r="AJ498" s="74"/>
      <c r="AK498" s="74"/>
      <c r="AL498" s="74"/>
      <c r="AM498" s="74"/>
      <c r="AN498" s="87">
        <f t="shared" si="16"/>
        <v>0</v>
      </c>
      <c r="AO498" s="74"/>
      <c r="AP498" s="88">
        <f t="shared" si="17"/>
        <v>0</v>
      </c>
      <c r="AQ498" s="75"/>
      <c r="AR498" s="22"/>
      <c r="AS498" s="70">
        <f>'Daily Halba'!$U498-'Daily Halba'!$AP498</f>
        <v>0</v>
      </c>
      <c r="AT498" s="5"/>
      <c r="AU498" s="5"/>
      <c r="AV498" s="5"/>
    </row>
    <row r="499" spans="1:48" ht="12.75" customHeight="1" x14ac:dyDescent="0.3">
      <c r="A499" s="49"/>
      <c r="B499" s="82"/>
      <c r="C499" s="51"/>
      <c r="D499" s="52"/>
      <c r="E499" s="53"/>
      <c r="F499" s="54"/>
      <c r="G499" s="52"/>
      <c r="H499" s="53"/>
      <c r="I499" s="54"/>
      <c r="J499" s="53"/>
      <c r="K499" s="83"/>
      <c r="L499" s="57"/>
      <c r="M499" s="58"/>
      <c r="N499" s="71"/>
      <c r="O499" s="71"/>
      <c r="P499" s="71"/>
      <c r="Q499" s="71"/>
      <c r="R499" s="71"/>
      <c r="S499" s="71"/>
      <c r="T499" s="71"/>
      <c r="U499" s="61">
        <f>SUM('Daily Halba'!$E499,'Daily Halba'!$H499,$M499:$T499)</f>
        <v>0</v>
      </c>
      <c r="V499" s="22"/>
      <c r="W499" s="62"/>
      <c r="X499" s="62"/>
      <c r="Y499" s="62"/>
      <c r="Z499" s="79"/>
      <c r="AA499" s="63"/>
      <c r="AB499" s="64"/>
      <c r="AC499" s="64"/>
      <c r="AD499" s="64"/>
      <c r="AE499" s="65">
        <f t="shared" si="15"/>
        <v>0</v>
      </c>
      <c r="AF499" s="66"/>
      <c r="AG499" s="66"/>
      <c r="AH499" s="66"/>
      <c r="AI499" s="66"/>
      <c r="AJ499" s="66"/>
      <c r="AK499" s="66"/>
      <c r="AL499" s="66"/>
      <c r="AM499" s="66"/>
      <c r="AN499" s="67">
        <f t="shared" si="16"/>
        <v>0</v>
      </c>
      <c r="AO499" s="66"/>
      <c r="AP499" s="68">
        <f t="shared" si="17"/>
        <v>0</v>
      </c>
      <c r="AQ499" s="69"/>
      <c r="AR499" s="22"/>
      <c r="AS499" s="70">
        <f>'Daily Halba'!$U499-'Daily Halba'!$AP499</f>
        <v>0</v>
      </c>
      <c r="AT499" s="5"/>
      <c r="AU499" s="5"/>
      <c r="AV499" s="5"/>
    </row>
    <row r="500" spans="1:48" ht="12.75" customHeight="1" x14ac:dyDescent="0.3">
      <c r="A500" s="49"/>
      <c r="B500" s="82"/>
      <c r="C500" s="51"/>
      <c r="D500" s="52"/>
      <c r="E500" s="53"/>
      <c r="F500" s="54"/>
      <c r="G500" s="52"/>
      <c r="H500" s="53"/>
      <c r="I500" s="54"/>
      <c r="J500" s="53"/>
      <c r="K500" s="83"/>
      <c r="L500" s="57"/>
      <c r="M500" s="58"/>
      <c r="N500" s="71"/>
      <c r="O500" s="71"/>
      <c r="P500" s="71"/>
      <c r="Q500" s="71"/>
      <c r="R500" s="71"/>
      <c r="S500" s="71"/>
      <c r="T500" s="71"/>
      <c r="U500" s="61">
        <f>SUM('Daily Halba'!$E500,'Daily Halba'!$H500,$M500:$T500)</f>
        <v>0</v>
      </c>
      <c r="V500" s="22"/>
      <c r="W500" s="85"/>
      <c r="X500" s="85"/>
      <c r="Y500" s="85"/>
      <c r="Z500" s="85"/>
      <c r="AA500" s="72"/>
      <c r="AB500" s="73"/>
      <c r="AC500" s="73"/>
      <c r="AD500" s="73"/>
      <c r="AE500" s="86">
        <f t="shared" si="15"/>
        <v>0</v>
      </c>
      <c r="AF500" s="74"/>
      <c r="AG500" s="74"/>
      <c r="AH500" s="74"/>
      <c r="AI500" s="74"/>
      <c r="AJ500" s="74"/>
      <c r="AK500" s="74"/>
      <c r="AL500" s="74"/>
      <c r="AM500" s="74"/>
      <c r="AN500" s="87">
        <f t="shared" si="16"/>
        <v>0</v>
      </c>
      <c r="AO500" s="74"/>
      <c r="AP500" s="88">
        <f t="shared" si="17"/>
        <v>0</v>
      </c>
      <c r="AQ500" s="75"/>
      <c r="AR500" s="22"/>
      <c r="AS500" s="70">
        <f>'Daily Halba'!$U500-'Daily Halba'!$AP500</f>
        <v>0</v>
      </c>
      <c r="AT500" s="5"/>
      <c r="AU500" s="5"/>
      <c r="AV500" s="5"/>
    </row>
    <row r="501" spans="1:48" ht="12.75" customHeight="1" x14ac:dyDescent="0.3">
      <c r="A501" s="49"/>
      <c r="B501" s="82"/>
      <c r="C501" s="51"/>
      <c r="D501" s="52"/>
      <c r="E501" s="53"/>
      <c r="F501" s="54"/>
      <c r="G501" s="52"/>
      <c r="H501" s="53"/>
      <c r="I501" s="54"/>
      <c r="J501" s="53"/>
      <c r="K501" s="83"/>
      <c r="L501" s="57"/>
      <c r="M501" s="58"/>
      <c r="N501" s="71"/>
      <c r="O501" s="71"/>
      <c r="P501" s="71"/>
      <c r="Q501" s="71"/>
      <c r="R501" s="71"/>
      <c r="S501" s="71"/>
      <c r="T501" s="71"/>
      <c r="U501" s="61">
        <f>SUM('Daily Halba'!$E501,'Daily Halba'!$H501,$M501:$T501)</f>
        <v>0</v>
      </c>
      <c r="V501" s="22"/>
      <c r="W501" s="62"/>
      <c r="X501" s="62"/>
      <c r="Y501" s="62"/>
      <c r="Z501" s="79"/>
      <c r="AA501" s="63"/>
      <c r="AB501" s="64"/>
      <c r="AC501" s="64"/>
      <c r="AD501" s="64"/>
      <c r="AE501" s="65">
        <f t="shared" si="15"/>
        <v>0</v>
      </c>
      <c r="AF501" s="66"/>
      <c r="AG501" s="66"/>
      <c r="AH501" s="66"/>
      <c r="AI501" s="66"/>
      <c r="AJ501" s="66"/>
      <c r="AK501" s="66"/>
      <c r="AL501" s="66"/>
      <c r="AM501" s="66"/>
      <c r="AN501" s="67">
        <f t="shared" si="16"/>
        <v>0</v>
      </c>
      <c r="AO501" s="66"/>
      <c r="AP501" s="68">
        <f t="shared" si="17"/>
        <v>0</v>
      </c>
      <c r="AQ501" s="69"/>
      <c r="AR501" s="22"/>
      <c r="AS501" s="70">
        <f>'Daily Halba'!$U501-'Daily Halba'!$AP501</f>
        <v>0</v>
      </c>
      <c r="AT501" s="5"/>
      <c r="AU501" s="5"/>
      <c r="AV501" s="5"/>
    </row>
    <row r="502" spans="1:48" ht="12.75" customHeight="1" x14ac:dyDescent="0.3">
      <c r="A502" s="49"/>
      <c r="B502" s="82"/>
      <c r="C502" s="51"/>
      <c r="D502" s="52"/>
      <c r="E502" s="53"/>
      <c r="F502" s="54"/>
      <c r="G502" s="52"/>
      <c r="H502" s="53"/>
      <c r="I502" s="54"/>
      <c r="J502" s="53"/>
      <c r="K502" s="83"/>
      <c r="L502" s="57"/>
      <c r="M502" s="58"/>
      <c r="N502" s="71"/>
      <c r="O502" s="71"/>
      <c r="P502" s="71"/>
      <c r="Q502" s="71"/>
      <c r="R502" s="71"/>
      <c r="S502" s="71"/>
      <c r="T502" s="71"/>
      <c r="U502" s="61">
        <f>SUM('Daily Halba'!$E502,'Daily Halba'!$H502,$M502:$T502)</f>
        <v>0</v>
      </c>
      <c r="V502" s="22"/>
      <c r="W502" s="85"/>
      <c r="X502" s="85"/>
      <c r="Y502" s="85"/>
      <c r="Z502" s="85"/>
      <c r="AA502" s="72"/>
      <c r="AB502" s="73"/>
      <c r="AC502" s="73"/>
      <c r="AD502" s="73"/>
      <c r="AE502" s="86">
        <f t="shared" si="15"/>
        <v>0</v>
      </c>
      <c r="AF502" s="74"/>
      <c r="AG502" s="74"/>
      <c r="AH502" s="74"/>
      <c r="AI502" s="74"/>
      <c r="AJ502" s="74"/>
      <c r="AK502" s="74"/>
      <c r="AL502" s="74"/>
      <c r="AM502" s="74"/>
      <c r="AN502" s="87">
        <f t="shared" si="16"/>
        <v>0</v>
      </c>
      <c r="AO502" s="74"/>
      <c r="AP502" s="88">
        <f t="shared" si="17"/>
        <v>0</v>
      </c>
      <c r="AQ502" s="75"/>
      <c r="AR502" s="22"/>
      <c r="AS502" s="70">
        <f>'Daily Halba'!$U502-'Daily Halba'!$AP502</f>
        <v>0</v>
      </c>
      <c r="AT502" s="5"/>
      <c r="AU502" s="5"/>
      <c r="AV502" s="5"/>
    </row>
    <row r="503" spans="1:48" ht="12.75" customHeight="1" x14ac:dyDescent="0.3">
      <c r="A503" s="49"/>
      <c r="B503" s="82"/>
      <c r="C503" s="51"/>
      <c r="D503" s="52"/>
      <c r="E503" s="53"/>
      <c r="F503" s="54"/>
      <c r="G503" s="52"/>
      <c r="H503" s="53"/>
      <c r="I503" s="54"/>
      <c r="J503" s="53"/>
      <c r="K503" s="83"/>
      <c r="L503" s="57"/>
      <c r="M503" s="58"/>
      <c r="N503" s="71"/>
      <c r="O503" s="71"/>
      <c r="P503" s="71"/>
      <c r="Q503" s="71"/>
      <c r="R503" s="71"/>
      <c r="S503" s="71"/>
      <c r="T503" s="71"/>
      <c r="U503" s="61">
        <f>SUM('Daily Halba'!$E503,'Daily Halba'!$H503,$M503:$T503)</f>
        <v>0</v>
      </c>
      <c r="V503" s="22"/>
      <c r="W503" s="62"/>
      <c r="X503" s="62"/>
      <c r="Y503" s="62"/>
      <c r="Z503" s="79"/>
      <c r="AA503" s="63"/>
      <c r="AB503" s="64"/>
      <c r="AC503" s="64"/>
      <c r="AD503" s="64"/>
      <c r="AE503" s="65">
        <f t="shared" si="15"/>
        <v>0</v>
      </c>
      <c r="AF503" s="66"/>
      <c r="AG503" s="66"/>
      <c r="AH503" s="66"/>
      <c r="AI503" s="66"/>
      <c r="AJ503" s="66"/>
      <c r="AK503" s="66"/>
      <c r="AL503" s="66"/>
      <c r="AM503" s="66"/>
      <c r="AN503" s="67">
        <f t="shared" si="16"/>
        <v>0</v>
      </c>
      <c r="AO503" s="66"/>
      <c r="AP503" s="68">
        <f t="shared" si="17"/>
        <v>0</v>
      </c>
      <c r="AQ503" s="69"/>
      <c r="AR503" s="22"/>
      <c r="AS503" s="70">
        <f>'Daily Halba'!$U503-'Daily Halba'!$AP503</f>
        <v>0</v>
      </c>
      <c r="AT503" s="5"/>
      <c r="AU503" s="5"/>
      <c r="AV503" s="5"/>
    </row>
    <row r="504" spans="1:48" ht="12.75" customHeight="1" x14ac:dyDescent="0.3">
      <c r="A504" s="49"/>
      <c r="B504" s="82"/>
      <c r="C504" s="51"/>
      <c r="D504" s="52"/>
      <c r="E504" s="53"/>
      <c r="F504" s="54"/>
      <c r="G504" s="52"/>
      <c r="H504" s="53"/>
      <c r="I504" s="54"/>
      <c r="J504" s="53"/>
      <c r="K504" s="83"/>
      <c r="L504" s="57"/>
      <c r="M504" s="58"/>
      <c r="N504" s="71"/>
      <c r="O504" s="71"/>
      <c r="P504" s="71"/>
      <c r="Q504" s="71"/>
      <c r="R504" s="71"/>
      <c r="S504" s="71"/>
      <c r="T504" s="71"/>
      <c r="U504" s="61">
        <f>SUM('Daily Halba'!$E504,'Daily Halba'!$H504,$M504:$T504)</f>
        <v>0</v>
      </c>
      <c r="V504" s="22"/>
      <c r="W504" s="85"/>
      <c r="X504" s="85"/>
      <c r="Y504" s="85"/>
      <c r="Z504" s="85"/>
      <c r="AA504" s="72"/>
      <c r="AB504" s="73"/>
      <c r="AC504" s="73"/>
      <c r="AD504" s="73"/>
      <c r="AE504" s="86">
        <f t="shared" si="15"/>
        <v>0</v>
      </c>
      <c r="AF504" s="74"/>
      <c r="AG504" s="74"/>
      <c r="AH504" s="74"/>
      <c r="AI504" s="74"/>
      <c r="AJ504" s="74"/>
      <c r="AK504" s="74"/>
      <c r="AL504" s="74"/>
      <c r="AM504" s="74"/>
      <c r="AN504" s="87">
        <f t="shared" si="16"/>
        <v>0</v>
      </c>
      <c r="AO504" s="74"/>
      <c r="AP504" s="88">
        <f t="shared" si="17"/>
        <v>0</v>
      </c>
      <c r="AQ504" s="75"/>
      <c r="AR504" s="22"/>
      <c r="AS504" s="70">
        <f>'Daily Halba'!$U504-'Daily Halba'!$AP504</f>
        <v>0</v>
      </c>
      <c r="AT504" s="5"/>
      <c r="AU504" s="5"/>
      <c r="AV504" s="5"/>
    </row>
    <row r="505" spans="1:48" ht="12.75" customHeight="1" x14ac:dyDescent="0.3">
      <c r="A505" s="49"/>
      <c r="B505" s="82"/>
      <c r="C505" s="51"/>
      <c r="D505" s="52"/>
      <c r="E505" s="53"/>
      <c r="F505" s="54"/>
      <c r="G505" s="52"/>
      <c r="H505" s="53"/>
      <c r="I505" s="54"/>
      <c r="J505" s="53"/>
      <c r="K505" s="83"/>
      <c r="L505" s="57"/>
      <c r="M505" s="58"/>
      <c r="N505" s="71"/>
      <c r="O505" s="71"/>
      <c r="P505" s="71"/>
      <c r="Q505" s="71"/>
      <c r="R505" s="71"/>
      <c r="S505" s="71"/>
      <c r="T505" s="71"/>
      <c r="U505" s="61">
        <f>SUM('Daily Halba'!$E505,'Daily Halba'!$H505,$M505:$T505)</f>
        <v>0</v>
      </c>
      <c r="V505" s="22"/>
      <c r="W505" s="62"/>
      <c r="X505" s="62"/>
      <c r="Y505" s="62"/>
      <c r="Z505" s="79"/>
      <c r="AA505" s="63"/>
      <c r="AB505" s="64"/>
      <c r="AC505" s="64"/>
      <c r="AD505" s="64"/>
      <c r="AE505" s="65">
        <f t="shared" si="15"/>
        <v>0</v>
      </c>
      <c r="AF505" s="66"/>
      <c r="AG505" s="66"/>
      <c r="AH505" s="66"/>
      <c r="AI505" s="66"/>
      <c r="AJ505" s="66"/>
      <c r="AK505" s="66"/>
      <c r="AL505" s="66"/>
      <c r="AM505" s="66"/>
      <c r="AN505" s="67">
        <f t="shared" si="16"/>
        <v>0</v>
      </c>
      <c r="AO505" s="66"/>
      <c r="AP505" s="68">
        <f t="shared" si="17"/>
        <v>0</v>
      </c>
      <c r="AQ505" s="69"/>
      <c r="AR505" s="22"/>
      <c r="AS505" s="70">
        <f>'Daily Halba'!$U505-'Daily Halba'!$AP505</f>
        <v>0</v>
      </c>
      <c r="AT505" s="5"/>
      <c r="AU505" s="5"/>
      <c r="AV505" s="5"/>
    </row>
    <row r="506" spans="1:48" ht="12.75" customHeight="1" x14ac:dyDescent="0.3">
      <c r="A506" s="49"/>
      <c r="B506" s="82"/>
      <c r="C506" s="51"/>
      <c r="D506" s="52"/>
      <c r="E506" s="53"/>
      <c r="F506" s="54"/>
      <c r="G506" s="52"/>
      <c r="H506" s="53"/>
      <c r="I506" s="54"/>
      <c r="J506" s="53"/>
      <c r="K506" s="83"/>
      <c r="L506" s="57"/>
      <c r="M506" s="58"/>
      <c r="N506" s="71"/>
      <c r="O506" s="71"/>
      <c r="P506" s="71"/>
      <c r="Q506" s="71"/>
      <c r="R506" s="71"/>
      <c r="S506" s="71"/>
      <c r="T506" s="71"/>
      <c r="U506" s="61">
        <f>SUM('Daily Halba'!$E506,'Daily Halba'!$H506,$M506:$T506)</f>
        <v>0</v>
      </c>
      <c r="V506" s="22"/>
      <c r="W506" s="85"/>
      <c r="X506" s="85"/>
      <c r="Y506" s="85"/>
      <c r="Z506" s="85"/>
      <c r="AA506" s="72"/>
      <c r="AB506" s="73"/>
      <c r="AC506" s="73"/>
      <c r="AD506" s="73"/>
      <c r="AE506" s="86">
        <f t="shared" si="15"/>
        <v>0</v>
      </c>
      <c r="AF506" s="74"/>
      <c r="AG506" s="74"/>
      <c r="AH506" s="74"/>
      <c r="AI506" s="74"/>
      <c r="AJ506" s="74"/>
      <c r="AK506" s="74"/>
      <c r="AL506" s="74"/>
      <c r="AM506" s="74"/>
      <c r="AN506" s="87">
        <f t="shared" si="16"/>
        <v>0</v>
      </c>
      <c r="AO506" s="74"/>
      <c r="AP506" s="88">
        <f t="shared" si="17"/>
        <v>0</v>
      </c>
      <c r="AQ506" s="75"/>
      <c r="AR506" s="22"/>
      <c r="AS506" s="70">
        <f>'Daily Halba'!$U506-'Daily Halba'!$AP506</f>
        <v>0</v>
      </c>
      <c r="AT506" s="5"/>
      <c r="AU506" s="5"/>
      <c r="AV506" s="5"/>
    </row>
    <row r="507" spans="1:48" ht="12.75" customHeight="1" x14ac:dyDescent="0.3">
      <c r="A507" s="49"/>
      <c r="B507" s="82"/>
      <c r="C507" s="51"/>
      <c r="D507" s="52"/>
      <c r="E507" s="53"/>
      <c r="F507" s="54"/>
      <c r="G507" s="52"/>
      <c r="H507" s="53"/>
      <c r="I507" s="54"/>
      <c r="J507" s="53"/>
      <c r="K507" s="83"/>
      <c r="L507" s="57"/>
      <c r="M507" s="58"/>
      <c r="N507" s="71"/>
      <c r="O507" s="71"/>
      <c r="P507" s="71"/>
      <c r="Q507" s="71"/>
      <c r="R507" s="71"/>
      <c r="S507" s="71"/>
      <c r="T507" s="71"/>
      <c r="U507" s="61">
        <f>SUM('Daily Halba'!$E507,'Daily Halba'!$H507,$M507:$T507)</f>
        <v>0</v>
      </c>
      <c r="V507" s="22"/>
      <c r="W507" s="62"/>
      <c r="X507" s="62"/>
      <c r="Y507" s="62"/>
      <c r="Z507" s="79"/>
      <c r="AA507" s="63"/>
      <c r="AB507" s="64"/>
      <c r="AC507" s="64"/>
      <c r="AD507" s="64"/>
      <c r="AE507" s="65">
        <f t="shared" si="15"/>
        <v>0</v>
      </c>
      <c r="AF507" s="66"/>
      <c r="AG507" s="66"/>
      <c r="AH507" s="66"/>
      <c r="AI507" s="66"/>
      <c r="AJ507" s="66"/>
      <c r="AK507" s="66"/>
      <c r="AL507" s="66"/>
      <c r="AM507" s="66"/>
      <c r="AN507" s="67">
        <f t="shared" si="16"/>
        <v>0</v>
      </c>
      <c r="AO507" s="66"/>
      <c r="AP507" s="68">
        <f t="shared" si="17"/>
        <v>0</v>
      </c>
      <c r="AQ507" s="69"/>
      <c r="AR507" s="22"/>
      <c r="AS507" s="70">
        <f>'Daily Halba'!$U507-'Daily Halba'!$AP507</f>
        <v>0</v>
      </c>
      <c r="AT507" s="5"/>
      <c r="AU507" s="5"/>
      <c r="AV507" s="5"/>
    </row>
    <row r="508" spans="1:48" ht="12.75" customHeight="1" x14ac:dyDescent="0.3">
      <c r="A508" s="49"/>
      <c r="B508" s="82"/>
      <c r="C508" s="51"/>
      <c r="D508" s="52"/>
      <c r="E508" s="53"/>
      <c r="F508" s="54"/>
      <c r="G508" s="52"/>
      <c r="H508" s="53"/>
      <c r="I508" s="54"/>
      <c r="J508" s="53"/>
      <c r="K508" s="83"/>
      <c r="L508" s="57"/>
      <c r="M508" s="58"/>
      <c r="N508" s="71"/>
      <c r="O508" s="71"/>
      <c r="P508" s="71"/>
      <c r="Q508" s="71"/>
      <c r="R508" s="71"/>
      <c r="S508" s="71"/>
      <c r="T508" s="71"/>
      <c r="U508" s="61">
        <f>SUM('Daily Halba'!$E508,'Daily Halba'!$H508,$M508:$T508)</f>
        <v>0</v>
      </c>
      <c r="V508" s="22"/>
      <c r="W508" s="85"/>
      <c r="X508" s="85"/>
      <c r="Y508" s="85"/>
      <c r="Z508" s="85"/>
      <c r="AA508" s="72"/>
      <c r="AB508" s="73"/>
      <c r="AC508" s="73"/>
      <c r="AD508" s="73"/>
      <c r="AE508" s="86">
        <f t="shared" si="15"/>
        <v>0</v>
      </c>
      <c r="AF508" s="74"/>
      <c r="AG508" s="74"/>
      <c r="AH508" s="74"/>
      <c r="AI508" s="74"/>
      <c r="AJ508" s="74"/>
      <c r="AK508" s="74"/>
      <c r="AL508" s="74"/>
      <c r="AM508" s="74"/>
      <c r="AN508" s="87">
        <f t="shared" si="16"/>
        <v>0</v>
      </c>
      <c r="AO508" s="74"/>
      <c r="AP508" s="88">
        <f t="shared" si="17"/>
        <v>0</v>
      </c>
      <c r="AQ508" s="75"/>
      <c r="AR508" s="22"/>
      <c r="AS508" s="70">
        <f>'Daily Halba'!$U508-'Daily Halba'!$AP508</f>
        <v>0</v>
      </c>
      <c r="AT508" s="5"/>
      <c r="AU508" s="5"/>
      <c r="AV508" s="5"/>
    </row>
    <row r="509" spans="1:48" ht="12.75" customHeight="1" x14ac:dyDescent="0.3">
      <c r="A509" s="49"/>
      <c r="B509" s="82"/>
      <c r="C509" s="51"/>
      <c r="D509" s="52"/>
      <c r="E509" s="53"/>
      <c r="F509" s="54"/>
      <c r="G509" s="52"/>
      <c r="H509" s="53"/>
      <c r="I509" s="54"/>
      <c r="J509" s="53"/>
      <c r="K509" s="83"/>
      <c r="L509" s="57"/>
      <c r="M509" s="58"/>
      <c r="N509" s="71"/>
      <c r="O509" s="71"/>
      <c r="P509" s="71"/>
      <c r="Q509" s="71"/>
      <c r="R509" s="71"/>
      <c r="S509" s="71"/>
      <c r="T509" s="71"/>
      <c r="U509" s="61">
        <f>SUM('Daily Halba'!$E509,'Daily Halba'!$H509,$M509:$T509)</f>
        <v>0</v>
      </c>
      <c r="V509" s="22"/>
      <c r="W509" s="62"/>
      <c r="X509" s="62"/>
      <c r="Y509" s="62"/>
      <c r="Z509" s="79"/>
      <c r="AA509" s="63"/>
      <c r="AB509" s="64"/>
      <c r="AC509" s="64"/>
      <c r="AD509" s="64"/>
      <c r="AE509" s="65">
        <f t="shared" si="15"/>
        <v>0</v>
      </c>
      <c r="AF509" s="66"/>
      <c r="AG509" s="66"/>
      <c r="AH509" s="66"/>
      <c r="AI509" s="66"/>
      <c r="AJ509" s="66"/>
      <c r="AK509" s="66"/>
      <c r="AL509" s="66"/>
      <c r="AM509" s="66"/>
      <c r="AN509" s="67">
        <f t="shared" si="16"/>
        <v>0</v>
      </c>
      <c r="AO509" s="66"/>
      <c r="AP509" s="68">
        <f t="shared" si="17"/>
        <v>0</v>
      </c>
      <c r="AQ509" s="69"/>
      <c r="AR509" s="22"/>
      <c r="AS509" s="70">
        <f>'Daily Halba'!$U509-'Daily Halba'!$AP509</f>
        <v>0</v>
      </c>
      <c r="AT509" s="5"/>
      <c r="AU509" s="5"/>
      <c r="AV509" s="5"/>
    </row>
    <row r="510" spans="1:48" ht="12.75" customHeight="1" x14ac:dyDescent="0.3">
      <c r="A510" s="49"/>
      <c r="B510" s="82"/>
      <c r="C510" s="51"/>
      <c r="D510" s="52"/>
      <c r="E510" s="53"/>
      <c r="F510" s="54"/>
      <c r="G510" s="52"/>
      <c r="H510" s="53"/>
      <c r="I510" s="54"/>
      <c r="J510" s="53"/>
      <c r="K510" s="83"/>
      <c r="L510" s="57"/>
      <c r="M510" s="58"/>
      <c r="N510" s="71"/>
      <c r="O510" s="71"/>
      <c r="P510" s="71"/>
      <c r="Q510" s="71"/>
      <c r="R510" s="71"/>
      <c r="S510" s="71"/>
      <c r="T510" s="71"/>
      <c r="U510" s="61">
        <f>SUM('Daily Halba'!$E510,'Daily Halba'!$H510,$M510:$T510)</f>
        <v>0</v>
      </c>
      <c r="V510" s="22"/>
      <c r="W510" s="85"/>
      <c r="X510" s="85"/>
      <c r="Y510" s="85"/>
      <c r="Z510" s="85"/>
      <c r="AA510" s="72"/>
      <c r="AB510" s="73"/>
      <c r="AC510" s="73"/>
      <c r="AD510" s="73"/>
      <c r="AE510" s="86">
        <f t="shared" si="15"/>
        <v>0</v>
      </c>
      <c r="AF510" s="74"/>
      <c r="AG510" s="74"/>
      <c r="AH510" s="74"/>
      <c r="AI510" s="74"/>
      <c r="AJ510" s="74"/>
      <c r="AK510" s="74"/>
      <c r="AL510" s="74"/>
      <c r="AM510" s="74"/>
      <c r="AN510" s="87">
        <f t="shared" si="16"/>
        <v>0</v>
      </c>
      <c r="AO510" s="74"/>
      <c r="AP510" s="88">
        <f t="shared" si="17"/>
        <v>0</v>
      </c>
      <c r="AQ510" s="75"/>
      <c r="AR510" s="22"/>
      <c r="AS510" s="70">
        <f>'Daily Halba'!$U510-'Daily Halba'!$AP510</f>
        <v>0</v>
      </c>
      <c r="AT510" s="5"/>
      <c r="AU510" s="5"/>
      <c r="AV510" s="5"/>
    </row>
    <row r="511" spans="1:48" ht="12.75" customHeight="1" x14ac:dyDescent="0.3">
      <c r="A511" s="49"/>
      <c r="B511" s="82"/>
      <c r="C511" s="51"/>
      <c r="D511" s="52"/>
      <c r="E511" s="53"/>
      <c r="F511" s="54"/>
      <c r="G511" s="52"/>
      <c r="H511" s="53"/>
      <c r="I511" s="54"/>
      <c r="J511" s="53"/>
      <c r="K511" s="83"/>
      <c r="L511" s="57"/>
      <c r="M511" s="58"/>
      <c r="N511" s="71"/>
      <c r="O511" s="71"/>
      <c r="P511" s="71"/>
      <c r="Q511" s="71"/>
      <c r="R511" s="71"/>
      <c r="S511" s="71"/>
      <c r="T511" s="71"/>
      <c r="U511" s="61">
        <f>SUM('Daily Halba'!$E511,'Daily Halba'!$H511,$M511:$T511)</f>
        <v>0</v>
      </c>
      <c r="V511" s="22"/>
      <c r="W511" s="62"/>
      <c r="X511" s="62"/>
      <c r="Y511" s="62"/>
      <c r="Z511" s="79"/>
      <c r="AA511" s="63"/>
      <c r="AB511" s="64"/>
      <c r="AC511" s="64"/>
      <c r="AD511" s="64"/>
      <c r="AE511" s="65">
        <f t="shared" si="15"/>
        <v>0</v>
      </c>
      <c r="AF511" s="66"/>
      <c r="AG511" s="66"/>
      <c r="AH511" s="66"/>
      <c r="AI511" s="66"/>
      <c r="AJ511" s="66"/>
      <c r="AK511" s="66"/>
      <c r="AL511" s="66"/>
      <c r="AM511" s="66"/>
      <c r="AN511" s="67">
        <f t="shared" si="16"/>
        <v>0</v>
      </c>
      <c r="AO511" s="66"/>
      <c r="AP511" s="68">
        <f t="shared" si="17"/>
        <v>0</v>
      </c>
      <c r="AQ511" s="69"/>
      <c r="AR511" s="22"/>
      <c r="AS511" s="70">
        <f>'Daily Halba'!$U511-'Daily Halba'!$AP511</f>
        <v>0</v>
      </c>
      <c r="AT511" s="5"/>
      <c r="AU511" s="5"/>
      <c r="AV511" s="5"/>
    </row>
    <row r="512" spans="1:48" ht="12.75" customHeight="1" x14ac:dyDescent="0.3">
      <c r="A512" s="49"/>
      <c r="B512" s="82"/>
      <c r="C512" s="51"/>
      <c r="D512" s="52"/>
      <c r="E512" s="53"/>
      <c r="F512" s="54"/>
      <c r="G512" s="52"/>
      <c r="H512" s="53"/>
      <c r="I512" s="54"/>
      <c r="J512" s="53"/>
      <c r="K512" s="83"/>
      <c r="L512" s="57"/>
      <c r="M512" s="58"/>
      <c r="N512" s="71"/>
      <c r="O512" s="71"/>
      <c r="P512" s="71"/>
      <c r="Q512" s="71"/>
      <c r="R512" s="71"/>
      <c r="S512" s="71"/>
      <c r="T512" s="71"/>
      <c r="U512" s="61">
        <f>SUM('Daily Halba'!$E512,'Daily Halba'!$H512,$M512:$T512)</f>
        <v>0</v>
      </c>
      <c r="V512" s="22"/>
      <c r="W512" s="85"/>
      <c r="X512" s="85"/>
      <c r="Y512" s="85"/>
      <c r="Z512" s="85"/>
      <c r="AA512" s="72"/>
      <c r="AB512" s="73"/>
      <c r="AC512" s="73"/>
      <c r="AD512" s="73"/>
      <c r="AE512" s="86">
        <f t="shared" si="15"/>
        <v>0</v>
      </c>
      <c r="AF512" s="74"/>
      <c r="AG512" s="74"/>
      <c r="AH512" s="74"/>
      <c r="AI512" s="74"/>
      <c r="AJ512" s="74"/>
      <c r="AK512" s="74"/>
      <c r="AL512" s="74"/>
      <c r="AM512" s="74"/>
      <c r="AN512" s="87">
        <f t="shared" si="16"/>
        <v>0</v>
      </c>
      <c r="AO512" s="74"/>
      <c r="AP512" s="88">
        <f t="shared" si="17"/>
        <v>0</v>
      </c>
      <c r="AQ512" s="75"/>
      <c r="AR512" s="22"/>
      <c r="AS512" s="70">
        <f>'Daily Halba'!$U512-'Daily Halba'!$AP512</f>
        <v>0</v>
      </c>
      <c r="AT512" s="5"/>
      <c r="AU512" s="5"/>
      <c r="AV512" s="5"/>
    </row>
    <row r="513" spans="1:48" ht="12.75" customHeight="1" x14ac:dyDescent="0.3">
      <c r="A513" s="49"/>
      <c r="B513" s="82"/>
      <c r="C513" s="51"/>
      <c r="D513" s="52"/>
      <c r="E513" s="53"/>
      <c r="F513" s="54"/>
      <c r="G513" s="52"/>
      <c r="H513" s="53"/>
      <c r="I513" s="54"/>
      <c r="J513" s="53"/>
      <c r="K513" s="83"/>
      <c r="L513" s="57"/>
      <c r="M513" s="58"/>
      <c r="N513" s="71"/>
      <c r="O513" s="71"/>
      <c r="P513" s="71"/>
      <c r="Q513" s="71"/>
      <c r="R513" s="71"/>
      <c r="S513" s="71"/>
      <c r="T513" s="71"/>
      <c r="U513" s="61">
        <f>SUM('Daily Halba'!$E513,'Daily Halba'!$H513,$M513:$T513)</f>
        <v>0</v>
      </c>
      <c r="V513" s="22"/>
      <c r="W513" s="62"/>
      <c r="X513" s="62"/>
      <c r="Y513" s="62"/>
      <c r="Z513" s="79"/>
      <c r="AA513" s="63"/>
      <c r="AB513" s="64"/>
      <c r="AC513" s="64"/>
      <c r="AD513" s="64"/>
      <c r="AE513" s="65">
        <f t="shared" si="15"/>
        <v>0</v>
      </c>
      <c r="AF513" s="66"/>
      <c r="AG513" s="66"/>
      <c r="AH513" s="66"/>
      <c r="AI513" s="66"/>
      <c r="AJ513" s="66"/>
      <c r="AK513" s="66"/>
      <c r="AL513" s="66"/>
      <c r="AM513" s="66"/>
      <c r="AN513" s="67">
        <f t="shared" si="16"/>
        <v>0</v>
      </c>
      <c r="AO513" s="66"/>
      <c r="AP513" s="68">
        <f t="shared" si="17"/>
        <v>0</v>
      </c>
      <c r="AQ513" s="69"/>
      <c r="AR513" s="22"/>
      <c r="AS513" s="70">
        <f>'Daily Halba'!$U513-'Daily Halba'!$AP513</f>
        <v>0</v>
      </c>
      <c r="AT513" s="5"/>
      <c r="AU513" s="5"/>
      <c r="AV513" s="5"/>
    </row>
    <row r="514" spans="1:48" ht="12.75" customHeight="1" x14ac:dyDescent="0.3">
      <c r="A514" s="49"/>
      <c r="B514" s="82"/>
      <c r="C514" s="51"/>
      <c r="D514" s="52"/>
      <c r="E514" s="53"/>
      <c r="F514" s="54"/>
      <c r="G514" s="52"/>
      <c r="H514" s="53"/>
      <c r="I514" s="54"/>
      <c r="J514" s="53"/>
      <c r="K514" s="83"/>
      <c r="L514" s="57"/>
      <c r="M514" s="58"/>
      <c r="N514" s="71"/>
      <c r="O514" s="71"/>
      <c r="P514" s="71"/>
      <c r="Q514" s="71"/>
      <c r="R514" s="71"/>
      <c r="S514" s="71"/>
      <c r="T514" s="71"/>
      <c r="U514" s="61">
        <f>SUM('Daily Halba'!$E514,'Daily Halba'!$H514,$M514:$T514)</f>
        <v>0</v>
      </c>
      <c r="V514" s="22"/>
      <c r="W514" s="85"/>
      <c r="X514" s="85"/>
      <c r="Y514" s="85"/>
      <c r="Z514" s="85"/>
      <c r="AA514" s="72"/>
      <c r="AB514" s="73"/>
      <c r="AC514" s="73"/>
      <c r="AD514" s="73"/>
      <c r="AE514" s="86">
        <f t="shared" si="15"/>
        <v>0</v>
      </c>
      <c r="AF514" s="74"/>
      <c r="AG514" s="74"/>
      <c r="AH514" s="74"/>
      <c r="AI514" s="74"/>
      <c r="AJ514" s="74"/>
      <c r="AK514" s="74"/>
      <c r="AL514" s="74"/>
      <c r="AM514" s="74"/>
      <c r="AN514" s="87">
        <f t="shared" si="16"/>
        <v>0</v>
      </c>
      <c r="AO514" s="74"/>
      <c r="AP514" s="88">
        <f t="shared" si="17"/>
        <v>0</v>
      </c>
      <c r="AQ514" s="75"/>
      <c r="AR514" s="22"/>
      <c r="AS514" s="70">
        <f>'Daily Halba'!$U514-'Daily Halba'!$AP514</f>
        <v>0</v>
      </c>
      <c r="AT514" s="5"/>
      <c r="AU514" s="5"/>
      <c r="AV514" s="5"/>
    </row>
    <row r="515" spans="1:48" ht="12.75" customHeight="1" x14ac:dyDescent="0.3">
      <c r="A515" s="49"/>
      <c r="B515" s="82"/>
      <c r="C515" s="51"/>
      <c r="D515" s="52"/>
      <c r="E515" s="53"/>
      <c r="F515" s="54"/>
      <c r="G515" s="52"/>
      <c r="H515" s="53"/>
      <c r="I515" s="54"/>
      <c r="J515" s="53"/>
      <c r="K515" s="83"/>
      <c r="L515" s="57"/>
      <c r="M515" s="58"/>
      <c r="N515" s="71"/>
      <c r="O515" s="71"/>
      <c r="P515" s="71"/>
      <c r="Q515" s="71"/>
      <c r="R515" s="71"/>
      <c r="S515" s="71"/>
      <c r="T515" s="71"/>
      <c r="U515" s="61">
        <f>SUM('Daily Halba'!$E515,'Daily Halba'!$H515,$M515:$T515)</f>
        <v>0</v>
      </c>
      <c r="V515" s="22"/>
      <c r="W515" s="62"/>
      <c r="X515" s="62"/>
      <c r="Y515" s="62"/>
      <c r="Z515" s="79"/>
      <c r="AA515" s="63"/>
      <c r="AB515" s="64"/>
      <c r="AC515" s="64"/>
      <c r="AD515" s="64"/>
      <c r="AE515" s="65">
        <f t="shared" si="15"/>
        <v>0</v>
      </c>
      <c r="AF515" s="66"/>
      <c r="AG515" s="66"/>
      <c r="AH515" s="66"/>
      <c r="AI515" s="66"/>
      <c r="AJ515" s="66"/>
      <c r="AK515" s="66"/>
      <c r="AL515" s="66"/>
      <c r="AM515" s="66"/>
      <c r="AN515" s="67">
        <f t="shared" si="16"/>
        <v>0</v>
      </c>
      <c r="AO515" s="66"/>
      <c r="AP515" s="68">
        <f t="shared" si="17"/>
        <v>0</v>
      </c>
      <c r="AQ515" s="69"/>
      <c r="AR515" s="22"/>
      <c r="AS515" s="70">
        <f>'Daily Halba'!$U515-'Daily Halba'!$AP515</f>
        <v>0</v>
      </c>
      <c r="AT515" s="5"/>
      <c r="AU515" s="5"/>
      <c r="AV515" s="5"/>
    </row>
    <row r="516" spans="1:48" ht="12.75" customHeight="1" x14ac:dyDescent="0.3">
      <c r="A516" s="49"/>
      <c r="B516" s="82"/>
      <c r="C516" s="51"/>
      <c r="D516" s="52"/>
      <c r="E516" s="53"/>
      <c r="F516" s="54"/>
      <c r="G516" s="52"/>
      <c r="H516" s="53"/>
      <c r="I516" s="54"/>
      <c r="J516" s="53"/>
      <c r="K516" s="83"/>
      <c r="L516" s="57"/>
      <c r="M516" s="58"/>
      <c r="N516" s="71"/>
      <c r="O516" s="71"/>
      <c r="P516" s="71"/>
      <c r="Q516" s="71"/>
      <c r="R516" s="71"/>
      <c r="S516" s="71"/>
      <c r="T516" s="71"/>
      <c r="U516" s="61">
        <f>SUM('Daily Halba'!$E516,'Daily Halba'!$H516,$M516:$T516)</f>
        <v>0</v>
      </c>
      <c r="V516" s="22"/>
      <c r="W516" s="85"/>
      <c r="X516" s="85"/>
      <c r="Y516" s="85"/>
      <c r="Z516" s="85"/>
      <c r="AA516" s="72"/>
      <c r="AB516" s="73"/>
      <c r="AC516" s="73"/>
      <c r="AD516" s="73"/>
      <c r="AE516" s="86">
        <f t="shared" si="15"/>
        <v>0</v>
      </c>
      <c r="AF516" s="74"/>
      <c r="AG516" s="74"/>
      <c r="AH516" s="74"/>
      <c r="AI516" s="74"/>
      <c r="AJ516" s="74"/>
      <c r="AK516" s="74"/>
      <c r="AL516" s="74"/>
      <c r="AM516" s="74"/>
      <c r="AN516" s="87">
        <f t="shared" si="16"/>
        <v>0</v>
      </c>
      <c r="AO516" s="74"/>
      <c r="AP516" s="88">
        <f t="shared" si="17"/>
        <v>0</v>
      </c>
      <c r="AQ516" s="75"/>
      <c r="AR516" s="22"/>
      <c r="AS516" s="70">
        <f>'Daily Halba'!$U516-'Daily Halba'!$AP516</f>
        <v>0</v>
      </c>
      <c r="AT516" s="5"/>
      <c r="AU516" s="5"/>
      <c r="AV516" s="5"/>
    </row>
    <row r="517" spans="1:48" ht="12.75" customHeight="1" x14ac:dyDescent="0.3">
      <c r="A517" s="49"/>
      <c r="B517" s="82"/>
      <c r="C517" s="51"/>
      <c r="D517" s="52"/>
      <c r="E517" s="53"/>
      <c r="F517" s="54"/>
      <c r="G517" s="52"/>
      <c r="H517" s="53"/>
      <c r="I517" s="54"/>
      <c r="J517" s="53"/>
      <c r="K517" s="83"/>
      <c r="L517" s="57"/>
      <c r="M517" s="58"/>
      <c r="N517" s="71"/>
      <c r="O517" s="71"/>
      <c r="P517" s="71"/>
      <c r="Q517" s="71"/>
      <c r="R517" s="71"/>
      <c r="S517" s="71"/>
      <c r="T517" s="71"/>
      <c r="U517" s="61">
        <f>SUM('Daily Halba'!$E517,'Daily Halba'!$H517,$M517:$T517)</f>
        <v>0</v>
      </c>
      <c r="V517" s="22"/>
      <c r="W517" s="62"/>
      <c r="X517" s="62"/>
      <c r="Y517" s="62"/>
      <c r="Z517" s="79"/>
      <c r="AA517" s="63"/>
      <c r="AB517" s="64"/>
      <c r="AC517" s="64"/>
      <c r="AD517" s="64"/>
      <c r="AE517" s="65">
        <f t="shared" si="15"/>
        <v>0</v>
      </c>
      <c r="AF517" s="66"/>
      <c r="AG517" s="66"/>
      <c r="AH517" s="66"/>
      <c r="AI517" s="66"/>
      <c r="AJ517" s="66"/>
      <c r="AK517" s="66"/>
      <c r="AL517" s="66"/>
      <c r="AM517" s="66"/>
      <c r="AN517" s="67">
        <f t="shared" si="16"/>
        <v>0</v>
      </c>
      <c r="AO517" s="66"/>
      <c r="AP517" s="68">
        <f t="shared" si="17"/>
        <v>0</v>
      </c>
      <c r="AQ517" s="69"/>
      <c r="AR517" s="22"/>
      <c r="AS517" s="70">
        <f>'Daily Halba'!$U517-'Daily Halba'!$AP517</f>
        <v>0</v>
      </c>
      <c r="AT517" s="5"/>
      <c r="AU517" s="5"/>
      <c r="AV517" s="5"/>
    </row>
    <row r="518" spans="1:48" ht="12.75" customHeight="1" x14ac:dyDescent="0.3">
      <c r="A518" s="49"/>
      <c r="B518" s="82"/>
      <c r="C518" s="51"/>
      <c r="D518" s="52"/>
      <c r="E518" s="53"/>
      <c r="F518" s="54"/>
      <c r="G518" s="52"/>
      <c r="H518" s="53"/>
      <c r="I518" s="54"/>
      <c r="J518" s="53"/>
      <c r="K518" s="83"/>
      <c r="L518" s="57"/>
      <c r="M518" s="58"/>
      <c r="N518" s="71"/>
      <c r="O518" s="71"/>
      <c r="P518" s="71"/>
      <c r="Q518" s="71"/>
      <c r="R518" s="71"/>
      <c r="S518" s="71"/>
      <c r="T518" s="71"/>
      <c r="U518" s="61">
        <f>SUM('Daily Halba'!$E518,'Daily Halba'!$H518,$M518:$T518)</f>
        <v>0</v>
      </c>
      <c r="V518" s="22"/>
      <c r="W518" s="85"/>
      <c r="X518" s="85"/>
      <c r="Y518" s="85"/>
      <c r="Z518" s="85"/>
      <c r="AA518" s="72"/>
      <c r="AB518" s="73"/>
      <c r="AC518" s="73"/>
      <c r="AD518" s="73"/>
      <c r="AE518" s="86">
        <f t="shared" si="15"/>
        <v>0</v>
      </c>
      <c r="AF518" s="74"/>
      <c r="AG518" s="74"/>
      <c r="AH518" s="74"/>
      <c r="AI518" s="74"/>
      <c r="AJ518" s="74"/>
      <c r="AK518" s="74"/>
      <c r="AL518" s="74"/>
      <c r="AM518" s="74"/>
      <c r="AN518" s="87">
        <f t="shared" si="16"/>
        <v>0</v>
      </c>
      <c r="AO518" s="74"/>
      <c r="AP518" s="88">
        <f t="shared" si="17"/>
        <v>0</v>
      </c>
      <c r="AQ518" s="75"/>
      <c r="AR518" s="22"/>
      <c r="AS518" s="70">
        <f>'Daily Halba'!$U518-'Daily Halba'!$AP518</f>
        <v>0</v>
      </c>
      <c r="AT518" s="5"/>
      <c r="AU518" s="5"/>
      <c r="AV518" s="5"/>
    </row>
    <row r="519" spans="1:48" ht="12.75" customHeight="1" x14ac:dyDescent="0.3">
      <c r="A519" s="49"/>
      <c r="B519" s="82"/>
      <c r="C519" s="51"/>
      <c r="D519" s="52"/>
      <c r="E519" s="53"/>
      <c r="F519" s="54"/>
      <c r="G519" s="52"/>
      <c r="H519" s="53"/>
      <c r="I519" s="54"/>
      <c r="J519" s="53"/>
      <c r="K519" s="83"/>
      <c r="L519" s="57"/>
      <c r="M519" s="58"/>
      <c r="N519" s="71"/>
      <c r="O519" s="71"/>
      <c r="P519" s="71"/>
      <c r="Q519" s="71"/>
      <c r="R519" s="71"/>
      <c r="S519" s="71"/>
      <c r="T519" s="71"/>
      <c r="U519" s="61">
        <f>SUM('Daily Halba'!$E519,'Daily Halba'!$H519,$M519:$T519)</f>
        <v>0</v>
      </c>
      <c r="V519" s="22"/>
      <c r="W519" s="62"/>
      <c r="X519" s="62"/>
      <c r="Y519" s="62"/>
      <c r="Z519" s="79"/>
      <c r="AA519" s="63"/>
      <c r="AB519" s="64"/>
      <c r="AC519" s="64"/>
      <c r="AD519" s="64"/>
      <c r="AE519" s="65">
        <f t="shared" si="15"/>
        <v>0</v>
      </c>
      <c r="AF519" s="66"/>
      <c r="AG519" s="66"/>
      <c r="AH519" s="66"/>
      <c r="AI519" s="66"/>
      <c r="AJ519" s="66"/>
      <c r="AK519" s="66"/>
      <c r="AL519" s="66"/>
      <c r="AM519" s="66"/>
      <c r="AN519" s="67">
        <f t="shared" si="16"/>
        <v>0</v>
      </c>
      <c r="AO519" s="66"/>
      <c r="AP519" s="68">
        <f t="shared" si="17"/>
        <v>0</v>
      </c>
      <c r="AQ519" s="69"/>
      <c r="AR519" s="22"/>
      <c r="AS519" s="70">
        <f>'Daily Halba'!$U519-'Daily Halba'!$AP519</f>
        <v>0</v>
      </c>
      <c r="AT519" s="5"/>
      <c r="AU519" s="5"/>
      <c r="AV519" s="5"/>
    </row>
    <row r="520" spans="1:48" ht="12.75" customHeight="1" x14ac:dyDescent="0.3">
      <c r="A520" s="49"/>
      <c r="B520" s="82"/>
      <c r="C520" s="51"/>
      <c r="D520" s="52"/>
      <c r="E520" s="53"/>
      <c r="F520" s="54"/>
      <c r="G520" s="52"/>
      <c r="H520" s="53"/>
      <c r="I520" s="54"/>
      <c r="J520" s="53"/>
      <c r="K520" s="83"/>
      <c r="L520" s="57"/>
      <c r="M520" s="58"/>
      <c r="N520" s="71"/>
      <c r="O520" s="71"/>
      <c r="P520" s="71"/>
      <c r="Q520" s="71"/>
      <c r="R520" s="71"/>
      <c r="S520" s="71"/>
      <c r="T520" s="71"/>
      <c r="U520" s="61">
        <f>SUM('Daily Halba'!$E520,'Daily Halba'!$H520,$M520:$T520)</f>
        <v>0</v>
      </c>
      <c r="V520" s="22"/>
      <c r="W520" s="85"/>
      <c r="X520" s="85"/>
      <c r="Y520" s="85"/>
      <c r="Z520" s="85"/>
      <c r="AA520" s="72"/>
      <c r="AB520" s="73"/>
      <c r="AC520" s="73"/>
      <c r="AD520" s="73"/>
      <c r="AE520" s="86">
        <f t="shared" si="15"/>
        <v>0</v>
      </c>
      <c r="AF520" s="74"/>
      <c r="AG520" s="74"/>
      <c r="AH520" s="74"/>
      <c r="AI520" s="74"/>
      <c r="AJ520" s="74"/>
      <c r="AK520" s="74"/>
      <c r="AL520" s="74"/>
      <c r="AM520" s="74"/>
      <c r="AN520" s="87">
        <f t="shared" si="16"/>
        <v>0</v>
      </c>
      <c r="AO520" s="74"/>
      <c r="AP520" s="88">
        <f t="shared" si="17"/>
        <v>0</v>
      </c>
      <c r="AQ520" s="75"/>
      <c r="AR520" s="22"/>
      <c r="AS520" s="70">
        <f>'Daily Halba'!$U520-'Daily Halba'!$AP520</f>
        <v>0</v>
      </c>
      <c r="AT520" s="5"/>
      <c r="AU520" s="5"/>
      <c r="AV520" s="5"/>
    </row>
    <row r="521" spans="1:48" ht="12.75" customHeight="1" x14ac:dyDescent="0.3">
      <c r="A521" s="49"/>
      <c r="B521" s="82"/>
      <c r="C521" s="51"/>
      <c r="D521" s="52"/>
      <c r="E521" s="53"/>
      <c r="F521" s="54"/>
      <c r="G521" s="52"/>
      <c r="H521" s="53"/>
      <c r="I521" s="54"/>
      <c r="J521" s="53"/>
      <c r="K521" s="83"/>
      <c r="L521" s="57"/>
      <c r="M521" s="58"/>
      <c r="N521" s="71"/>
      <c r="O521" s="71"/>
      <c r="P521" s="71"/>
      <c r="Q521" s="71"/>
      <c r="R521" s="71"/>
      <c r="S521" s="71"/>
      <c r="T521" s="71"/>
      <c r="U521" s="61">
        <f>SUM('Daily Halba'!$E521,'Daily Halba'!$H521,$M521:$T521)</f>
        <v>0</v>
      </c>
      <c r="V521" s="22"/>
      <c r="W521" s="62"/>
      <c r="X521" s="62"/>
      <c r="Y521" s="62"/>
      <c r="Z521" s="79"/>
      <c r="AA521" s="63"/>
      <c r="AB521" s="64"/>
      <c r="AC521" s="64"/>
      <c r="AD521" s="64"/>
      <c r="AE521" s="65">
        <f t="shared" si="15"/>
        <v>0</v>
      </c>
      <c r="AF521" s="66"/>
      <c r="AG521" s="66"/>
      <c r="AH521" s="66"/>
      <c r="AI521" s="66"/>
      <c r="AJ521" s="66"/>
      <c r="AK521" s="66"/>
      <c r="AL521" s="66"/>
      <c r="AM521" s="66"/>
      <c r="AN521" s="67">
        <f t="shared" si="16"/>
        <v>0</v>
      </c>
      <c r="AO521" s="66"/>
      <c r="AP521" s="68">
        <f t="shared" si="17"/>
        <v>0</v>
      </c>
      <c r="AQ521" s="69"/>
      <c r="AR521" s="22"/>
      <c r="AS521" s="70">
        <f>'Daily Halba'!$U521-'Daily Halba'!$AP521</f>
        <v>0</v>
      </c>
      <c r="AT521" s="5"/>
      <c r="AU521" s="5"/>
      <c r="AV521" s="5"/>
    </row>
    <row r="522" spans="1:48" ht="12.75" customHeight="1" x14ac:dyDescent="0.3">
      <c r="A522" s="49"/>
      <c r="B522" s="82"/>
      <c r="C522" s="51"/>
      <c r="D522" s="52"/>
      <c r="E522" s="53"/>
      <c r="F522" s="54"/>
      <c r="G522" s="52"/>
      <c r="H522" s="53"/>
      <c r="I522" s="54"/>
      <c r="J522" s="53"/>
      <c r="K522" s="83"/>
      <c r="L522" s="57"/>
      <c r="M522" s="58"/>
      <c r="N522" s="71"/>
      <c r="O522" s="71"/>
      <c r="P522" s="71"/>
      <c r="Q522" s="71"/>
      <c r="R522" s="71"/>
      <c r="S522" s="71"/>
      <c r="T522" s="71"/>
      <c r="U522" s="61">
        <f>SUM('Daily Halba'!$E522,'Daily Halba'!$H522,$M522:$T522)</f>
        <v>0</v>
      </c>
      <c r="V522" s="22"/>
      <c r="W522" s="85"/>
      <c r="X522" s="85"/>
      <c r="Y522" s="85"/>
      <c r="Z522" s="85"/>
      <c r="AA522" s="72"/>
      <c r="AB522" s="73"/>
      <c r="AC522" s="73"/>
      <c r="AD522" s="73"/>
      <c r="AE522" s="86">
        <f t="shared" si="15"/>
        <v>0</v>
      </c>
      <c r="AF522" s="74"/>
      <c r="AG522" s="74"/>
      <c r="AH522" s="74"/>
      <c r="AI522" s="74"/>
      <c r="AJ522" s="74"/>
      <c r="AK522" s="74"/>
      <c r="AL522" s="74"/>
      <c r="AM522" s="74"/>
      <c r="AN522" s="87">
        <f t="shared" si="16"/>
        <v>0</v>
      </c>
      <c r="AO522" s="74"/>
      <c r="AP522" s="88">
        <f t="shared" si="17"/>
        <v>0</v>
      </c>
      <c r="AQ522" s="75"/>
      <c r="AR522" s="22"/>
      <c r="AS522" s="70">
        <f>'Daily Halba'!$U522-'Daily Halba'!$AP522</f>
        <v>0</v>
      </c>
      <c r="AT522" s="5"/>
      <c r="AU522" s="5"/>
      <c r="AV522" s="5"/>
    </row>
    <row r="523" spans="1:48" ht="12.75" customHeight="1" x14ac:dyDescent="0.3">
      <c r="A523" s="49"/>
      <c r="B523" s="82"/>
      <c r="C523" s="51"/>
      <c r="D523" s="52"/>
      <c r="E523" s="53"/>
      <c r="F523" s="54"/>
      <c r="G523" s="52"/>
      <c r="H523" s="53"/>
      <c r="I523" s="54"/>
      <c r="J523" s="53"/>
      <c r="K523" s="83"/>
      <c r="L523" s="57"/>
      <c r="M523" s="58"/>
      <c r="N523" s="71"/>
      <c r="O523" s="71"/>
      <c r="P523" s="71"/>
      <c r="Q523" s="71"/>
      <c r="R523" s="71"/>
      <c r="S523" s="71"/>
      <c r="T523" s="71"/>
      <c r="U523" s="61">
        <f>SUM('Daily Halba'!$E523,'Daily Halba'!$H523,$M523:$T523)</f>
        <v>0</v>
      </c>
      <c r="V523" s="22"/>
      <c r="W523" s="62"/>
      <c r="X523" s="62"/>
      <c r="Y523" s="62"/>
      <c r="Z523" s="79"/>
      <c r="AA523" s="63"/>
      <c r="AB523" s="64"/>
      <c r="AC523" s="64"/>
      <c r="AD523" s="64"/>
      <c r="AE523" s="65">
        <f t="shared" si="15"/>
        <v>0</v>
      </c>
      <c r="AF523" s="66"/>
      <c r="AG523" s="66"/>
      <c r="AH523" s="66"/>
      <c r="AI523" s="66"/>
      <c r="AJ523" s="66"/>
      <c r="AK523" s="66"/>
      <c r="AL523" s="66"/>
      <c r="AM523" s="66"/>
      <c r="AN523" s="67">
        <f t="shared" si="16"/>
        <v>0</v>
      </c>
      <c r="AO523" s="66"/>
      <c r="AP523" s="68">
        <f t="shared" si="17"/>
        <v>0</v>
      </c>
      <c r="AQ523" s="69"/>
      <c r="AR523" s="22"/>
      <c r="AS523" s="70">
        <f>'Daily Halba'!$U523-'Daily Halba'!$AP523</f>
        <v>0</v>
      </c>
      <c r="AT523" s="5"/>
      <c r="AU523" s="5"/>
      <c r="AV523" s="5"/>
    </row>
    <row r="524" spans="1:48" ht="12.75" customHeight="1" x14ac:dyDescent="0.3">
      <c r="A524" s="288"/>
      <c r="B524" s="289"/>
      <c r="C524" s="84"/>
      <c r="D524" s="290"/>
      <c r="E524" s="291"/>
      <c r="F524" s="292"/>
      <c r="G524" s="290"/>
      <c r="H524" s="291"/>
      <c r="I524" s="292"/>
      <c r="J524" s="291"/>
      <c r="K524" s="293"/>
      <c r="L524" s="294"/>
      <c r="M524" s="295"/>
      <c r="N524" s="296"/>
      <c r="O524" s="296"/>
      <c r="P524" s="296"/>
      <c r="Q524" s="296"/>
      <c r="R524" s="296"/>
      <c r="S524" s="296"/>
      <c r="T524" s="296"/>
      <c r="U524" s="61">
        <f>SUM('Daily Halba'!$E524,'Daily Halba'!$H524,$M524:$T524)</f>
        <v>0</v>
      </c>
      <c r="V524" s="22"/>
      <c r="W524" s="85"/>
      <c r="X524" s="85"/>
      <c r="Y524" s="85"/>
      <c r="Z524" s="85"/>
      <c r="AA524" s="72"/>
      <c r="AB524" s="73"/>
      <c r="AC524" s="73"/>
      <c r="AD524" s="73"/>
      <c r="AE524" s="86">
        <f t="shared" si="15"/>
        <v>0</v>
      </c>
      <c r="AF524" s="74"/>
      <c r="AG524" s="74"/>
      <c r="AH524" s="74"/>
      <c r="AI524" s="74"/>
      <c r="AJ524" s="74"/>
      <c r="AK524" s="74"/>
      <c r="AL524" s="74"/>
      <c r="AM524" s="74"/>
      <c r="AN524" s="87">
        <f t="shared" si="16"/>
        <v>0</v>
      </c>
      <c r="AO524" s="74"/>
      <c r="AP524" s="88">
        <f t="shared" si="17"/>
        <v>0</v>
      </c>
      <c r="AQ524" s="75"/>
      <c r="AR524" s="22"/>
      <c r="AS524" s="70">
        <f>'Daily Halba'!$U524-'Daily Halba'!$AP524</f>
        <v>0</v>
      </c>
      <c r="AT524" s="5"/>
      <c r="AU524" s="5"/>
      <c r="AV524" s="5"/>
    </row>
    <row r="525" spans="1:48" ht="12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4"/>
      <c r="V525" s="22"/>
      <c r="W525" s="5"/>
      <c r="X525" s="5"/>
      <c r="Y525" s="5"/>
      <c r="Z525" s="5"/>
      <c r="AA525" s="5"/>
      <c r="AB525" s="5"/>
      <c r="AC525" s="5"/>
      <c r="AD525" s="5"/>
      <c r="AE525" s="4"/>
      <c r="AF525" s="5"/>
      <c r="AG525" s="5"/>
      <c r="AH525" s="5"/>
      <c r="AI525" s="5"/>
      <c r="AJ525" s="5"/>
      <c r="AK525" s="5"/>
      <c r="AL525" s="5"/>
      <c r="AM525" s="5"/>
      <c r="AN525" s="4"/>
      <c r="AO525" s="5"/>
      <c r="AP525" s="5"/>
      <c r="AQ525" s="5"/>
      <c r="AR525" s="22"/>
      <c r="AS525" s="4"/>
      <c r="AT525" s="5"/>
      <c r="AU525" s="5"/>
      <c r="AV525" s="5"/>
    </row>
    <row r="526" spans="1:48" ht="12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4"/>
      <c r="V526" s="22"/>
      <c r="W526" s="5"/>
      <c r="X526" s="5"/>
      <c r="Y526" s="5"/>
      <c r="Z526" s="5"/>
      <c r="AA526" s="5"/>
      <c r="AB526" s="5"/>
      <c r="AC526" s="5"/>
      <c r="AD526" s="5"/>
      <c r="AE526" s="4"/>
      <c r="AF526" s="5"/>
      <c r="AG526" s="5"/>
      <c r="AH526" s="5"/>
      <c r="AI526" s="5"/>
      <c r="AJ526" s="5"/>
      <c r="AK526" s="5"/>
      <c r="AL526" s="5"/>
      <c r="AM526" s="5"/>
      <c r="AN526" s="4"/>
      <c r="AO526" s="5"/>
      <c r="AP526" s="5"/>
      <c r="AQ526" s="5"/>
      <c r="AR526" s="22"/>
      <c r="AS526" s="4"/>
      <c r="AT526" s="5"/>
      <c r="AU526" s="5"/>
      <c r="AV526" s="5"/>
    </row>
    <row r="527" spans="1:48" ht="12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4"/>
      <c r="V527" s="22"/>
      <c r="W527" s="5"/>
      <c r="X527" s="5"/>
      <c r="Y527" s="5"/>
      <c r="Z527" s="5"/>
      <c r="AA527" s="5"/>
      <c r="AB527" s="5"/>
      <c r="AC527" s="5"/>
      <c r="AD527" s="5"/>
      <c r="AE527" s="4"/>
      <c r="AF527" s="5"/>
      <c r="AG527" s="5"/>
      <c r="AH527" s="5"/>
      <c r="AI527" s="5"/>
      <c r="AJ527" s="5"/>
      <c r="AK527" s="5"/>
      <c r="AL527" s="5"/>
      <c r="AM527" s="5"/>
      <c r="AN527" s="4"/>
      <c r="AO527" s="5"/>
      <c r="AP527" s="5"/>
      <c r="AQ527" s="5"/>
      <c r="AR527" s="22"/>
      <c r="AS527" s="4"/>
      <c r="AT527" s="5"/>
      <c r="AU527" s="5"/>
      <c r="AV527" s="5"/>
    </row>
    <row r="528" spans="1:48" ht="12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4"/>
      <c r="V528" s="22"/>
      <c r="W528" s="5"/>
      <c r="X528" s="5"/>
      <c r="Y528" s="5"/>
      <c r="Z528" s="5"/>
      <c r="AA528" s="5"/>
      <c r="AB528" s="5"/>
      <c r="AC528" s="5"/>
      <c r="AD528" s="5"/>
      <c r="AE528" s="4"/>
      <c r="AF528" s="5"/>
      <c r="AG528" s="5"/>
      <c r="AH528" s="5"/>
      <c r="AI528" s="5"/>
      <c r="AJ528" s="5"/>
      <c r="AK528" s="5"/>
      <c r="AL528" s="5"/>
      <c r="AM528" s="5"/>
      <c r="AN528" s="4"/>
      <c r="AO528" s="5"/>
      <c r="AP528" s="5"/>
      <c r="AQ528" s="5"/>
      <c r="AR528" s="22"/>
      <c r="AS528" s="4"/>
      <c r="AT528" s="5"/>
      <c r="AU528" s="5"/>
      <c r="AV528" s="5"/>
    </row>
    <row r="529" spans="1:48" ht="12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4"/>
      <c r="V529" s="22"/>
      <c r="W529" s="5"/>
      <c r="X529" s="5"/>
      <c r="Y529" s="5"/>
      <c r="Z529" s="5"/>
      <c r="AA529" s="5"/>
      <c r="AB529" s="5"/>
      <c r="AC529" s="5"/>
      <c r="AD529" s="5"/>
      <c r="AE529" s="4"/>
      <c r="AF529" s="5"/>
      <c r="AG529" s="5"/>
      <c r="AH529" s="5"/>
      <c r="AI529" s="5"/>
      <c r="AJ529" s="5"/>
      <c r="AK529" s="5"/>
      <c r="AL529" s="5"/>
      <c r="AM529" s="5"/>
      <c r="AN529" s="4"/>
      <c r="AO529" s="5"/>
      <c r="AP529" s="5"/>
      <c r="AQ529" s="5"/>
      <c r="AR529" s="22"/>
      <c r="AS529" s="4"/>
      <c r="AT529" s="5"/>
      <c r="AU529" s="5"/>
      <c r="AV529" s="5"/>
    </row>
    <row r="530" spans="1:48" ht="12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4"/>
      <c r="V530" s="22"/>
      <c r="W530" s="5"/>
      <c r="X530" s="5"/>
      <c r="Y530" s="5"/>
      <c r="Z530" s="5"/>
      <c r="AA530" s="5"/>
      <c r="AB530" s="5"/>
      <c r="AC530" s="5"/>
      <c r="AD530" s="5"/>
      <c r="AE530" s="4"/>
      <c r="AF530" s="5"/>
      <c r="AG530" s="5"/>
      <c r="AH530" s="5"/>
      <c r="AI530" s="5"/>
      <c r="AJ530" s="5"/>
      <c r="AK530" s="5"/>
      <c r="AL530" s="5"/>
      <c r="AM530" s="5"/>
      <c r="AN530" s="4"/>
      <c r="AO530" s="5"/>
      <c r="AP530" s="5"/>
      <c r="AQ530" s="5"/>
      <c r="AR530" s="22"/>
      <c r="AS530" s="4"/>
      <c r="AT530" s="5"/>
      <c r="AU530" s="5"/>
      <c r="AV530" s="5"/>
    </row>
    <row r="531" spans="1:48" ht="12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4"/>
      <c r="V531" s="22"/>
      <c r="W531" s="5"/>
      <c r="X531" s="5"/>
      <c r="Y531" s="5"/>
      <c r="Z531" s="5"/>
      <c r="AA531" s="5"/>
      <c r="AB531" s="5"/>
      <c r="AC531" s="5"/>
      <c r="AD531" s="5"/>
      <c r="AE531" s="4"/>
      <c r="AF531" s="5"/>
      <c r="AG531" s="5"/>
      <c r="AH531" s="5"/>
      <c r="AI531" s="5"/>
      <c r="AJ531" s="5"/>
      <c r="AK531" s="5"/>
      <c r="AL531" s="5"/>
      <c r="AM531" s="5"/>
      <c r="AN531" s="4"/>
      <c r="AO531" s="5"/>
      <c r="AP531" s="5"/>
      <c r="AQ531" s="5"/>
      <c r="AR531" s="22"/>
      <c r="AS531" s="4"/>
      <c r="AT531" s="5"/>
      <c r="AU531" s="5"/>
      <c r="AV531" s="5"/>
    </row>
    <row r="532" spans="1:48" ht="12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4"/>
      <c r="V532" s="22"/>
      <c r="W532" s="5"/>
      <c r="X532" s="5"/>
      <c r="Y532" s="5"/>
      <c r="Z532" s="5"/>
      <c r="AA532" s="5"/>
      <c r="AB532" s="5"/>
      <c r="AC532" s="5"/>
      <c r="AD532" s="5"/>
      <c r="AE532" s="4"/>
      <c r="AF532" s="5"/>
      <c r="AG532" s="5"/>
      <c r="AH532" s="5"/>
      <c r="AI532" s="5"/>
      <c r="AJ532" s="5"/>
      <c r="AK532" s="5"/>
      <c r="AL532" s="5"/>
      <c r="AM532" s="5"/>
      <c r="AN532" s="4"/>
      <c r="AO532" s="5"/>
      <c r="AP532" s="5"/>
      <c r="AQ532" s="5"/>
      <c r="AR532" s="22"/>
      <c r="AS532" s="4"/>
      <c r="AT532" s="5"/>
      <c r="AU532" s="5"/>
      <c r="AV532" s="5"/>
    </row>
    <row r="533" spans="1:48" ht="12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4"/>
      <c r="V533" s="22"/>
      <c r="W533" s="5"/>
      <c r="X533" s="5"/>
      <c r="Y533" s="5"/>
      <c r="Z533" s="5"/>
      <c r="AA533" s="5"/>
      <c r="AB533" s="5"/>
      <c r="AC533" s="5"/>
      <c r="AD533" s="5"/>
      <c r="AE533" s="4"/>
      <c r="AF533" s="5"/>
      <c r="AG533" s="5"/>
      <c r="AH533" s="5"/>
      <c r="AI533" s="5"/>
      <c r="AJ533" s="5"/>
      <c r="AK533" s="5"/>
      <c r="AL533" s="5"/>
      <c r="AM533" s="5"/>
      <c r="AN533" s="4"/>
      <c r="AO533" s="5"/>
      <c r="AP533" s="5"/>
      <c r="AQ533" s="5"/>
      <c r="AR533" s="22"/>
      <c r="AS533" s="4"/>
      <c r="AT533" s="5"/>
      <c r="AU533" s="5"/>
      <c r="AV533" s="5"/>
    </row>
    <row r="534" spans="1:48" ht="12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4"/>
      <c r="V534" s="22"/>
      <c r="W534" s="5"/>
      <c r="X534" s="5"/>
      <c r="Y534" s="5"/>
      <c r="Z534" s="5"/>
      <c r="AA534" s="5"/>
      <c r="AB534" s="5"/>
      <c r="AC534" s="5"/>
      <c r="AD534" s="5"/>
      <c r="AE534" s="4"/>
      <c r="AF534" s="5"/>
      <c r="AG534" s="5"/>
      <c r="AH534" s="5"/>
      <c r="AI534" s="5"/>
      <c r="AJ534" s="5"/>
      <c r="AK534" s="5"/>
      <c r="AL534" s="5"/>
      <c r="AM534" s="5"/>
      <c r="AN534" s="4"/>
      <c r="AO534" s="5"/>
      <c r="AP534" s="5"/>
      <c r="AQ534" s="5"/>
      <c r="AR534" s="22"/>
      <c r="AS534" s="4"/>
      <c r="AT534" s="5"/>
      <c r="AU534" s="5"/>
      <c r="AV534" s="5"/>
    </row>
    <row r="535" spans="1:48" ht="12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4"/>
      <c r="V535" s="22"/>
      <c r="W535" s="5"/>
      <c r="X535" s="5"/>
      <c r="Y535" s="5"/>
      <c r="Z535" s="5"/>
      <c r="AA535" s="5"/>
      <c r="AB535" s="5"/>
      <c r="AC535" s="5"/>
      <c r="AD535" s="5"/>
      <c r="AE535" s="4"/>
      <c r="AF535" s="5"/>
      <c r="AG535" s="5"/>
      <c r="AH535" s="5"/>
      <c r="AI535" s="5"/>
      <c r="AJ535" s="5"/>
      <c r="AK535" s="5"/>
      <c r="AL535" s="5"/>
      <c r="AM535" s="5"/>
      <c r="AN535" s="4"/>
      <c r="AO535" s="5"/>
      <c r="AP535" s="5"/>
      <c r="AQ535" s="5"/>
      <c r="AR535" s="22"/>
      <c r="AS535" s="4"/>
      <c r="AT535" s="5"/>
      <c r="AU535" s="5"/>
      <c r="AV535" s="5"/>
    </row>
    <row r="536" spans="1:48" ht="12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4"/>
      <c r="V536" s="22"/>
      <c r="W536" s="5"/>
      <c r="X536" s="5"/>
      <c r="Y536" s="5"/>
      <c r="Z536" s="5"/>
      <c r="AA536" s="5"/>
      <c r="AB536" s="5"/>
      <c r="AC536" s="5"/>
      <c r="AD536" s="5"/>
      <c r="AE536" s="4"/>
      <c r="AF536" s="5"/>
      <c r="AG536" s="5"/>
      <c r="AH536" s="5"/>
      <c r="AI536" s="5"/>
      <c r="AJ536" s="5"/>
      <c r="AK536" s="5"/>
      <c r="AL536" s="5"/>
      <c r="AM536" s="5"/>
      <c r="AN536" s="4"/>
      <c r="AO536" s="5"/>
      <c r="AP536" s="5"/>
      <c r="AQ536" s="5"/>
      <c r="AR536" s="22"/>
      <c r="AS536" s="4"/>
      <c r="AT536" s="5"/>
      <c r="AU536" s="5"/>
      <c r="AV536" s="5"/>
    </row>
    <row r="537" spans="1:48" ht="12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4"/>
      <c r="V537" s="22"/>
      <c r="W537" s="5"/>
      <c r="X537" s="5"/>
      <c r="Y537" s="5"/>
      <c r="Z537" s="5"/>
      <c r="AA537" s="5"/>
      <c r="AB537" s="5"/>
      <c r="AC537" s="5"/>
      <c r="AD537" s="5"/>
      <c r="AE537" s="4"/>
      <c r="AF537" s="5"/>
      <c r="AG537" s="5"/>
      <c r="AH537" s="5"/>
      <c r="AI537" s="5"/>
      <c r="AJ537" s="5"/>
      <c r="AK537" s="5"/>
      <c r="AL537" s="5"/>
      <c r="AM537" s="5"/>
      <c r="AN537" s="4"/>
      <c r="AO537" s="5"/>
      <c r="AP537" s="5"/>
      <c r="AQ537" s="5"/>
      <c r="AR537" s="22"/>
      <c r="AS537" s="4"/>
      <c r="AT537" s="5"/>
      <c r="AU537" s="5"/>
      <c r="AV537" s="5"/>
    </row>
    <row r="538" spans="1:48" ht="12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4"/>
      <c r="V538" s="22"/>
      <c r="W538" s="5"/>
      <c r="X538" s="5"/>
      <c r="Y538" s="5"/>
      <c r="Z538" s="5"/>
      <c r="AA538" s="5"/>
      <c r="AB538" s="5"/>
      <c r="AC538" s="5"/>
      <c r="AD538" s="5"/>
      <c r="AE538" s="4"/>
      <c r="AF538" s="5"/>
      <c r="AG538" s="5"/>
      <c r="AH538" s="5"/>
      <c r="AI538" s="5"/>
      <c r="AJ538" s="5"/>
      <c r="AK538" s="5"/>
      <c r="AL538" s="5"/>
      <c r="AM538" s="5"/>
      <c r="AN538" s="4"/>
      <c r="AO538" s="5"/>
      <c r="AP538" s="5"/>
      <c r="AQ538" s="5"/>
      <c r="AR538" s="22"/>
      <c r="AS538" s="4"/>
      <c r="AT538" s="5"/>
      <c r="AU538" s="5"/>
      <c r="AV538" s="5"/>
    </row>
    <row r="539" spans="1:48" ht="12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4"/>
      <c r="V539" s="22"/>
      <c r="W539" s="5"/>
      <c r="X539" s="5"/>
      <c r="Y539" s="5"/>
      <c r="Z539" s="5"/>
      <c r="AA539" s="5"/>
      <c r="AB539" s="5"/>
      <c r="AC539" s="5"/>
      <c r="AD539" s="5"/>
      <c r="AE539" s="4"/>
      <c r="AF539" s="5"/>
      <c r="AG539" s="5"/>
      <c r="AH539" s="5"/>
      <c r="AI539" s="5"/>
      <c r="AJ539" s="5"/>
      <c r="AK539" s="5"/>
      <c r="AL539" s="5"/>
      <c r="AM539" s="5"/>
      <c r="AN539" s="4"/>
      <c r="AO539" s="5"/>
      <c r="AP539" s="5"/>
      <c r="AQ539" s="5"/>
      <c r="AR539" s="22"/>
      <c r="AS539" s="4"/>
      <c r="AT539" s="5"/>
      <c r="AU539" s="5"/>
      <c r="AV539" s="5"/>
    </row>
    <row r="540" spans="1:48" ht="12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4"/>
      <c r="V540" s="22"/>
      <c r="W540" s="5"/>
      <c r="X540" s="5"/>
      <c r="Y540" s="5"/>
      <c r="Z540" s="5"/>
      <c r="AA540" s="5"/>
      <c r="AB540" s="5"/>
      <c r="AC540" s="5"/>
      <c r="AD540" s="5"/>
      <c r="AE540" s="4"/>
      <c r="AF540" s="5"/>
      <c r="AG540" s="5"/>
      <c r="AH540" s="5"/>
      <c r="AI540" s="5"/>
      <c r="AJ540" s="5"/>
      <c r="AK540" s="5"/>
      <c r="AL540" s="5"/>
      <c r="AM540" s="5"/>
      <c r="AN540" s="4"/>
      <c r="AO540" s="5"/>
      <c r="AP540" s="5"/>
      <c r="AQ540" s="5"/>
      <c r="AR540" s="22"/>
      <c r="AS540" s="4"/>
      <c r="AT540" s="5"/>
      <c r="AU540" s="5"/>
      <c r="AV540" s="5"/>
    </row>
    <row r="541" spans="1:48" ht="12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4"/>
      <c r="V541" s="22"/>
      <c r="W541" s="5"/>
      <c r="X541" s="5"/>
      <c r="Y541" s="5"/>
      <c r="Z541" s="5"/>
      <c r="AA541" s="5"/>
      <c r="AB541" s="5"/>
      <c r="AC541" s="5"/>
      <c r="AD541" s="5"/>
      <c r="AE541" s="4"/>
      <c r="AF541" s="5"/>
      <c r="AG541" s="5"/>
      <c r="AH541" s="5"/>
      <c r="AI541" s="5"/>
      <c r="AJ541" s="5"/>
      <c r="AK541" s="5"/>
      <c r="AL541" s="5"/>
      <c r="AM541" s="5"/>
      <c r="AN541" s="4"/>
      <c r="AO541" s="5"/>
      <c r="AP541" s="5"/>
      <c r="AQ541" s="5"/>
      <c r="AR541" s="22"/>
      <c r="AS541" s="4"/>
      <c r="AT541" s="5"/>
      <c r="AU541" s="5"/>
      <c r="AV541" s="5"/>
    </row>
    <row r="542" spans="1:48" ht="12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4"/>
      <c r="V542" s="22"/>
      <c r="W542" s="5"/>
      <c r="X542" s="5"/>
      <c r="Y542" s="5"/>
      <c r="Z542" s="5"/>
      <c r="AA542" s="5"/>
      <c r="AB542" s="5"/>
      <c r="AC542" s="5"/>
      <c r="AD542" s="5"/>
      <c r="AE542" s="4"/>
      <c r="AF542" s="5"/>
      <c r="AG542" s="5"/>
      <c r="AH542" s="5"/>
      <c r="AI542" s="5"/>
      <c r="AJ542" s="5"/>
      <c r="AK542" s="5"/>
      <c r="AL542" s="5"/>
      <c r="AM542" s="5"/>
      <c r="AN542" s="4"/>
      <c r="AO542" s="5"/>
      <c r="AP542" s="5"/>
      <c r="AQ542" s="5"/>
      <c r="AR542" s="22"/>
      <c r="AS542" s="4"/>
      <c r="AT542" s="5"/>
      <c r="AU542" s="5"/>
      <c r="AV542" s="5"/>
    </row>
    <row r="543" spans="1:48" ht="12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4"/>
      <c r="V543" s="22"/>
      <c r="W543" s="5"/>
      <c r="X543" s="5"/>
      <c r="Y543" s="5"/>
      <c r="Z543" s="5"/>
      <c r="AA543" s="5"/>
      <c r="AB543" s="5"/>
      <c r="AC543" s="5"/>
      <c r="AD543" s="5"/>
      <c r="AE543" s="4"/>
      <c r="AF543" s="5"/>
      <c r="AG543" s="5"/>
      <c r="AH543" s="5"/>
      <c r="AI543" s="5"/>
      <c r="AJ543" s="5"/>
      <c r="AK543" s="5"/>
      <c r="AL543" s="5"/>
      <c r="AM543" s="5"/>
      <c r="AN543" s="4"/>
      <c r="AO543" s="5"/>
      <c r="AP543" s="5"/>
      <c r="AQ543" s="5"/>
      <c r="AR543" s="22"/>
      <c r="AS543" s="4"/>
      <c r="AT543" s="5"/>
      <c r="AU543" s="5"/>
      <c r="AV543" s="5"/>
    </row>
    <row r="544" spans="1:48" ht="12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4"/>
      <c r="V544" s="22"/>
      <c r="W544" s="5"/>
      <c r="X544" s="5"/>
      <c r="Y544" s="5"/>
      <c r="Z544" s="5"/>
      <c r="AA544" s="5"/>
      <c r="AB544" s="5"/>
      <c r="AC544" s="5"/>
      <c r="AD544" s="5"/>
      <c r="AE544" s="4"/>
      <c r="AF544" s="5"/>
      <c r="AG544" s="5"/>
      <c r="AH544" s="5"/>
      <c r="AI544" s="5"/>
      <c r="AJ544" s="5"/>
      <c r="AK544" s="5"/>
      <c r="AL544" s="5"/>
      <c r="AM544" s="5"/>
      <c r="AN544" s="4"/>
      <c r="AO544" s="5"/>
      <c r="AP544" s="5"/>
      <c r="AQ544" s="5"/>
      <c r="AR544" s="22"/>
      <c r="AS544" s="4"/>
      <c r="AT544" s="5"/>
      <c r="AU544" s="5"/>
      <c r="AV544" s="5"/>
    </row>
    <row r="545" spans="1:48" ht="12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4"/>
      <c r="V545" s="22"/>
      <c r="W545" s="5"/>
      <c r="X545" s="5"/>
      <c r="Y545" s="5"/>
      <c r="Z545" s="5"/>
      <c r="AA545" s="5"/>
      <c r="AB545" s="5"/>
      <c r="AC545" s="5"/>
      <c r="AD545" s="5"/>
      <c r="AE545" s="4"/>
      <c r="AF545" s="5"/>
      <c r="AG545" s="5"/>
      <c r="AH545" s="5"/>
      <c r="AI545" s="5"/>
      <c r="AJ545" s="5"/>
      <c r="AK545" s="5"/>
      <c r="AL545" s="5"/>
      <c r="AM545" s="5"/>
      <c r="AN545" s="4"/>
      <c r="AO545" s="5"/>
      <c r="AP545" s="5"/>
      <c r="AQ545" s="5"/>
      <c r="AR545" s="22"/>
      <c r="AS545" s="4"/>
      <c r="AT545" s="5"/>
      <c r="AU545" s="5"/>
      <c r="AV545" s="5"/>
    </row>
    <row r="546" spans="1:48" ht="12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4"/>
      <c r="V546" s="22"/>
      <c r="W546" s="5"/>
      <c r="X546" s="5"/>
      <c r="Y546" s="5"/>
      <c r="Z546" s="5"/>
      <c r="AA546" s="5"/>
      <c r="AB546" s="5"/>
      <c r="AC546" s="5"/>
      <c r="AD546" s="5"/>
      <c r="AE546" s="4"/>
      <c r="AF546" s="5"/>
      <c r="AG546" s="5"/>
      <c r="AH546" s="5"/>
      <c r="AI546" s="5"/>
      <c r="AJ546" s="5"/>
      <c r="AK546" s="5"/>
      <c r="AL546" s="5"/>
      <c r="AM546" s="5"/>
      <c r="AN546" s="4"/>
      <c r="AO546" s="5"/>
      <c r="AP546" s="5"/>
      <c r="AQ546" s="5"/>
      <c r="AR546" s="22"/>
      <c r="AS546" s="4"/>
      <c r="AT546" s="5"/>
      <c r="AU546" s="5"/>
      <c r="AV546" s="5"/>
    </row>
    <row r="547" spans="1:48" ht="12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4"/>
      <c r="V547" s="22"/>
      <c r="W547" s="5"/>
      <c r="X547" s="5"/>
      <c r="Y547" s="5"/>
      <c r="Z547" s="5"/>
      <c r="AA547" s="5"/>
      <c r="AB547" s="5"/>
      <c r="AC547" s="5"/>
      <c r="AD547" s="5"/>
      <c r="AE547" s="4"/>
      <c r="AF547" s="5"/>
      <c r="AG547" s="5"/>
      <c r="AH547" s="5"/>
      <c r="AI547" s="5"/>
      <c r="AJ547" s="5"/>
      <c r="AK547" s="5"/>
      <c r="AL547" s="5"/>
      <c r="AM547" s="5"/>
      <c r="AN547" s="4"/>
      <c r="AO547" s="5"/>
      <c r="AP547" s="5"/>
      <c r="AQ547" s="5"/>
      <c r="AR547" s="22"/>
      <c r="AS547" s="4"/>
      <c r="AT547" s="5"/>
      <c r="AU547" s="5"/>
      <c r="AV547" s="5"/>
    </row>
    <row r="548" spans="1:48" ht="12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4"/>
      <c r="V548" s="22"/>
      <c r="W548" s="5"/>
      <c r="X548" s="5"/>
      <c r="Y548" s="5"/>
      <c r="Z548" s="5"/>
      <c r="AA548" s="5"/>
      <c r="AB548" s="5"/>
      <c r="AC548" s="5"/>
      <c r="AD548" s="5"/>
      <c r="AE548" s="4"/>
      <c r="AF548" s="5"/>
      <c r="AG548" s="5"/>
      <c r="AH548" s="5"/>
      <c r="AI548" s="5"/>
      <c r="AJ548" s="5"/>
      <c r="AK548" s="5"/>
      <c r="AL548" s="5"/>
      <c r="AM548" s="5"/>
      <c r="AN548" s="4"/>
      <c r="AO548" s="5"/>
      <c r="AP548" s="5"/>
      <c r="AQ548" s="5"/>
      <c r="AR548" s="22"/>
      <c r="AS548" s="4"/>
      <c r="AT548" s="5"/>
      <c r="AU548" s="5"/>
      <c r="AV548" s="5"/>
    </row>
    <row r="549" spans="1:48" ht="12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4"/>
      <c r="V549" s="22"/>
      <c r="W549" s="5"/>
      <c r="X549" s="5"/>
      <c r="Y549" s="5"/>
      <c r="Z549" s="5"/>
      <c r="AA549" s="5"/>
      <c r="AB549" s="5"/>
      <c r="AC549" s="5"/>
      <c r="AD549" s="5"/>
      <c r="AE549" s="4"/>
      <c r="AF549" s="5"/>
      <c r="AG549" s="5"/>
      <c r="AH549" s="5"/>
      <c r="AI549" s="5"/>
      <c r="AJ549" s="5"/>
      <c r="AK549" s="5"/>
      <c r="AL549" s="5"/>
      <c r="AM549" s="5"/>
      <c r="AN549" s="4"/>
      <c r="AO549" s="5"/>
      <c r="AP549" s="5"/>
      <c r="AQ549" s="5"/>
      <c r="AR549" s="22"/>
      <c r="AS549" s="4"/>
      <c r="AT549" s="5"/>
      <c r="AU549" s="5"/>
      <c r="AV549" s="5"/>
    </row>
    <row r="550" spans="1:48" ht="12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4"/>
      <c r="V550" s="22"/>
      <c r="W550" s="5"/>
      <c r="X550" s="5"/>
      <c r="Y550" s="5"/>
      <c r="Z550" s="5"/>
      <c r="AA550" s="5"/>
      <c r="AB550" s="5"/>
      <c r="AC550" s="5"/>
      <c r="AD550" s="5"/>
      <c r="AE550" s="4"/>
      <c r="AF550" s="5"/>
      <c r="AG550" s="5"/>
      <c r="AH550" s="5"/>
      <c r="AI550" s="5"/>
      <c r="AJ550" s="5"/>
      <c r="AK550" s="5"/>
      <c r="AL550" s="5"/>
      <c r="AM550" s="5"/>
      <c r="AN550" s="4"/>
      <c r="AO550" s="5"/>
      <c r="AP550" s="5"/>
      <c r="AQ550" s="5"/>
      <c r="AR550" s="22"/>
      <c r="AS550" s="4"/>
      <c r="AT550" s="5"/>
      <c r="AU550" s="5"/>
      <c r="AV550" s="5"/>
    </row>
    <row r="551" spans="1:48" ht="12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4"/>
      <c r="V551" s="22"/>
      <c r="W551" s="5"/>
      <c r="X551" s="5"/>
      <c r="Y551" s="5"/>
      <c r="Z551" s="5"/>
      <c r="AA551" s="5"/>
      <c r="AB551" s="5"/>
      <c r="AC551" s="5"/>
      <c r="AD551" s="5"/>
      <c r="AE551" s="4"/>
      <c r="AF551" s="5"/>
      <c r="AG551" s="5"/>
      <c r="AH551" s="5"/>
      <c r="AI551" s="5"/>
      <c r="AJ551" s="5"/>
      <c r="AK551" s="5"/>
      <c r="AL551" s="5"/>
      <c r="AM551" s="5"/>
      <c r="AN551" s="4"/>
      <c r="AO551" s="5"/>
      <c r="AP551" s="5"/>
      <c r="AQ551" s="5"/>
      <c r="AR551" s="22"/>
      <c r="AS551" s="4"/>
      <c r="AT551" s="5"/>
      <c r="AU551" s="5"/>
      <c r="AV551" s="5"/>
    </row>
    <row r="552" spans="1:48" ht="12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4"/>
      <c r="V552" s="22"/>
      <c r="W552" s="5"/>
      <c r="X552" s="5"/>
      <c r="Y552" s="5"/>
      <c r="Z552" s="5"/>
      <c r="AA552" s="5"/>
      <c r="AB552" s="5"/>
      <c r="AC552" s="5"/>
      <c r="AD552" s="5"/>
      <c r="AE552" s="4"/>
      <c r="AF552" s="5"/>
      <c r="AG552" s="5"/>
      <c r="AH552" s="5"/>
      <c r="AI552" s="5"/>
      <c r="AJ552" s="5"/>
      <c r="AK552" s="5"/>
      <c r="AL552" s="5"/>
      <c r="AM552" s="5"/>
      <c r="AN552" s="4"/>
      <c r="AO552" s="5"/>
      <c r="AP552" s="5"/>
      <c r="AQ552" s="5"/>
      <c r="AR552" s="22"/>
      <c r="AS552" s="4"/>
      <c r="AT552" s="5"/>
      <c r="AU552" s="5"/>
      <c r="AV552" s="5"/>
    </row>
    <row r="553" spans="1:48" ht="12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4"/>
      <c r="V553" s="22"/>
      <c r="W553" s="5"/>
      <c r="X553" s="5"/>
      <c r="Y553" s="5"/>
      <c r="Z553" s="5"/>
      <c r="AA553" s="5"/>
      <c r="AB553" s="5"/>
      <c r="AC553" s="5"/>
      <c r="AD553" s="5"/>
      <c r="AE553" s="4"/>
      <c r="AF553" s="5"/>
      <c r="AG553" s="5"/>
      <c r="AH553" s="5"/>
      <c r="AI553" s="5"/>
      <c r="AJ553" s="5"/>
      <c r="AK553" s="5"/>
      <c r="AL553" s="5"/>
      <c r="AM553" s="5"/>
      <c r="AN553" s="4"/>
      <c r="AO553" s="5"/>
      <c r="AP553" s="5"/>
      <c r="AQ553" s="5"/>
      <c r="AR553" s="22"/>
      <c r="AS553" s="4"/>
      <c r="AT553" s="5"/>
      <c r="AU553" s="5"/>
      <c r="AV553" s="5"/>
    </row>
    <row r="554" spans="1:48" ht="12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4"/>
      <c r="V554" s="22"/>
      <c r="W554" s="5"/>
      <c r="X554" s="5"/>
      <c r="Y554" s="5"/>
      <c r="Z554" s="5"/>
      <c r="AA554" s="5"/>
      <c r="AB554" s="5"/>
      <c r="AC554" s="5"/>
      <c r="AD554" s="5"/>
      <c r="AE554" s="4"/>
      <c r="AF554" s="5"/>
      <c r="AG554" s="5"/>
      <c r="AH554" s="5"/>
      <c r="AI554" s="5"/>
      <c r="AJ554" s="5"/>
      <c r="AK554" s="5"/>
      <c r="AL554" s="5"/>
      <c r="AM554" s="5"/>
      <c r="AN554" s="4"/>
      <c r="AO554" s="5"/>
      <c r="AP554" s="5"/>
      <c r="AQ554" s="5"/>
      <c r="AR554" s="22"/>
      <c r="AS554" s="4"/>
      <c r="AT554" s="5"/>
      <c r="AU554" s="5"/>
      <c r="AV554" s="5"/>
    </row>
    <row r="555" spans="1:48" ht="12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4"/>
      <c r="V555" s="22"/>
      <c r="W555" s="5"/>
      <c r="X555" s="5"/>
      <c r="Y555" s="5"/>
      <c r="Z555" s="5"/>
      <c r="AA555" s="5"/>
      <c r="AB555" s="5"/>
      <c r="AC555" s="5"/>
      <c r="AD555" s="5"/>
      <c r="AE555" s="4"/>
      <c r="AF555" s="5"/>
      <c r="AG555" s="5"/>
      <c r="AH555" s="5"/>
      <c r="AI555" s="5"/>
      <c r="AJ555" s="5"/>
      <c r="AK555" s="5"/>
      <c r="AL555" s="5"/>
      <c r="AM555" s="5"/>
      <c r="AN555" s="4"/>
      <c r="AO555" s="5"/>
      <c r="AP555" s="5"/>
      <c r="AQ555" s="5"/>
      <c r="AR555" s="22"/>
      <c r="AS555" s="4"/>
      <c r="AT555" s="5"/>
      <c r="AU555" s="5"/>
      <c r="AV555" s="5"/>
    </row>
    <row r="556" spans="1:48" ht="12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4"/>
      <c r="V556" s="22"/>
      <c r="W556" s="5"/>
      <c r="X556" s="5"/>
      <c r="Y556" s="5"/>
      <c r="Z556" s="5"/>
      <c r="AA556" s="5"/>
      <c r="AB556" s="5"/>
      <c r="AC556" s="5"/>
      <c r="AD556" s="5"/>
      <c r="AE556" s="4"/>
      <c r="AF556" s="5"/>
      <c r="AG556" s="5"/>
      <c r="AH556" s="5"/>
      <c r="AI556" s="5"/>
      <c r="AJ556" s="5"/>
      <c r="AK556" s="5"/>
      <c r="AL556" s="5"/>
      <c r="AM556" s="5"/>
      <c r="AN556" s="4"/>
      <c r="AO556" s="5"/>
      <c r="AP556" s="5"/>
      <c r="AQ556" s="5"/>
      <c r="AR556" s="22"/>
      <c r="AS556" s="4"/>
      <c r="AT556" s="5"/>
      <c r="AU556" s="5"/>
      <c r="AV556" s="5"/>
    </row>
    <row r="557" spans="1:48" ht="12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4"/>
      <c r="V557" s="22"/>
      <c r="W557" s="5"/>
      <c r="X557" s="5"/>
      <c r="Y557" s="5"/>
      <c r="Z557" s="5"/>
      <c r="AA557" s="5"/>
      <c r="AB557" s="5"/>
      <c r="AC557" s="5"/>
      <c r="AD557" s="5"/>
      <c r="AE557" s="4"/>
      <c r="AF557" s="5"/>
      <c r="AG557" s="5"/>
      <c r="AH557" s="5"/>
      <c r="AI557" s="5"/>
      <c r="AJ557" s="5"/>
      <c r="AK557" s="5"/>
      <c r="AL557" s="5"/>
      <c r="AM557" s="5"/>
      <c r="AN557" s="4"/>
      <c r="AO557" s="5"/>
      <c r="AP557" s="5"/>
      <c r="AQ557" s="5"/>
      <c r="AR557" s="22"/>
      <c r="AS557" s="4"/>
      <c r="AT557" s="5"/>
      <c r="AU557" s="5"/>
      <c r="AV557" s="5"/>
    </row>
    <row r="558" spans="1:48" ht="12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4"/>
      <c r="V558" s="22"/>
      <c r="W558" s="5"/>
      <c r="X558" s="5"/>
      <c r="Y558" s="5"/>
      <c r="Z558" s="5"/>
      <c r="AA558" s="5"/>
      <c r="AB558" s="5"/>
      <c r="AC558" s="5"/>
      <c r="AD558" s="5"/>
      <c r="AE558" s="4"/>
      <c r="AF558" s="5"/>
      <c r="AG558" s="5"/>
      <c r="AH558" s="5"/>
      <c r="AI558" s="5"/>
      <c r="AJ558" s="5"/>
      <c r="AK558" s="5"/>
      <c r="AL558" s="5"/>
      <c r="AM558" s="5"/>
      <c r="AN558" s="4"/>
      <c r="AO558" s="5"/>
      <c r="AP558" s="5"/>
      <c r="AQ558" s="5"/>
      <c r="AR558" s="22"/>
      <c r="AS558" s="4"/>
      <c r="AT558" s="5"/>
      <c r="AU558" s="5"/>
      <c r="AV558" s="5"/>
    </row>
    <row r="559" spans="1:48" ht="12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4"/>
      <c r="V559" s="22"/>
      <c r="W559" s="5"/>
      <c r="X559" s="5"/>
      <c r="Y559" s="5"/>
      <c r="Z559" s="5"/>
      <c r="AA559" s="5"/>
      <c r="AB559" s="5"/>
      <c r="AC559" s="5"/>
      <c r="AD559" s="5"/>
      <c r="AE559" s="4"/>
      <c r="AF559" s="5"/>
      <c r="AG559" s="5"/>
      <c r="AH559" s="5"/>
      <c r="AI559" s="5"/>
      <c r="AJ559" s="5"/>
      <c r="AK559" s="5"/>
      <c r="AL559" s="5"/>
      <c r="AM559" s="5"/>
      <c r="AN559" s="4"/>
      <c r="AO559" s="5"/>
      <c r="AP559" s="5"/>
      <c r="AQ559" s="5"/>
      <c r="AR559" s="22"/>
      <c r="AS559" s="4"/>
      <c r="AT559" s="5"/>
      <c r="AU559" s="5"/>
      <c r="AV559" s="5"/>
    </row>
    <row r="560" spans="1:48" ht="12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4"/>
      <c r="V560" s="22"/>
      <c r="W560" s="5"/>
      <c r="X560" s="5"/>
      <c r="Y560" s="5"/>
      <c r="Z560" s="5"/>
      <c r="AA560" s="5"/>
      <c r="AB560" s="5"/>
      <c r="AC560" s="5"/>
      <c r="AD560" s="5"/>
      <c r="AE560" s="4"/>
      <c r="AF560" s="5"/>
      <c r="AG560" s="5"/>
      <c r="AH560" s="5"/>
      <c r="AI560" s="5"/>
      <c r="AJ560" s="5"/>
      <c r="AK560" s="5"/>
      <c r="AL560" s="5"/>
      <c r="AM560" s="5"/>
      <c r="AN560" s="4"/>
      <c r="AO560" s="5"/>
      <c r="AP560" s="5"/>
      <c r="AQ560" s="5"/>
      <c r="AR560" s="22"/>
      <c r="AS560" s="4"/>
      <c r="AT560" s="5"/>
      <c r="AU560" s="5"/>
      <c r="AV560" s="5"/>
    </row>
    <row r="561" spans="1:48" ht="12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4"/>
      <c r="V561" s="22"/>
      <c r="W561" s="5"/>
      <c r="X561" s="5"/>
      <c r="Y561" s="5"/>
      <c r="Z561" s="5"/>
      <c r="AA561" s="5"/>
      <c r="AB561" s="5"/>
      <c r="AC561" s="5"/>
      <c r="AD561" s="5"/>
      <c r="AE561" s="4"/>
      <c r="AF561" s="5"/>
      <c r="AG561" s="5"/>
      <c r="AH561" s="5"/>
      <c r="AI561" s="5"/>
      <c r="AJ561" s="5"/>
      <c r="AK561" s="5"/>
      <c r="AL561" s="5"/>
      <c r="AM561" s="5"/>
      <c r="AN561" s="4"/>
      <c r="AO561" s="5"/>
      <c r="AP561" s="5"/>
      <c r="AQ561" s="5"/>
      <c r="AR561" s="22"/>
      <c r="AS561" s="4"/>
      <c r="AT561" s="5"/>
      <c r="AU561" s="5"/>
      <c r="AV561" s="5"/>
    </row>
    <row r="562" spans="1:48" ht="12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4"/>
      <c r="V562" s="22"/>
      <c r="W562" s="5"/>
      <c r="X562" s="5"/>
      <c r="Y562" s="5"/>
      <c r="Z562" s="5"/>
      <c r="AA562" s="5"/>
      <c r="AB562" s="5"/>
      <c r="AC562" s="5"/>
      <c r="AD562" s="5"/>
      <c r="AE562" s="4"/>
      <c r="AF562" s="5"/>
      <c r="AG562" s="5"/>
      <c r="AH562" s="5"/>
      <c r="AI562" s="5"/>
      <c r="AJ562" s="5"/>
      <c r="AK562" s="5"/>
      <c r="AL562" s="5"/>
      <c r="AM562" s="5"/>
      <c r="AN562" s="4"/>
      <c r="AO562" s="5"/>
      <c r="AP562" s="5"/>
      <c r="AQ562" s="5"/>
      <c r="AR562" s="22"/>
      <c r="AS562" s="4"/>
      <c r="AT562" s="5"/>
      <c r="AU562" s="5"/>
      <c r="AV562" s="5"/>
    </row>
    <row r="563" spans="1:48" ht="12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4"/>
      <c r="V563" s="22"/>
      <c r="W563" s="5"/>
      <c r="X563" s="5"/>
      <c r="Y563" s="5"/>
      <c r="Z563" s="5"/>
      <c r="AA563" s="5"/>
      <c r="AB563" s="5"/>
      <c r="AC563" s="5"/>
      <c r="AD563" s="5"/>
      <c r="AE563" s="4"/>
      <c r="AF563" s="5"/>
      <c r="AG563" s="5"/>
      <c r="AH563" s="5"/>
      <c r="AI563" s="5"/>
      <c r="AJ563" s="5"/>
      <c r="AK563" s="5"/>
      <c r="AL563" s="5"/>
      <c r="AM563" s="5"/>
      <c r="AN563" s="4"/>
      <c r="AO563" s="5"/>
      <c r="AP563" s="5"/>
      <c r="AQ563" s="5"/>
      <c r="AR563" s="22"/>
      <c r="AS563" s="4"/>
      <c r="AT563" s="5"/>
      <c r="AU563" s="5"/>
      <c r="AV563" s="5"/>
    </row>
    <row r="564" spans="1:48" ht="12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4"/>
      <c r="V564" s="22"/>
      <c r="W564" s="5"/>
      <c r="X564" s="5"/>
      <c r="Y564" s="5"/>
      <c r="Z564" s="5"/>
      <c r="AA564" s="5"/>
      <c r="AB564" s="5"/>
      <c r="AC564" s="5"/>
      <c r="AD564" s="5"/>
      <c r="AE564" s="4"/>
      <c r="AF564" s="5"/>
      <c r="AG564" s="5"/>
      <c r="AH564" s="5"/>
      <c r="AI564" s="5"/>
      <c r="AJ564" s="5"/>
      <c r="AK564" s="5"/>
      <c r="AL564" s="5"/>
      <c r="AM564" s="5"/>
      <c r="AN564" s="4"/>
      <c r="AO564" s="5"/>
      <c r="AP564" s="5"/>
      <c r="AQ564" s="5"/>
      <c r="AR564" s="22"/>
      <c r="AS564" s="4"/>
      <c r="AT564" s="5"/>
      <c r="AU564" s="5"/>
      <c r="AV564" s="5"/>
    </row>
    <row r="565" spans="1:48" ht="12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4"/>
      <c r="V565" s="22"/>
      <c r="W565" s="5"/>
      <c r="X565" s="5"/>
      <c r="Y565" s="5"/>
      <c r="Z565" s="5"/>
      <c r="AA565" s="5"/>
      <c r="AB565" s="5"/>
      <c r="AC565" s="5"/>
      <c r="AD565" s="5"/>
      <c r="AE565" s="4"/>
      <c r="AF565" s="5"/>
      <c r="AG565" s="5"/>
      <c r="AH565" s="5"/>
      <c r="AI565" s="5"/>
      <c r="AJ565" s="5"/>
      <c r="AK565" s="5"/>
      <c r="AL565" s="5"/>
      <c r="AM565" s="5"/>
      <c r="AN565" s="4"/>
      <c r="AO565" s="5"/>
      <c r="AP565" s="5"/>
      <c r="AQ565" s="5"/>
      <c r="AR565" s="22"/>
      <c r="AS565" s="4"/>
      <c r="AT565" s="5"/>
      <c r="AU565" s="5"/>
      <c r="AV565" s="5"/>
    </row>
    <row r="566" spans="1:48" ht="12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4"/>
      <c r="V566" s="22"/>
      <c r="W566" s="5"/>
      <c r="X566" s="5"/>
      <c r="Y566" s="5"/>
      <c r="Z566" s="5"/>
      <c r="AA566" s="5"/>
      <c r="AB566" s="5"/>
      <c r="AC566" s="5"/>
      <c r="AD566" s="5"/>
      <c r="AE566" s="4"/>
      <c r="AF566" s="5"/>
      <c r="AG566" s="5"/>
      <c r="AH566" s="5"/>
      <c r="AI566" s="5"/>
      <c r="AJ566" s="5"/>
      <c r="AK566" s="5"/>
      <c r="AL566" s="5"/>
      <c r="AM566" s="5"/>
      <c r="AN566" s="4"/>
      <c r="AO566" s="5"/>
      <c r="AP566" s="5"/>
      <c r="AQ566" s="5"/>
      <c r="AR566" s="22"/>
      <c r="AS566" s="4"/>
      <c r="AT566" s="5"/>
      <c r="AU566" s="5"/>
      <c r="AV566" s="5"/>
    </row>
    <row r="567" spans="1:48" ht="12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4"/>
      <c r="V567" s="22"/>
      <c r="W567" s="5"/>
      <c r="X567" s="5"/>
      <c r="Y567" s="5"/>
      <c r="Z567" s="5"/>
      <c r="AA567" s="5"/>
      <c r="AB567" s="5"/>
      <c r="AC567" s="5"/>
      <c r="AD567" s="5"/>
      <c r="AE567" s="4"/>
      <c r="AF567" s="5"/>
      <c r="AG567" s="5"/>
      <c r="AH567" s="5"/>
      <c r="AI567" s="5"/>
      <c r="AJ567" s="5"/>
      <c r="AK567" s="5"/>
      <c r="AL567" s="5"/>
      <c r="AM567" s="5"/>
      <c r="AN567" s="4"/>
      <c r="AO567" s="5"/>
      <c r="AP567" s="5"/>
      <c r="AQ567" s="5"/>
      <c r="AR567" s="22"/>
      <c r="AS567" s="4"/>
      <c r="AT567" s="5"/>
      <c r="AU567" s="5"/>
      <c r="AV567" s="5"/>
    </row>
    <row r="568" spans="1:48" ht="12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4"/>
      <c r="V568" s="22"/>
      <c r="W568" s="5"/>
      <c r="X568" s="5"/>
      <c r="Y568" s="5"/>
      <c r="Z568" s="5"/>
      <c r="AA568" s="5"/>
      <c r="AB568" s="5"/>
      <c r="AC568" s="5"/>
      <c r="AD568" s="5"/>
      <c r="AE568" s="4"/>
      <c r="AF568" s="5"/>
      <c r="AG568" s="5"/>
      <c r="AH568" s="5"/>
      <c r="AI568" s="5"/>
      <c r="AJ568" s="5"/>
      <c r="AK568" s="5"/>
      <c r="AL568" s="5"/>
      <c r="AM568" s="5"/>
      <c r="AN568" s="4"/>
      <c r="AO568" s="5"/>
      <c r="AP568" s="5"/>
      <c r="AQ568" s="5"/>
      <c r="AR568" s="22"/>
      <c r="AS568" s="4"/>
      <c r="AT568" s="5"/>
      <c r="AU568" s="5"/>
      <c r="AV568" s="5"/>
    </row>
    <row r="569" spans="1:48" ht="12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4"/>
      <c r="V569" s="22"/>
      <c r="W569" s="5"/>
      <c r="X569" s="5"/>
      <c r="Y569" s="5"/>
      <c r="Z569" s="5"/>
      <c r="AA569" s="5"/>
      <c r="AB569" s="5"/>
      <c r="AC569" s="5"/>
      <c r="AD569" s="5"/>
      <c r="AE569" s="4"/>
      <c r="AF569" s="5"/>
      <c r="AG569" s="5"/>
      <c r="AH569" s="5"/>
      <c r="AI569" s="5"/>
      <c r="AJ569" s="5"/>
      <c r="AK569" s="5"/>
      <c r="AL569" s="5"/>
      <c r="AM569" s="5"/>
      <c r="AN569" s="4"/>
      <c r="AO569" s="5"/>
      <c r="AP569" s="5"/>
      <c r="AQ569" s="5"/>
      <c r="AR569" s="22"/>
      <c r="AS569" s="4"/>
      <c r="AT569" s="5"/>
      <c r="AU569" s="5"/>
      <c r="AV569" s="5"/>
    </row>
    <row r="570" spans="1:48" ht="12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4"/>
      <c r="V570" s="22"/>
      <c r="W570" s="5"/>
      <c r="X570" s="5"/>
      <c r="Y570" s="5"/>
      <c r="Z570" s="5"/>
      <c r="AA570" s="5"/>
      <c r="AB570" s="5"/>
      <c r="AC570" s="5"/>
      <c r="AD570" s="5"/>
      <c r="AE570" s="4"/>
      <c r="AF570" s="5"/>
      <c r="AG570" s="5"/>
      <c r="AH570" s="5"/>
      <c r="AI570" s="5"/>
      <c r="AJ570" s="5"/>
      <c r="AK570" s="5"/>
      <c r="AL570" s="5"/>
      <c r="AM570" s="5"/>
      <c r="AN570" s="4"/>
      <c r="AO570" s="5"/>
      <c r="AP570" s="5"/>
      <c r="AQ570" s="5"/>
      <c r="AR570" s="22"/>
      <c r="AS570" s="4"/>
      <c r="AT570" s="5"/>
      <c r="AU570" s="5"/>
      <c r="AV570" s="5"/>
    </row>
    <row r="571" spans="1:48" ht="12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4"/>
      <c r="V571" s="22"/>
      <c r="W571" s="5"/>
      <c r="X571" s="5"/>
      <c r="Y571" s="5"/>
      <c r="Z571" s="5"/>
      <c r="AA571" s="5"/>
      <c r="AB571" s="5"/>
      <c r="AC571" s="5"/>
      <c r="AD571" s="5"/>
      <c r="AE571" s="4"/>
      <c r="AF571" s="5"/>
      <c r="AG571" s="5"/>
      <c r="AH571" s="5"/>
      <c r="AI571" s="5"/>
      <c r="AJ571" s="5"/>
      <c r="AK571" s="5"/>
      <c r="AL571" s="5"/>
      <c r="AM571" s="5"/>
      <c r="AN571" s="4"/>
      <c r="AO571" s="5"/>
      <c r="AP571" s="5"/>
      <c r="AQ571" s="5"/>
      <c r="AR571" s="22"/>
      <c r="AS571" s="4"/>
      <c r="AT571" s="5"/>
      <c r="AU571" s="5"/>
      <c r="AV571" s="5"/>
    </row>
    <row r="572" spans="1:48" ht="12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4"/>
      <c r="V572" s="22"/>
      <c r="W572" s="5"/>
      <c r="X572" s="5"/>
      <c r="Y572" s="5"/>
      <c r="Z572" s="5"/>
      <c r="AA572" s="5"/>
      <c r="AB572" s="5"/>
      <c r="AC572" s="5"/>
      <c r="AD572" s="5"/>
      <c r="AE572" s="4"/>
      <c r="AF572" s="5"/>
      <c r="AG572" s="5"/>
      <c r="AH572" s="5"/>
      <c r="AI572" s="5"/>
      <c r="AJ572" s="5"/>
      <c r="AK572" s="5"/>
      <c r="AL572" s="5"/>
      <c r="AM572" s="5"/>
      <c r="AN572" s="4"/>
      <c r="AO572" s="5"/>
      <c r="AP572" s="5"/>
      <c r="AQ572" s="5"/>
      <c r="AR572" s="22"/>
      <c r="AS572" s="4"/>
      <c r="AT572" s="5"/>
      <c r="AU572" s="5"/>
      <c r="AV572" s="5"/>
    </row>
    <row r="573" spans="1:48" ht="12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4"/>
      <c r="V573" s="22"/>
      <c r="W573" s="5"/>
      <c r="X573" s="5"/>
      <c r="Y573" s="5"/>
      <c r="Z573" s="5"/>
      <c r="AA573" s="5"/>
      <c r="AB573" s="5"/>
      <c r="AC573" s="5"/>
      <c r="AD573" s="5"/>
      <c r="AE573" s="4"/>
      <c r="AF573" s="5"/>
      <c r="AG573" s="5"/>
      <c r="AH573" s="5"/>
      <c r="AI573" s="5"/>
      <c r="AJ573" s="5"/>
      <c r="AK573" s="5"/>
      <c r="AL573" s="5"/>
      <c r="AM573" s="5"/>
      <c r="AN573" s="4"/>
      <c r="AO573" s="5"/>
      <c r="AP573" s="5"/>
      <c r="AQ573" s="5"/>
      <c r="AR573" s="22"/>
      <c r="AS573" s="4"/>
      <c r="AT573" s="5"/>
      <c r="AU573" s="5"/>
      <c r="AV573" s="5"/>
    </row>
    <row r="574" spans="1:48" ht="12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4"/>
      <c r="V574" s="22"/>
      <c r="W574" s="5"/>
      <c r="X574" s="5"/>
      <c r="Y574" s="5"/>
      <c r="Z574" s="5"/>
      <c r="AA574" s="5"/>
      <c r="AB574" s="5"/>
      <c r="AC574" s="5"/>
      <c r="AD574" s="5"/>
      <c r="AE574" s="4"/>
      <c r="AF574" s="5"/>
      <c r="AG574" s="5"/>
      <c r="AH574" s="5"/>
      <c r="AI574" s="5"/>
      <c r="AJ574" s="5"/>
      <c r="AK574" s="5"/>
      <c r="AL574" s="5"/>
      <c r="AM574" s="5"/>
      <c r="AN574" s="4"/>
      <c r="AO574" s="5"/>
      <c r="AP574" s="5"/>
      <c r="AQ574" s="5"/>
      <c r="AR574" s="22"/>
      <c r="AS574" s="4"/>
      <c r="AT574" s="5"/>
      <c r="AU574" s="5"/>
      <c r="AV574" s="5"/>
    </row>
    <row r="575" spans="1:48" ht="12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4"/>
      <c r="V575" s="22"/>
      <c r="W575" s="5"/>
      <c r="X575" s="5"/>
      <c r="Y575" s="5"/>
      <c r="Z575" s="5"/>
      <c r="AA575" s="5"/>
      <c r="AB575" s="5"/>
      <c r="AC575" s="5"/>
      <c r="AD575" s="5"/>
      <c r="AE575" s="4"/>
      <c r="AF575" s="5"/>
      <c r="AG575" s="5"/>
      <c r="AH575" s="5"/>
      <c r="AI575" s="5"/>
      <c r="AJ575" s="5"/>
      <c r="AK575" s="5"/>
      <c r="AL575" s="5"/>
      <c r="AM575" s="5"/>
      <c r="AN575" s="4"/>
      <c r="AO575" s="5"/>
      <c r="AP575" s="5"/>
      <c r="AQ575" s="5"/>
      <c r="AR575" s="22"/>
      <c r="AS575" s="4"/>
      <c r="AT575" s="5"/>
      <c r="AU575" s="5"/>
      <c r="AV575" s="5"/>
    </row>
    <row r="576" spans="1:48" ht="12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4"/>
      <c r="V576" s="22"/>
      <c r="W576" s="5"/>
      <c r="X576" s="5"/>
      <c r="Y576" s="5"/>
      <c r="Z576" s="5"/>
      <c r="AA576" s="5"/>
      <c r="AB576" s="5"/>
      <c r="AC576" s="5"/>
      <c r="AD576" s="5"/>
      <c r="AE576" s="4"/>
      <c r="AF576" s="5"/>
      <c r="AG576" s="5"/>
      <c r="AH576" s="5"/>
      <c r="AI576" s="5"/>
      <c r="AJ576" s="5"/>
      <c r="AK576" s="5"/>
      <c r="AL576" s="5"/>
      <c r="AM576" s="5"/>
      <c r="AN576" s="4"/>
      <c r="AO576" s="5"/>
      <c r="AP576" s="5"/>
      <c r="AQ576" s="5"/>
      <c r="AR576" s="22"/>
      <c r="AS576" s="4"/>
      <c r="AT576" s="5"/>
      <c r="AU576" s="5"/>
      <c r="AV576" s="5"/>
    </row>
    <row r="577" spans="1:48" ht="12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4"/>
      <c r="V577" s="22"/>
      <c r="W577" s="5"/>
      <c r="X577" s="5"/>
      <c r="Y577" s="5"/>
      <c r="Z577" s="5"/>
      <c r="AA577" s="5"/>
      <c r="AB577" s="5"/>
      <c r="AC577" s="5"/>
      <c r="AD577" s="5"/>
      <c r="AE577" s="4"/>
      <c r="AF577" s="5"/>
      <c r="AG577" s="5"/>
      <c r="AH577" s="5"/>
      <c r="AI577" s="5"/>
      <c r="AJ577" s="5"/>
      <c r="AK577" s="5"/>
      <c r="AL577" s="5"/>
      <c r="AM577" s="5"/>
      <c r="AN577" s="4"/>
      <c r="AO577" s="5"/>
      <c r="AP577" s="5"/>
      <c r="AQ577" s="5"/>
      <c r="AR577" s="22"/>
      <c r="AS577" s="4"/>
      <c r="AT577" s="5"/>
      <c r="AU577" s="5"/>
      <c r="AV577" s="5"/>
    </row>
    <row r="578" spans="1:48" ht="12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4"/>
      <c r="V578" s="22"/>
      <c r="W578" s="5"/>
      <c r="X578" s="5"/>
      <c r="Y578" s="5"/>
      <c r="Z578" s="5"/>
      <c r="AA578" s="5"/>
      <c r="AB578" s="5"/>
      <c r="AC578" s="5"/>
      <c r="AD578" s="5"/>
      <c r="AE578" s="4"/>
      <c r="AF578" s="5"/>
      <c r="AG578" s="5"/>
      <c r="AH578" s="5"/>
      <c r="AI578" s="5"/>
      <c r="AJ578" s="5"/>
      <c r="AK578" s="5"/>
      <c r="AL578" s="5"/>
      <c r="AM578" s="5"/>
      <c r="AN578" s="4"/>
      <c r="AO578" s="5"/>
      <c r="AP578" s="5"/>
      <c r="AQ578" s="5"/>
      <c r="AR578" s="22"/>
      <c r="AS578" s="4"/>
      <c r="AT578" s="5"/>
      <c r="AU578" s="5"/>
      <c r="AV578" s="5"/>
    </row>
    <row r="579" spans="1:48" ht="12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4"/>
      <c r="V579" s="22"/>
      <c r="W579" s="5"/>
      <c r="X579" s="5"/>
      <c r="Y579" s="5"/>
      <c r="Z579" s="5"/>
      <c r="AA579" s="5"/>
      <c r="AB579" s="5"/>
      <c r="AC579" s="5"/>
      <c r="AD579" s="5"/>
      <c r="AE579" s="4"/>
      <c r="AF579" s="5"/>
      <c r="AG579" s="5"/>
      <c r="AH579" s="5"/>
      <c r="AI579" s="5"/>
      <c r="AJ579" s="5"/>
      <c r="AK579" s="5"/>
      <c r="AL579" s="5"/>
      <c r="AM579" s="5"/>
      <c r="AN579" s="4"/>
      <c r="AO579" s="5"/>
      <c r="AP579" s="5"/>
      <c r="AQ579" s="5"/>
      <c r="AR579" s="22"/>
      <c r="AS579" s="4"/>
      <c r="AT579" s="5"/>
      <c r="AU579" s="5"/>
      <c r="AV579" s="5"/>
    </row>
    <row r="580" spans="1:48" ht="12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4"/>
      <c r="V580" s="22"/>
      <c r="W580" s="5"/>
      <c r="X580" s="5"/>
      <c r="Y580" s="5"/>
      <c r="Z580" s="5"/>
      <c r="AA580" s="5"/>
      <c r="AB580" s="5"/>
      <c r="AC580" s="5"/>
      <c r="AD580" s="5"/>
      <c r="AE580" s="4"/>
      <c r="AF580" s="5"/>
      <c r="AG580" s="5"/>
      <c r="AH580" s="5"/>
      <c r="AI580" s="5"/>
      <c r="AJ580" s="5"/>
      <c r="AK580" s="5"/>
      <c r="AL580" s="5"/>
      <c r="AM580" s="5"/>
      <c r="AN580" s="4"/>
      <c r="AO580" s="5"/>
      <c r="AP580" s="5"/>
      <c r="AQ580" s="5"/>
      <c r="AR580" s="22"/>
      <c r="AS580" s="4"/>
      <c r="AT580" s="5"/>
      <c r="AU580" s="5"/>
      <c r="AV580" s="5"/>
    </row>
    <row r="581" spans="1:48" ht="12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4"/>
      <c r="V581" s="22"/>
      <c r="W581" s="5"/>
      <c r="X581" s="5"/>
      <c r="Y581" s="5"/>
      <c r="Z581" s="5"/>
      <c r="AA581" s="5"/>
      <c r="AB581" s="5"/>
      <c r="AC581" s="5"/>
      <c r="AD581" s="5"/>
      <c r="AE581" s="4"/>
      <c r="AF581" s="5"/>
      <c r="AG581" s="5"/>
      <c r="AH581" s="5"/>
      <c r="AI581" s="5"/>
      <c r="AJ581" s="5"/>
      <c r="AK581" s="5"/>
      <c r="AL581" s="5"/>
      <c r="AM581" s="5"/>
      <c r="AN581" s="4"/>
      <c r="AO581" s="5"/>
      <c r="AP581" s="5"/>
      <c r="AQ581" s="5"/>
      <c r="AR581" s="22"/>
      <c r="AS581" s="4"/>
      <c r="AT581" s="5"/>
      <c r="AU581" s="5"/>
      <c r="AV581" s="5"/>
    </row>
    <row r="582" spans="1:48" ht="12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4"/>
      <c r="V582" s="22"/>
      <c r="W582" s="5"/>
      <c r="X582" s="5"/>
      <c r="Y582" s="5"/>
      <c r="Z582" s="5"/>
      <c r="AA582" s="5"/>
      <c r="AB582" s="5"/>
      <c r="AC582" s="5"/>
      <c r="AD582" s="5"/>
      <c r="AE582" s="4"/>
      <c r="AF582" s="5"/>
      <c r="AG582" s="5"/>
      <c r="AH582" s="5"/>
      <c r="AI582" s="5"/>
      <c r="AJ582" s="5"/>
      <c r="AK582" s="5"/>
      <c r="AL582" s="5"/>
      <c r="AM582" s="5"/>
      <c r="AN582" s="4"/>
      <c r="AO582" s="5"/>
      <c r="AP582" s="5"/>
      <c r="AQ582" s="5"/>
      <c r="AR582" s="22"/>
      <c r="AS582" s="4"/>
      <c r="AT582" s="5"/>
      <c r="AU582" s="5"/>
      <c r="AV582" s="5"/>
    </row>
    <row r="583" spans="1:48" ht="12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4"/>
      <c r="V583" s="22"/>
      <c r="W583" s="5"/>
      <c r="X583" s="5"/>
      <c r="Y583" s="5"/>
      <c r="Z583" s="5"/>
      <c r="AA583" s="5"/>
      <c r="AB583" s="5"/>
      <c r="AC583" s="5"/>
      <c r="AD583" s="5"/>
      <c r="AE583" s="4"/>
      <c r="AF583" s="5"/>
      <c r="AG583" s="5"/>
      <c r="AH583" s="5"/>
      <c r="AI583" s="5"/>
      <c r="AJ583" s="5"/>
      <c r="AK583" s="5"/>
      <c r="AL583" s="5"/>
      <c r="AM583" s="5"/>
      <c r="AN583" s="4"/>
      <c r="AO583" s="5"/>
      <c r="AP583" s="5"/>
      <c r="AQ583" s="5"/>
      <c r="AR583" s="22"/>
      <c r="AS583" s="4"/>
      <c r="AT583" s="5"/>
      <c r="AU583" s="5"/>
      <c r="AV583" s="5"/>
    </row>
    <row r="584" spans="1:48" ht="12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4"/>
      <c r="V584" s="22"/>
      <c r="W584" s="5"/>
      <c r="X584" s="5"/>
      <c r="Y584" s="5"/>
      <c r="Z584" s="5"/>
      <c r="AA584" s="5"/>
      <c r="AB584" s="5"/>
      <c r="AC584" s="5"/>
      <c r="AD584" s="5"/>
      <c r="AE584" s="4"/>
      <c r="AF584" s="5"/>
      <c r="AG584" s="5"/>
      <c r="AH584" s="5"/>
      <c r="AI584" s="5"/>
      <c r="AJ584" s="5"/>
      <c r="AK584" s="5"/>
      <c r="AL584" s="5"/>
      <c r="AM584" s="5"/>
      <c r="AN584" s="4"/>
      <c r="AO584" s="5"/>
      <c r="AP584" s="5"/>
      <c r="AQ584" s="5"/>
      <c r="AR584" s="22"/>
      <c r="AS584" s="4"/>
      <c r="AT584" s="5"/>
      <c r="AU584" s="5"/>
      <c r="AV584" s="5"/>
    </row>
    <row r="585" spans="1:48" ht="12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4"/>
      <c r="V585" s="22"/>
      <c r="W585" s="5"/>
      <c r="X585" s="5"/>
      <c r="Y585" s="5"/>
      <c r="Z585" s="5"/>
      <c r="AA585" s="5"/>
      <c r="AB585" s="5"/>
      <c r="AC585" s="5"/>
      <c r="AD585" s="5"/>
      <c r="AE585" s="4"/>
      <c r="AF585" s="5"/>
      <c r="AG585" s="5"/>
      <c r="AH585" s="5"/>
      <c r="AI585" s="5"/>
      <c r="AJ585" s="5"/>
      <c r="AK585" s="5"/>
      <c r="AL585" s="5"/>
      <c r="AM585" s="5"/>
      <c r="AN585" s="4"/>
      <c r="AO585" s="5"/>
      <c r="AP585" s="5"/>
      <c r="AQ585" s="5"/>
      <c r="AR585" s="22"/>
      <c r="AS585" s="4"/>
      <c r="AT585" s="5"/>
      <c r="AU585" s="5"/>
      <c r="AV585" s="5"/>
    </row>
    <row r="586" spans="1:48" ht="12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4"/>
      <c r="V586" s="22"/>
      <c r="W586" s="5"/>
      <c r="X586" s="5"/>
      <c r="Y586" s="5"/>
      <c r="Z586" s="5"/>
      <c r="AA586" s="5"/>
      <c r="AB586" s="5"/>
      <c r="AC586" s="5"/>
      <c r="AD586" s="5"/>
      <c r="AE586" s="4"/>
      <c r="AF586" s="5"/>
      <c r="AG586" s="5"/>
      <c r="AH586" s="5"/>
      <c r="AI586" s="5"/>
      <c r="AJ586" s="5"/>
      <c r="AK586" s="5"/>
      <c r="AL586" s="5"/>
      <c r="AM586" s="5"/>
      <c r="AN586" s="4"/>
      <c r="AO586" s="5"/>
      <c r="AP586" s="5"/>
      <c r="AQ586" s="5"/>
      <c r="AR586" s="22"/>
      <c r="AS586" s="4"/>
      <c r="AT586" s="5"/>
      <c r="AU586" s="5"/>
      <c r="AV586" s="5"/>
    </row>
    <row r="587" spans="1:48" ht="12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4"/>
      <c r="V587" s="22"/>
      <c r="W587" s="5"/>
      <c r="X587" s="5"/>
      <c r="Y587" s="5"/>
      <c r="Z587" s="5"/>
      <c r="AA587" s="5"/>
      <c r="AB587" s="5"/>
      <c r="AC587" s="5"/>
      <c r="AD587" s="5"/>
      <c r="AE587" s="4"/>
      <c r="AF587" s="5"/>
      <c r="AG587" s="5"/>
      <c r="AH587" s="5"/>
      <c r="AI587" s="5"/>
      <c r="AJ587" s="5"/>
      <c r="AK587" s="5"/>
      <c r="AL587" s="5"/>
      <c r="AM587" s="5"/>
      <c r="AN587" s="4"/>
      <c r="AO587" s="5"/>
      <c r="AP587" s="5"/>
      <c r="AQ587" s="5"/>
      <c r="AR587" s="22"/>
      <c r="AS587" s="4"/>
      <c r="AT587" s="5"/>
      <c r="AU587" s="5"/>
      <c r="AV587" s="5"/>
    </row>
    <row r="588" spans="1:48" ht="12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4"/>
      <c r="V588" s="22"/>
      <c r="W588" s="5"/>
      <c r="X588" s="5"/>
      <c r="Y588" s="5"/>
      <c r="Z588" s="5"/>
      <c r="AA588" s="5"/>
      <c r="AB588" s="5"/>
      <c r="AC588" s="5"/>
      <c r="AD588" s="5"/>
      <c r="AE588" s="4"/>
      <c r="AF588" s="5"/>
      <c r="AG588" s="5"/>
      <c r="AH588" s="5"/>
      <c r="AI588" s="5"/>
      <c r="AJ588" s="5"/>
      <c r="AK588" s="5"/>
      <c r="AL588" s="5"/>
      <c r="AM588" s="5"/>
      <c r="AN588" s="4"/>
      <c r="AO588" s="5"/>
      <c r="AP588" s="5"/>
      <c r="AQ588" s="5"/>
      <c r="AR588" s="22"/>
      <c r="AS588" s="4"/>
      <c r="AT588" s="5"/>
      <c r="AU588" s="5"/>
      <c r="AV588" s="5"/>
    </row>
    <row r="589" spans="1:48" ht="12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4"/>
      <c r="V589" s="22"/>
      <c r="W589" s="5"/>
      <c r="X589" s="5"/>
      <c r="Y589" s="5"/>
      <c r="Z589" s="5"/>
      <c r="AA589" s="5"/>
      <c r="AB589" s="5"/>
      <c r="AC589" s="5"/>
      <c r="AD589" s="5"/>
      <c r="AE589" s="4"/>
      <c r="AF589" s="5"/>
      <c r="AG589" s="5"/>
      <c r="AH589" s="5"/>
      <c r="AI589" s="5"/>
      <c r="AJ589" s="5"/>
      <c r="AK589" s="5"/>
      <c r="AL589" s="5"/>
      <c r="AM589" s="5"/>
      <c r="AN589" s="4"/>
      <c r="AO589" s="5"/>
      <c r="AP589" s="5"/>
      <c r="AQ589" s="5"/>
      <c r="AR589" s="22"/>
      <c r="AS589" s="4"/>
      <c r="AT589" s="5"/>
      <c r="AU589" s="5"/>
      <c r="AV589" s="5"/>
    </row>
    <row r="590" spans="1:48" ht="12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4"/>
      <c r="V590" s="22"/>
      <c r="W590" s="5"/>
      <c r="X590" s="5"/>
      <c r="Y590" s="5"/>
      <c r="Z590" s="5"/>
      <c r="AA590" s="5"/>
      <c r="AB590" s="5"/>
      <c r="AC590" s="5"/>
      <c r="AD590" s="5"/>
      <c r="AE590" s="4"/>
      <c r="AF590" s="5"/>
      <c r="AG590" s="5"/>
      <c r="AH590" s="5"/>
      <c r="AI590" s="5"/>
      <c r="AJ590" s="5"/>
      <c r="AK590" s="5"/>
      <c r="AL590" s="5"/>
      <c r="AM590" s="5"/>
      <c r="AN590" s="4"/>
      <c r="AO590" s="5"/>
      <c r="AP590" s="5"/>
      <c r="AQ590" s="5"/>
      <c r="AR590" s="22"/>
      <c r="AS590" s="4"/>
      <c r="AT590" s="5"/>
      <c r="AU590" s="5"/>
      <c r="AV590" s="5"/>
    </row>
    <row r="591" spans="1:48" ht="12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4"/>
      <c r="V591" s="22"/>
      <c r="W591" s="5"/>
      <c r="X591" s="5"/>
      <c r="Y591" s="5"/>
      <c r="Z591" s="5"/>
      <c r="AA591" s="5"/>
      <c r="AB591" s="5"/>
      <c r="AC591" s="5"/>
      <c r="AD591" s="5"/>
      <c r="AE591" s="4"/>
      <c r="AF591" s="5"/>
      <c r="AG591" s="5"/>
      <c r="AH591" s="5"/>
      <c r="AI591" s="5"/>
      <c r="AJ591" s="5"/>
      <c r="AK591" s="5"/>
      <c r="AL591" s="5"/>
      <c r="AM591" s="5"/>
      <c r="AN591" s="4"/>
      <c r="AO591" s="5"/>
      <c r="AP591" s="5"/>
      <c r="AQ591" s="5"/>
      <c r="AR591" s="22"/>
      <c r="AS591" s="4"/>
      <c r="AT591" s="5"/>
      <c r="AU591" s="5"/>
      <c r="AV591" s="5"/>
    </row>
    <row r="592" spans="1:48" ht="12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4"/>
      <c r="V592" s="22"/>
      <c r="W592" s="5"/>
      <c r="X592" s="5"/>
      <c r="Y592" s="5"/>
      <c r="Z592" s="5"/>
      <c r="AA592" s="5"/>
      <c r="AB592" s="5"/>
      <c r="AC592" s="5"/>
      <c r="AD592" s="5"/>
      <c r="AE592" s="4"/>
      <c r="AF592" s="5"/>
      <c r="AG592" s="5"/>
      <c r="AH592" s="5"/>
      <c r="AI592" s="5"/>
      <c r="AJ592" s="5"/>
      <c r="AK592" s="5"/>
      <c r="AL592" s="5"/>
      <c r="AM592" s="5"/>
      <c r="AN592" s="4"/>
      <c r="AO592" s="5"/>
      <c r="AP592" s="5"/>
      <c r="AQ592" s="5"/>
      <c r="AR592" s="22"/>
      <c r="AS592" s="4"/>
      <c r="AT592" s="5"/>
      <c r="AU592" s="5"/>
      <c r="AV592" s="5"/>
    </row>
    <row r="593" spans="1:48" ht="12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4"/>
      <c r="V593" s="22"/>
      <c r="W593" s="5"/>
      <c r="X593" s="5"/>
      <c r="Y593" s="5"/>
      <c r="Z593" s="5"/>
      <c r="AA593" s="5"/>
      <c r="AB593" s="5"/>
      <c r="AC593" s="5"/>
      <c r="AD593" s="5"/>
      <c r="AE593" s="4"/>
      <c r="AF593" s="5"/>
      <c r="AG593" s="5"/>
      <c r="AH593" s="5"/>
      <c r="AI593" s="5"/>
      <c r="AJ593" s="5"/>
      <c r="AK593" s="5"/>
      <c r="AL593" s="5"/>
      <c r="AM593" s="5"/>
      <c r="AN593" s="4"/>
      <c r="AO593" s="5"/>
      <c r="AP593" s="5"/>
      <c r="AQ593" s="5"/>
      <c r="AR593" s="22"/>
      <c r="AS593" s="4"/>
      <c r="AT593" s="5"/>
      <c r="AU593" s="5"/>
      <c r="AV593" s="5"/>
    </row>
    <row r="594" spans="1:48" ht="12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4"/>
      <c r="V594" s="22"/>
      <c r="W594" s="5"/>
      <c r="X594" s="5"/>
      <c r="Y594" s="5"/>
      <c r="Z594" s="5"/>
      <c r="AA594" s="5"/>
      <c r="AB594" s="5"/>
      <c r="AC594" s="5"/>
      <c r="AD594" s="5"/>
      <c r="AE594" s="4"/>
      <c r="AF594" s="5"/>
      <c r="AG594" s="5"/>
      <c r="AH594" s="5"/>
      <c r="AI594" s="5"/>
      <c r="AJ594" s="5"/>
      <c r="AK594" s="5"/>
      <c r="AL594" s="5"/>
      <c r="AM594" s="5"/>
      <c r="AN594" s="4"/>
      <c r="AO594" s="5"/>
      <c r="AP594" s="5"/>
      <c r="AQ594" s="5"/>
      <c r="AR594" s="22"/>
      <c r="AS594" s="4"/>
      <c r="AT594" s="5"/>
      <c r="AU594" s="5"/>
      <c r="AV594" s="5"/>
    </row>
    <row r="595" spans="1:48" ht="12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4"/>
      <c r="V595" s="22"/>
      <c r="W595" s="5"/>
      <c r="X595" s="5"/>
      <c r="Y595" s="5"/>
      <c r="Z595" s="5"/>
      <c r="AA595" s="5"/>
      <c r="AB595" s="5"/>
      <c r="AC595" s="5"/>
      <c r="AD595" s="5"/>
      <c r="AE595" s="4"/>
      <c r="AF595" s="5"/>
      <c r="AG595" s="5"/>
      <c r="AH595" s="5"/>
      <c r="AI595" s="5"/>
      <c r="AJ595" s="5"/>
      <c r="AK595" s="5"/>
      <c r="AL595" s="5"/>
      <c r="AM595" s="5"/>
      <c r="AN595" s="4"/>
      <c r="AO595" s="5"/>
      <c r="AP595" s="5"/>
      <c r="AQ595" s="5"/>
      <c r="AR595" s="22"/>
      <c r="AS595" s="4"/>
      <c r="AT595" s="5"/>
      <c r="AU595" s="5"/>
      <c r="AV595" s="5"/>
    </row>
    <row r="596" spans="1:48" ht="12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4"/>
      <c r="V596" s="22"/>
      <c r="W596" s="5"/>
      <c r="X596" s="5"/>
      <c r="Y596" s="5"/>
      <c r="Z596" s="5"/>
      <c r="AA596" s="5"/>
      <c r="AB596" s="5"/>
      <c r="AC596" s="5"/>
      <c r="AD596" s="5"/>
      <c r="AE596" s="4"/>
      <c r="AF596" s="5"/>
      <c r="AG596" s="5"/>
      <c r="AH596" s="5"/>
      <c r="AI596" s="5"/>
      <c r="AJ596" s="5"/>
      <c r="AK596" s="5"/>
      <c r="AL596" s="5"/>
      <c r="AM596" s="5"/>
      <c r="AN596" s="4"/>
      <c r="AO596" s="5"/>
      <c r="AP596" s="5"/>
      <c r="AQ596" s="5"/>
      <c r="AR596" s="22"/>
      <c r="AS596" s="4"/>
      <c r="AT596" s="5"/>
      <c r="AU596" s="5"/>
      <c r="AV596" s="5"/>
    </row>
    <row r="597" spans="1:48" ht="12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4"/>
      <c r="V597" s="22"/>
      <c r="W597" s="5"/>
      <c r="X597" s="5"/>
      <c r="Y597" s="5"/>
      <c r="Z597" s="5"/>
      <c r="AA597" s="5"/>
      <c r="AB597" s="5"/>
      <c r="AC597" s="5"/>
      <c r="AD597" s="5"/>
      <c r="AE597" s="4"/>
      <c r="AF597" s="5"/>
      <c r="AG597" s="5"/>
      <c r="AH597" s="5"/>
      <c r="AI597" s="5"/>
      <c r="AJ597" s="5"/>
      <c r="AK597" s="5"/>
      <c r="AL597" s="5"/>
      <c r="AM597" s="5"/>
      <c r="AN597" s="4"/>
      <c r="AO597" s="5"/>
      <c r="AP597" s="5"/>
      <c r="AQ597" s="5"/>
      <c r="AR597" s="22"/>
      <c r="AS597" s="4"/>
      <c r="AT597" s="5"/>
      <c r="AU597" s="5"/>
      <c r="AV597" s="5"/>
    </row>
    <row r="598" spans="1:48" ht="12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4"/>
      <c r="V598" s="22"/>
      <c r="W598" s="5"/>
      <c r="X598" s="5"/>
      <c r="Y598" s="5"/>
      <c r="Z598" s="5"/>
      <c r="AA598" s="5"/>
      <c r="AB598" s="5"/>
      <c r="AC598" s="5"/>
      <c r="AD598" s="5"/>
      <c r="AE598" s="4"/>
      <c r="AF598" s="5"/>
      <c r="AG598" s="5"/>
      <c r="AH598" s="5"/>
      <c r="AI598" s="5"/>
      <c r="AJ598" s="5"/>
      <c r="AK598" s="5"/>
      <c r="AL598" s="5"/>
      <c r="AM598" s="5"/>
      <c r="AN598" s="4"/>
      <c r="AO598" s="5"/>
      <c r="AP598" s="5"/>
      <c r="AQ598" s="5"/>
      <c r="AR598" s="22"/>
      <c r="AS598" s="4"/>
      <c r="AT598" s="5"/>
      <c r="AU598" s="5"/>
      <c r="AV598" s="5"/>
    </row>
    <row r="599" spans="1:48" ht="12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4"/>
      <c r="V599" s="22"/>
      <c r="W599" s="5"/>
      <c r="X599" s="5"/>
      <c r="Y599" s="5"/>
      <c r="Z599" s="5"/>
      <c r="AA599" s="5"/>
      <c r="AB599" s="5"/>
      <c r="AC599" s="5"/>
      <c r="AD599" s="5"/>
      <c r="AE599" s="4"/>
      <c r="AF599" s="5"/>
      <c r="AG599" s="5"/>
      <c r="AH599" s="5"/>
      <c r="AI599" s="5"/>
      <c r="AJ599" s="5"/>
      <c r="AK599" s="5"/>
      <c r="AL599" s="5"/>
      <c r="AM599" s="5"/>
      <c r="AN599" s="4"/>
      <c r="AO599" s="5"/>
      <c r="AP599" s="5"/>
      <c r="AQ599" s="5"/>
      <c r="AR599" s="22"/>
      <c r="AS599" s="4"/>
      <c r="AT599" s="5"/>
      <c r="AU599" s="5"/>
      <c r="AV599" s="5"/>
    </row>
    <row r="600" spans="1:48" ht="12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4"/>
      <c r="V600" s="22"/>
      <c r="W600" s="5"/>
      <c r="X600" s="5"/>
      <c r="Y600" s="5"/>
      <c r="Z600" s="5"/>
      <c r="AA600" s="5"/>
      <c r="AB600" s="5"/>
      <c r="AC600" s="5"/>
      <c r="AD600" s="5"/>
      <c r="AE600" s="4"/>
      <c r="AF600" s="5"/>
      <c r="AG600" s="5"/>
      <c r="AH600" s="5"/>
      <c r="AI600" s="5"/>
      <c r="AJ600" s="5"/>
      <c r="AK600" s="5"/>
      <c r="AL600" s="5"/>
      <c r="AM600" s="5"/>
      <c r="AN600" s="4"/>
      <c r="AO600" s="5"/>
      <c r="AP600" s="5"/>
      <c r="AQ600" s="5"/>
      <c r="AR600" s="22"/>
      <c r="AS600" s="4"/>
      <c r="AT600" s="5"/>
      <c r="AU600" s="5"/>
      <c r="AV600" s="5"/>
    </row>
    <row r="601" spans="1:48" ht="12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4"/>
      <c r="V601" s="22"/>
      <c r="W601" s="5"/>
      <c r="X601" s="5"/>
      <c r="Y601" s="5"/>
      <c r="Z601" s="5"/>
      <c r="AA601" s="5"/>
      <c r="AB601" s="5"/>
      <c r="AC601" s="5"/>
      <c r="AD601" s="5"/>
      <c r="AE601" s="4"/>
      <c r="AF601" s="5"/>
      <c r="AG601" s="5"/>
      <c r="AH601" s="5"/>
      <c r="AI601" s="5"/>
      <c r="AJ601" s="5"/>
      <c r="AK601" s="5"/>
      <c r="AL601" s="5"/>
      <c r="AM601" s="5"/>
      <c r="AN601" s="4"/>
      <c r="AO601" s="5"/>
      <c r="AP601" s="5"/>
      <c r="AQ601" s="5"/>
      <c r="AR601" s="22"/>
      <c r="AS601" s="4"/>
      <c r="AT601" s="5"/>
      <c r="AU601" s="5"/>
      <c r="AV601" s="5"/>
    </row>
    <row r="602" spans="1:48" ht="12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4"/>
      <c r="V602" s="22"/>
      <c r="W602" s="5"/>
      <c r="X602" s="5"/>
      <c r="Y602" s="5"/>
      <c r="Z602" s="5"/>
      <c r="AA602" s="5"/>
      <c r="AB602" s="5"/>
      <c r="AC602" s="5"/>
      <c r="AD602" s="5"/>
      <c r="AE602" s="4"/>
      <c r="AF602" s="5"/>
      <c r="AG602" s="5"/>
      <c r="AH602" s="5"/>
      <c r="AI602" s="5"/>
      <c r="AJ602" s="5"/>
      <c r="AK602" s="5"/>
      <c r="AL602" s="5"/>
      <c r="AM602" s="5"/>
      <c r="AN602" s="4"/>
      <c r="AO602" s="5"/>
      <c r="AP602" s="5"/>
      <c r="AQ602" s="5"/>
      <c r="AR602" s="22"/>
      <c r="AS602" s="4"/>
      <c r="AT602" s="5"/>
      <c r="AU602" s="5"/>
      <c r="AV602" s="5"/>
    </row>
    <row r="603" spans="1:48" ht="12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4"/>
      <c r="V603" s="22"/>
      <c r="W603" s="5"/>
      <c r="X603" s="5"/>
      <c r="Y603" s="5"/>
      <c r="Z603" s="5"/>
      <c r="AA603" s="5"/>
      <c r="AB603" s="5"/>
      <c r="AC603" s="5"/>
      <c r="AD603" s="5"/>
      <c r="AE603" s="4"/>
      <c r="AF603" s="5"/>
      <c r="AG603" s="5"/>
      <c r="AH603" s="5"/>
      <c r="AI603" s="5"/>
      <c r="AJ603" s="5"/>
      <c r="AK603" s="5"/>
      <c r="AL603" s="5"/>
      <c r="AM603" s="5"/>
      <c r="AN603" s="4"/>
      <c r="AO603" s="5"/>
      <c r="AP603" s="5"/>
      <c r="AQ603" s="5"/>
      <c r="AR603" s="22"/>
      <c r="AS603" s="4"/>
      <c r="AT603" s="5"/>
      <c r="AU603" s="5"/>
      <c r="AV603" s="5"/>
    </row>
    <row r="604" spans="1:48" ht="12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4"/>
      <c r="V604" s="22"/>
      <c r="W604" s="5"/>
      <c r="X604" s="5"/>
      <c r="Y604" s="5"/>
      <c r="Z604" s="5"/>
      <c r="AA604" s="5"/>
      <c r="AB604" s="5"/>
      <c r="AC604" s="5"/>
      <c r="AD604" s="5"/>
      <c r="AE604" s="4"/>
      <c r="AF604" s="5"/>
      <c r="AG604" s="5"/>
      <c r="AH604" s="5"/>
      <c r="AI604" s="5"/>
      <c r="AJ604" s="5"/>
      <c r="AK604" s="5"/>
      <c r="AL604" s="5"/>
      <c r="AM604" s="5"/>
      <c r="AN604" s="4"/>
      <c r="AO604" s="5"/>
      <c r="AP604" s="5"/>
      <c r="AQ604" s="5"/>
      <c r="AR604" s="22"/>
      <c r="AS604" s="4"/>
      <c r="AT604" s="5"/>
      <c r="AU604" s="5"/>
      <c r="AV604" s="5"/>
    </row>
    <row r="605" spans="1:48" ht="12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4"/>
      <c r="V605" s="22"/>
      <c r="W605" s="5"/>
      <c r="X605" s="5"/>
      <c r="Y605" s="5"/>
      <c r="Z605" s="5"/>
      <c r="AA605" s="5"/>
      <c r="AB605" s="5"/>
      <c r="AC605" s="5"/>
      <c r="AD605" s="5"/>
      <c r="AE605" s="4"/>
      <c r="AF605" s="5"/>
      <c r="AG605" s="5"/>
      <c r="AH605" s="5"/>
      <c r="AI605" s="5"/>
      <c r="AJ605" s="5"/>
      <c r="AK605" s="5"/>
      <c r="AL605" s="5"/>
      <c r="AM605" s="5"/>
      <c r="AN605" s="4"/>
      <c r="AO605" s="5"/>
      <c r="AP605" s="5"/>
      <c r="AQ605" s="5"/>
      <c r="AR605" s="22"/>
      <c r="AS605" s="4"/>
      <c r="AT605" s="5"/>
      <c r="AU605" s="5"/>
      <c r="AV605" s="5"/>
    </row>
    <row r="606" spans="1:48" ht="12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4"/>
      <c r="V606" s="22"/>
      <c r="W606" s="5"/>
      <c r="X606" s="5"/>
      <c r="Y606" s="5"/>
      <c r="Z606" s="5"/>
      <c r="AA606" s="5"/>
      <c r="AB606" s="5"/>
      <c r="AC606" s="5"/>
      <c r="AD606" s="5"/>
      <c r="AE606" s="4"/>
      <c r="AF606" s="5"/>
      <c r="AG606" s="5"/>
      <c r="AH606" s="5"/>
      <c r="AI606" s="5"/>
      <c r="AJ606" s="5"/>
      <c r="AK606" s="5"/>
      <c r="AL606" s="5"/>
      <c r="AM606" s="5"/>
      <c r="AN606" s="4"/>
      <c r="AO606" s="5"/>
      <c r="AP606" s="5"/>
      <c r="AQ606" s="5"/>
      <c r="AR606" s="22"/>
      <c r="AS606" s="4"/>
      <c r="AT606" s="5"/>
      <c r="AU606" s="5"/>
      <c r="AV606" s="5"/>
    </row>
    <row r="607" spans="1:48" ht="12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4"/>
      <c r="V607" s="22"/>
      <c r="W607" s="5"/>
      <c r="X607" s="5"/>
      <c r="Y607" s="5"/>
      <c r="Z607" s="5"/>
      <c r="AA607" s="5"/>
      <c r="AB607" s="5"/>
      <c r="AC607" s="5"/>
      <c r="AD607" s="5"/>
      <c r="AE607" s="4"/>
      <c r="AF607" s="5"/>
      <c r="AG607" s="5"/>
      <c r="AH607" s="5"/>
      <c r="AI607" s="5"/>
      <c r="AJ607" s="5"/>
      <c r="AK607" s="5"/>
      <c r="AL607" s="5"/>
      <c r="AM607" s="5"/>
      <c r="AN607" s="4"/>
      <c r="AO607" s="5"/>
      <c r="AP607" s="5"/>
      <c r="AQ607" s="5"/>
      <c r="AR607" s="22"/>
      <c r="AS607" s="4"/>
      <c r="AT607" s="5"/>
      <c r="AU607" s="5"/>
      <c r="AV607" s="5"/>
    </row>
    <row r="608" spans="1:48" ht="12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4"/>
      <c r="V608" s="22"/>
      <c r="W608" s="5"/>
      <c r="X608" s="5"/>
      <c r="Y608" s="5"/>
      <c r="Z608" s="5"/>
      <c r="AA608" s="5"/>
      <c r="AB608" s="5"/>
      <c r="AC608" s="5"/>
      <c r="AD608" s="5"/>
      <c r="AE608" s="4"/>
      <c r="AF608" s="5"/>
      <c r="AG608" s="5"/>
      <c r="AH608" s="5"/>
      <c r="AI608" s="5"/>
      <c r="AJ608" s="5"/>
      <c r="AK608" s="5"/>
      <c r="AL608" s="5"/>
      <c r="AM608" s="5"/>
      <c r="AN608" s="4"/>
      <c r="AO608" s="5"/>
      <c r="AP608" s="5"/>
      <c r="AQ608" s="5"/>
      <c r="AR608" s="22"/>
      <c r="AS608" s="4"/>
      <c r="AT608" s="5"/>
      <c r="AU608" s="5"/>
      <c r="AV608" s="5"/>
    </row>
    <row r="609" spans="1:48" ht="12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4"/>
      <c r="V609" s="22"/>
      <c r="W609" s="5"/>
      <c r="X609" s="5"/>
      <c r="Y609" s="5"/>
      <c r="Z609" s="5"/>
      <c r="AA609" s="5"/>
      <c r="AB609" s="5"/>
      <c r="AC609" s="5"/>
      <c r="AD609" s="5"/>
      <c r="AE609" s="4"/>
      <c r="AF609" s="5"/>
      <c r="AG609" s="5"/>
      <c r="AH609" s="5"/>
      <c r="AI609" s="5"/>
      <c r="AJ609" s="5"/>
      <c r="AK609" s="5"/>
      <c r="AL609" s="5"/>
      <c r="AM609" s="5"/>
      <c r="AN609" s="4"/>
      <c r="AO609" s="5"/>
      <c r="AP609" s="5"/>
      <c r="AQ609" s="5"/>
      <c r="AR609" s="22"/>
      <c r="AS609" s="4"/>
      <c r="AT609" s="5"/>
      <c r="AU609" s="5"/>
      <c r="AV609" s="5"/>
    </row>
    <row r="610" spans="1:48" ht="12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4"/>
      <c r="V610" s="22"/>
      <c r="W610" s="5"/>
      <c r="X610" s="5"/>
      <c r="Y610" s="5"/>
      <c r="Z610" s="5"/>
      <c r="AA610" s="5"/>
      <c r="AB610" s="5"/>
      <c r="AC610" s="5"/>
      <c r="AD610" s="5"/>
      <c r="AE610" s="4"/>
      <c r="AF610" s="5"/>
      <c r="AG610" s="5"/>
      <c r="AH610" s="5"/>
      <c r="AI610" s="5"/>
      <c r="AJ610" s="5"/>
      <c r="AK610" s="5"/>
      <c r="AL610" s="5"/>
      <c r="AM610" s="5"/>
      <c r="AN610" s="4"/>
      <c r="AO610" s="5"/>
      <c r="AP610" s="5"/>
      <c r="AQ610" s="5"/>
      <c r="AR610" s="22"/>
      <c r="AS610" s="4"/>
      <c r="AT610" s="5"/>
      <c r="AU610" s="5"/>
      <c r="AV610" s="5"/>
    </row>
    <row r="611" spans="1:48" ht="12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4"/>
      <c r="V611" s="22"/>
      <c r="W611" s="5"/>
      <c r="X611" s="5"/>
      <c r="Y611" s="5"/>
      <c r="Z611" s="5"/>
      <c r="AA611" s="5"/>
      <c r="AB611" s="5"/>
      <c r="AC611" s="5"/>
      <c r="AD611" s="5"/>
      <c r="AE611" s="4"/>
      <c r="AF611" s="5"/>
      <c r="AG611" s="5"/>
      <c r="AH611" s="5"/>
      <c r="AI611" s="5"/>
      <c r="AJ611" s="5"/>
      <c r="AK611" s="5"/>
      <c r="AL611" s="5"/>
      <c r="AM611" s="5"/>
      <c r="AN611" s="4"/>
      <c r="AO611" s="5"/>
      <c r="AP611" s="5"/>
      <c r="AQ611" s="5"/>
      <c r="AR611" s="22"/>
      <c r="AS611" s="4"/>
      <c r="AT611" s="5"/>
      <c r="AU611" s="5"/>
      <c r="AV611" s="5"/>
    </row>
    <row r="612" spans="1:48" ht="12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4"/>
      <c r="V612" s="22"/>
      <c r="W612" s="5"/>
      <c r="X612" s="5"/>
      <c r="Y612" s="5"/>
      <c r="Z612" s="5"/>
      <c r="AA612" s="5"/>
      <c r="AB612" s="5"/>
      <c r="AC612" s="5"/>
      <c r="AD612" s="5"/>
      <c r="AE612" s="4"/>
      <c r="AF612" s="5"/>
      <c r="AG612" s="5"/>
      <c r="AH612" s="5"/>
      <c r="AI612" s="5"/>
      <c r="AJ612" s="5"/>
      <c r="AK612" s="5"/>
      <c r="AL612" s="5"/>
      <c r="AM612" s="5"/>
      <c r="AN612" s="4"/>
      <c r="AO612" s="5"/>
      <c r="AP612" s="5"/>
      <c r="AQ612" s="5"/>
      <c r="AR612" s="22"/>
      <c r="AS612" s="4"/>
      <c r="AT612" s="5"/>
      <c r="AU612" s="5"/>
      <c r="AV612" s="5"/>
    </row>
    <row r="613" spans="1:48" ht="12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4"/>
      <c r="V613" s="22"/>
      <c r="W613" s="5"/>
      <c r="X613" s="5"/>
      <c r="Y613" s="5"/>
      <c r="Z613" s="5"/>
      <c r="AA613" s="5"/>
      <c r="AB613" s="5"/>
      <c r="AC613" s="5"/>
      <c r="AD613" s="5"/>
      <c r="AE613" s="4"/>
      <c r="AF613" s="5"/>
      <c r="AG613" s="5"/>
      <c r="AH613" s="5"/>
      <c r="AI613" s="5"/>
      <c r="AJ613" s="5"/>
      <c r="AK613" s="5"/>
      <c r="AL613" s="5"/>
      <c r="AM613" s="5"/>
      <c r="AN613" s="4"/>
      <c r="AO613" s="5"/>
      <c r="AP613" s="5"/>
      <c r="AQ613" s="5"/>
      <c r="AR613" s="22"/>
      <c r="AS613" s="4"/>
      <c r="AT613" s="5"/>
      <c r="AU613" s="5"/>
      <c r="AV613" s="5"/>
    </row>
    <row r="614" spans="1:48" ht="12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4"/>
      <c r="V614" s="22"/>
      <c r="W614" s="5"/>
      <c r="X614" s="5"/>
      <c r="Y614" s="5"/>
      <c r="Z614" s="5"/>
      <c r="AA614" s="5"/>
      <c r="AB614" s="5"/>
      <c r="AC614" s="5"/>
      <c r="AD614" s="5"/>
      <c r="AE614" s="4"/>
      <c r="AF614" s="5"/>
      <c r="AG614" s="5"/>
      <c r="AH614" s="5"/>
      <c r="AI614" s="5"/>
      <c r="AJ614" s="5"/>
      <c r="AK614" s="5"/>
      <c r="AL614" s="5"/>
      <c r="AM614" s="5"/>
      <c r="AN614" s="4"/>
      <c r="AO614" s="5"/>
      <c r="AP614" s="5"/>
      <c r="AQ614" s="5"/>
      <c r="AR614" s="22"/>
      <c r="AS614" s="4"/>
      <c r="AT614" s="5"/>
      <c r="AU614" s="5"/>
      <c r="AV614" s="5"/>
    </row>
    <row r="615" spans="1:48" ht="12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4"/>
      <c r="V615" s="22"/>
      <c r="W615" s="5"/>
      <c r="X615" s="5"/>
      <c r="Y615" s="5"/>
      <c r="Z615" s="5"/>
      <c r="AA615" s="5"/>
      <c r="AB615" s="5"/>
      <c r="AC615" s="5"/>
      <c r="AD615" s="5"/>
      <c r="AE615" s="4"/>
      <c r="AF615" s="5"/>
      <c r="AG615" s="5"/>
      <c r="AH615" s="5"/>
      <c r="AI615" s="5"/>
      <c r="AJ615" s="5"/>
      <c r="AK615" s="5"/>
      <c r="AL615" s="5"/>
      <c r="AM615" s="5"/>
      <c r="AN615" s="4"/>
      <c r="AO615" s="5"/>
      <c r="AP615" s="5"/>
      <c r="AQ615" s="5"/>
      <c r="AR615" s="22"/>
      <c r="AS615" s="4"/>
      <c r="AT615" s="5"/>
      <c r="AU615" s="5"/>
      <c r="AV615" s="5"/>
    </row>
    <row r="616" spans="1:48" ht="12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4"/>
      <c r="V616" s="22"/>
      <c r="W616" s="5"/>
      <c r="X616" s="5"/>
      <c r="Y616" s="5"/>
      <c r="Z616" s="5"/>
      <c r="AA616" s="5"/>
      <c r="AB616" s="5"/>
      <c r="AC616" s="5"/>
      <c r="AD616" s="5"/>
      <c r="AE616" s="4"/>
      <c r="AF616" s="5"/>
      <c r="AG616" s="5"/>
      <c r="AH616" s="5"/>
      <c r="AI616" s="5"/>
      <c r="AJ616" s="5"/>
      <c r="AK616" s="5"/>
      <c r="AL616" s="5"/>
      <c r="AM616" s="5"/>
      <c r="AN616" s="4"/>
      <c r="AO616" s="5"/>
      <c r="AP616" s="5"/>
      <c r="AQ616" s="5"/>
      <c r="AR616" s="22"/>
      <c r="AS616" s="4"/>
      <c r="AT616" s="5"/>
      <c r="AU616" s="5"/>
      <c r="AV616" s="5"/>
    </row>
    <row r="617" spans="1:48" ht="12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4"/>
      <c r="V617" s="22"/>
      <c r="W617" s="5"/>
      <c r="X617" s="5"/>
      <c r="Y617" s="5"/>
      <c r="Z617" s="5"/>
      <c r="AA617" s="5"/>
      <c r="AB617" s="5"/>
      <c r="AC617" s="5"/>
      <c r="AD617" s="5"/>
      <c r="AE617" s="4"/>
      <c r="AF617" s="5"/>
      <c r="AG617" s="5"/>
      <c r="AH617" s="5"/>
      <c r="AI617" s="5"/>
      <c r="AJ617" s="5"/>
      <c r="AK617" s="5"/>
      <c r="AL617" s="5"/>
      <c r="AM617" s="5"/>
      <c r="AN617" s="4"/>
      <c r="AO617" s="5"/>
      <c r="AP617" s="5"/>
      <c r="AQ617" s="5"/>
      <c r="AR617" s="22"/>
      <c r="AS617" s="4"/>
      <c r="AT617" s="5"/>
      <c r="AU617" s="5"/>
      <c r="AV617" s="5"/>
    </row>
    <row r="618" spans="1:48" ht="12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4"/>
      <c r="V618" s="22"/>
      <c r="W618" s="5"/>
      <c r="X618" s="5"/>
      <c r="Y618" s="5"/>
      <c r="Z618" s="5"/>
      <c r="AA618" s="5"/>
      <c r="AB618" s="5"/>
      <c r="AC618" s="5"/>
      <c r="AD618" s="5"/>
      <c r="AE618" s="4"/>
      <c r="AF618" s="5"/>
      <c r="AG618" s="5"/>
      <c r="AH618" s="5"/>
      <c r="AI618" s="5"/>
      <c r="AJ618" s="5"/>
      <c r="AK618" s="5"/>
      <c r="AL618" s="5"/>
      <c r="AM618" s="5"/>
      <c r="AN618" s="4"/>
      <c r="AO618" s="5"/>
      <c r="AP618" s="5"/>
      <c r="AQ618" s="5"/>
      <c r="AR618" s="22"/>
      <c r="AS618" s="4"/>
      <c r="AT618" s="5"/>
      <c r="AU618" s="5"/>
      <c r="AV618" s="5"/>
    </row>
    <row r="619" spans="1:48" ht="12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4"/>
      <c r="V619" s="22"/>
      <c r="W619" s="5"/>
      <c r="X619" s="5"/>
      <c r="Y619" s="5"/>
      <c r="Z619" s="5"/>
      <c r="AA619" s="5"/>
      <c r="AB619" s="5"/>
      <c r="AC619" s="5"/>
      <c r="AD619" s="5"/>
      <c r="AE619" s="4"/>
      <c r="AF619" s="5"/>
      <c r="AG619" s="5"/>
      <c r="AH619" s="5"/>
      <c r="AI619" s="5"/>
      <c r="AJ619" s="5"/>
      <c r="AK619" s="5"/>
      <c r="AL619" s="5"/>
      <c r="AM619" s="5"/>
      <c r="AN619" s="4"/>
      <c r="AO619" s="5"/>
      <c r="AP619" s="5"/>
      <c r="AQ619" s="5"/>
      <c r="AR619" s="22"/>
      <c r="AS619" s="4"/>
      <c r="AT619" s="5"/>
      <c r="AU619" s="5"/>
      <c r="AV619" s="5"/>
    </row>
    <row r="620" spans="1:48" ht="12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4"/>
      <c r="V620" s="22"/>
      <c r="W620" s="5"/>
      <c r="X620" s="5"/>
      <c r="Y620" s="5"/>
      <c r="Z620" s="5"/>
      <c r="AA620" s="5"/>
      <c r="AB620" s="5"/>
      <c r="AC620" s="5"/>
      <c r="AD620" s="5"/>
      <c r="AE620" s="4"/>
      <c r="AF620" s="5"/>
      <c r="AG620" s="5"/>
      <c r="AH620" s="5"/>
      <c r="AI620" s="5"/>
      <c r="AJ620" s="5"/>
      <c r="AK620" s="5"/>
      <c r="AL620" s="5"/>
      <c r="AM620" s="5"/>
      <c r="AN620" s="4"/>
      <c r="AO620" s="5"/>
      <c r="AP620" s="5"/>
      <c r="AQ620" s="5"/>
      <c r="AR620" s="22"/>
      <c r="AS620" s="4"/>
      <c r="AT620" s="5"/>
      <c r="AU620" s="5"/>
      <c r="AV620" s="5"/>
    </row>
    <row r="621" spans="1:48" ht="12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4"/>
      <c r="V621" s="22"/>
      <c r="W621" s="5"/>
      <c r="X621" s="5"/>
      <c r="Y621" s="5"/>
      <c r="Z621" s="5"/>
      <c r="AA621" s="5"/>
      <c r="AB621" s="5"/>
      <c r="AC621" s="5"/>
      <c r="AD621" s="5"/>
      <c r="AE621" s="4"/>
      <c r="AF621" s="5"/>
      <c r="AG621" s="5"/>
      <c r="AH621" s="5"/>
      <c r="AI621" s="5"/>
      <c r="AJ621" s="5"/>
      <c r="AK621" s="5"/>
      <c r="AL621" s="5"/>
      <c r="AM621" s="5"/>
      <c r="AN621" s="4"/>
      <c r="AO621" s="5"/>
      <c r="AP621" s="5"/>
      <c r="AQ621" s="5"/>
      <c r="AR621" s="22"/>
      <c r="AS621" s="4"/>
      <c r="AT621" s="5"/>
      <c r="AU621" s="5"/>
      <c r="AV621" s="5"/>
    </row>
    <row r="622" spans="1:48" ht="12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4"/>
      <c r="V622" s="22"/>
      <c r="W622" s="5"/>
      <c r="X622" s="5"/>
      <c r="Y622" s="5"/>
      <c r="Z622" s="5"/>
      <c r="AA622" s="5"/>
      <c r="AB622" s="5"/>
      <c r="AC622" s="5"/>
      <c r="AD622" s="5"/>
      <c r="AE622" s="4"/>
      <c r="AF622" s="5"/>
      <c r="AG622" s="5"/>
      <c r="AH622" s="5"/>
      <c r="AI622" s="5"/>
      <c r="AJ622" s="5"/>
      <c r="AK622" s="5"/>
      <c r="AL622" s="5"/>
      <c r="AM622" s="5"/>
      <c r="AN622" s="4"/>
      <c r="AO622" s="5"/>
      <c r="AP622" s="5"/>
      <c r="AQ622" s="5"/>
      <c r="AR622" s="22"/>
      <c r="AS622" s="4"/>
      <c r="AT622" s="5"/>
      <c r="AU622" s="5"/>
      <c r="AV622" s="5"/>
    </row>
    <row r="623" spans="1:48" ht="12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4"/>
      <c r="V623" s="22"/>
      <c r="W623" s="5"/>
      <c r="X623" s="5"/>
      <c r="Y623" s="5"/>
      <c r="Z623" s="5"/>
      <c r="AA623" s="5"/>
      <c r="AB623" s="5"/>
      <c r="AC623" s="5"/>
      <c r="AD623" s="5"/>
      <c r="AE623" s="4"/>
      <c r="AF623" s="5"/>
      <c r="AG623" s="5"/>
      <c r="AH623" s="5"/>
      <c r="AI623" s="5"/>
      <c r="AJ623" s="5"/>
      <c r="AK623" s="5"/>
      <c r="AL623" s="5"/>
      <c r="AM623" s="5"/>
      <c r="AN623" s="4"/>
      <c r="AO623" s="5"/>
      <c r="AP623" s="5"/>
      <c r="AQ623" s="5"/>
      <c r="AR623" s="22"/>
      <c r="AS623" s="4"/>
      <c r="AT623" s="5"/>
      <c r="AU623" s="5"/>
      <c r="AV623" s="5"/>
    </row>
    <row r="624" spans="1:48" ht="12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4"/>
      <c r="V624" s="22"/>
      <c r="W624" s="5"/>
      <c r="X624" s="5"/>
      <c r="Y624" s="5"/>
      <c r="Z624" s="5"/>
      <c r="AA624" s="5"/>
      <c r="AB624" s="5"/>
      <c r="AC624" s="5"/>
      <c r="AD624" s="5"/>
      <c r="AE624" s="4"/>
      <c r="AF624" s="5"/>
      <c r="AG624" s="5"/>
      <c r="AH624" s="5"/>
      <c r="AI624" s="5"/>
      <c r="AJ624" s="5"/>
      <c r="AK624" s="5"/>
      <c r="AL624" s="5"/>
      <c r="AM624" s="5"/>
      <c r="AN624" s="4"/>
      <c r="AO624" s="5"/>
      <c r="AP624" s="5"/>
      <c r="AQ624" s="5"/>
      <c r="AR624" s="22"/>
      <c r="AS624" s="4"/>
      <c r="AT624" s="5"/>
      <c r="AU624" s="5"/>
      <c r="AV624" s="5"/>
    </row>
    <row r="625" spans="1:48" ht="12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4"/>
      <c r="V625" s="22"/>
      <c r="W625" s="5"/>
      <c r="X625" s="5"/>
      <c r="Y625" s="5"/>
      <c r="Z625" s="5"/>
      <c r="AA625" s="5"/>
      <c r="AB625" s="5"/>
      <c r="AC625" s="5"/>
      <c r="AD625" s="5"/>
      <c r="AE625" s="4"/>
      <c r="AF625" s="5"/>
      <c r="AG625" s="5"/>
      <c r="AH625" s="5"/>
      <c r="AI625" s="5"/>
      <c r="AJ625" s="5"/>
      <c r="AK625" s="5"/>
      <c r="AL625" s="5"/>
      <c r="AM625" s="5"/>
      <c r="AN625" s="4"/>
      <c r="AO625" s="5"/>
      <c r="AP625" s="5"/>
      <c r="AQ625" s="5"/>
      <c r="AR625" s="22"/>
      <c r="AS625" s="4"/>
      <c r="AT625" s="5"/>
      <c r="AU625" s="5"/>
      <c r="AV625" s="5"/>
    </row>
    <row r="626" spans="1:48" ht="12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4"/>
      <c r="V626" s="22"/>
      <c r="W626" s="5"/>
      <c r="X626" s="5"/>
      <c r="Y626" s="5"/>
      <c r="Z626" s="5"/>
      <c r="AA626" s="5"/>
      <c r="AB626" s="5"/>
      <c r="AC626" s="5"/>
      <c r="AD626" s="5"/>
      <c r="AE626" s="4"/>
      <c r="AF626" s="5"/>
      <c r="AG626" s="5"/>
      <c r="AH626" s="5"/>
      <c r="AI626" s="5"/>
      <c r="AJ626" s="5"/>
      <c r="AK626" s="5"/>
      <c r="AL626" s="5"/>
      <c r="AM626" s="5"/>
      <c r="AN626" s="4"/>
      <c r="AO626" s="5"/>
      <c r="AP626" s="5"/>
      <c r="AQ626" s="5"/>
      <c r="AR626" s="22"/>
      <c r="AS626" s="4"/>
      <c r="AT626" s="5"/>
      <c r="AU626" s="5"/>
      <c r="AV626" s="5"/>
    </row>
    <row r="627" spans="1:48" ht="12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4"/>
      <c r="V627" s="22"/>
      <c r="W627" s="5"/>
      <c r="X627" s="5"/>
      <c r="Y627" s="5"/>
      <c r="Z627" s="5"/>
      <c r="AA627" s="5"/>
      <c r="AB627" s="5"/>
      <c r="AC627" s="5"/>
      <c r="AD627" s="5"/>
      <c r="AE627" s="4"/>
      <c r="AF627" s="5"/>
      <c r="AG627" s="5"/>
      <c r="AH627" s="5"/>
      <c r="AI627" s="5"/>
      <c r="AJ627" s="5"/>
      <c r="AK627" s="5"/>
      <c r="AL627" s="5"/>
      <c r="AM627" s="5"/>
      <c r="AN627" s="4"/>
      <c r="AO627" s="5"/>
      <c r="AP627" s="5"/>
      <c r="AQ627" s="5"/>
      <c r="AR627" s="22"/>
      <c r="AS627" s="4"/>
      <c r="AT627" s="5"/>
      <c r="AU627" s="5"/>
      <c r="AV627" s="5"/>
    </row>
    <row r="628" spans="1:48" ht="12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4"/>
      <c r="V628" s="22"/>
      <c r="W628" s="5"/>
      <c r="X628" s="5"/>
      <c r="Y628" s="5"/>
      <c r="Z628" s="5"/>
      <c r="AA628" s="5"/>
      <c r="AB628" s="5"/>
      <c r="AC628" s="5"/>
      <c r="AD628" s="5"/>
      <c r="AE628" s="4"/>
      <c r="AF628" s="5"/>
      <c r="AG628" s="5"/>
      <c r="AH628" s="5"/>
      <c r="AI628" s="5"/>
      <c r="AJ628" s="5"/>
      <c r="AK628" s="5"/>
      <c r="AL628" s="5"/>
      <c r="AM628" s="5"/>
      <c r="AN628" s="4"/>
      <c r="AO628" s="5"/>
      <c r="AP628" s="5"/>
      <c r="AQ628" s="5"/>
      <c r="AR628" s="22"/>
      <c r="AS628" s="4"/>
      <c r="AT628" s="5"/>
      <c r="AU628" s="5"/>
      <c r="AV628" s="5"/>
    </row>
    <row r="629" spans="1:48" ht="12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4"/>
      <c r="V629" s="22"/>
      <c r="W629" s="5"/>
      <c r="X629" s="5"/>
      <c r="Y629" s="5"/>
      <c r="Z629" s="5"/>
      <c r="AA629" s="5"/>
      <c r="AB629" s="5"/>
      <c r="AC629" s="5"/>
      <c r="AD629" s="5"/>
      <c r="AE629" s="4"/>
      <c r="AF629" s="5"/>
      <c r="AG629" s="5"/>
      <c r="AH629" s="5"/>
      <c r="AI629" s="5"/>
      <c r="AJ629" s="5"/>
      <c r="AK629" s="5"/>
      <c r="AL629" s="5"/>
      <c r="AM629" s="5"/>
      <c r="AN629" s="4"/>
      <c r="AO629" s="5"/>
      <c r="AP629" s="5"/>
      <c r="AQ629" s="5"/>
      <c r="AR629" s="22"/>
      <c r="AS629" s="4"/>
      <c r="AT629" s="5"/>
      <c r="AU629" s="5"/>
      <c r="AV629" s="5"/>
    </row>
    <row r="630" spans="1:48" ht="12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4"/>
      <c r="V630" s="22"/>
      <c r="W630" s="5"/>
      <c r="X630" s="5"/>
      <c r="Y630" s="5"/>
      <c r="Z630" s="5"/>
      <c r="AA630" s="5"/>
      <c r="AB630" s="5"/>
      <c r="AC630" s="5"/>
      <c r="AD630" s="5"/>
      <c r="AE630" s="4"/>
      <c r="AF630" s="5"/>
      <c r="AG630" s="5"/>
      <c r="AH630" s="5"/>
      <c r="AI630" s="5"/>
      <c r="AJ630" s="5"/>
      <c r="AK630" s="5"/>
      <c r="AL630" s="5"/>
      <c r="AM630" s="5"/>
      <c r="AN630" s="4"/>
      <c r="AO630" s="5"/>
      <c r="AP630" s="5"/>
      <c r="AQ630" s="5"/>
      <c r="AR630" s="22"/>
      <c r="AS630" s="4"/>
      <c r="AT630" s="5"/>
      <c r="AU630" s="5"/>
      <c r="AV630" s="5"/>
    </row>
    <row r="631" spans="1:48" ht="12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4"/>
      <c r="V631" s="22"/>
      <c r="W631" s="5"/>
      <c r="X631" s="5"/>
      <c r="Y631" s="5"/>
      <c r="Z631" s="5"/>
      <c r="AA631" s="5"/>
      <c r="AB631" s="5"/>
      <c r="AC631" s="5"/>
      <c r="AD631" s="5"/>
      <c r="AE631" s="4"/>
      <c r="AF631" s="5"/>
      <c r="AG631" s="5"/>
      <c r="AH631" s="5"/>
      <c r="AI631" s="5"/>
      <c r="AJ631" s="5"/>
      <c r="AK631" s="5"/>
      <c r="AL631" s="5"/>
      <c r="AM631" s="5"/>
      <c r="AN631" s="4"/>
      <c r="AO631" s="5"/>
      <c r="AP631" s="5"/>
      <c r="AQ631" s="5"/>
      <c r="AR631" s="22"/>
      <c r="AS631" s="4"/>
      <c r="AT631" s="5"/>
      <c r="AU631" s="5"/>
      <c r="AV631" s="5"/>
    </row>
    <row r="632" spans="1:48" ht="12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4"/>
      <c r="V632" s="22"/>
      <c r="W632" s="5"/>
      <c r="X632" s="5"/>
      <c r="Y632" s="5"/>
      <c r="Z632" s="5"/>
      <c r="AA632" s="5"/>
      <c r="AB632" s="5"/>
      <c r="AC632" s="5"/>
      <c r="AD632" s="5"/>
      <c r="AE632" s="4"/>
      <c r="AF632" s="5"/>
      <c r="AG632" s="5"/>
      <c r="AH632" s="5"/>
      <c r="AI632" s="5"/>
      <c r="AJ632" s="5"/>
      <c r="AK632" s="5"/>
      <c r="AL632" s="5"/>
      <c r="AM632" s="5"/>
      <c r="AN632" s="4"/>
      <c r="AO632" s="5"/>
      <c r="AP632" s="5"/>
      <c r="AQ632" s="5"/>
      <c r="AR632" s="22"/>
      <c r="AS632" s="4"/>
      <c r="AT632" s="5"/>
      <c r="AU632" s="5"/>
      <c r="AV632" s="5"/>
    </row>
    <row r="633" spans="1:48" ht="12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4"/>
      <c r="V633" s="22"/>
      <c r="W633" s="5"/>
      <c r="X633" s="5"/>
      <c r="Y633" s="5"/>
      <c r="Z633" s="5"/>
      <c r="AA633" s="5"/>
      <c r="AB633" s="5"/>
      <c r="AC633" s="5"/>
      <c r="AD633" s="5"/>
      <c r="AE633" s="4"/>
      <c r="AF633" s="5"/>
      <c r="AG633" s="5"/>
      <c r="AH633" s="5"/>
      <c r="AI633" s="5"/>
      <c r="AJ633" s="5"/>
      <c r="AK633" s="5"/>
      <c r="AL633" s="5"/>
      <c r="AM633" s="5"/>
      <c r="AN633" s="4"/>
      <c r="AO633" s="5"/>
      <c r="AP633" s="5"/>
      <c r="AQ633" s="5"/>
      <c r="AR633" s="22"/>
      <c r="AS633" s="4"/>
      <c r="AT633" s="5"/>
      <c r="AU633" s="5"/>
      <c r="AV633" s="5"/>
    </row>
    <row r="634" spans="1:48" ht="12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4"/>
      <c r="V634" s="22"/>
      <c r="W634" s="5"/>
      <c r="X634" s="5"/>
      <c r="Y634" s="5"/>
      <c r="Z634" s="5"/>
      <c r="AA634" s="5"/>
      <c r="AB634" s="5"/>
      <c r="AC634" s="5"/>
      <c r="AD634" s="5"/>
      <c r="AE634" s="4"/>
      <c r="AF634" s="5"/>
      <c r="AG634" s="5"/>
      <c r="AH634" s="5"/>
      <c r="AI634" s="5"/>
      <c r="AJ634" s="5"/>
      <c r="AK634" s="5"/>
      <c r="AL634" s="5"/>
      <c r="AM634" s="5"/>
      <c r="AN634" s="4"/>
      <c r="AO634" s="5"/>
      <c r="AP634" s="5"/>
      <c r="AQ634" s="5"/>
      <c r="AR634" s="22"/>
      <c r="AS634" s="4"/>
      <c r="AT634" s="5"/>
      <c r="AU634" s="5"/>
      <c r="AV634" s="5"/>
    </row>
    <row r="635" spans="1:48" ht="12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4"/>
      <c r="V635" s="22"/>
      <c r="W635" s="5"/>
      <c r="X635" s="5"/>
      <c r="Y635" s="5"/>
      <c r="Z635" s="5"/>
      <c r="AA635" s="5"/>
      <c r="AB635" s="5"/>
      <c r="AC635" s="5"/>
      <c r="AD635" s="5"/>
      <c r="AE635" s="4"/>
      <c r="AF635" s="5"/>
      <c r="AG635" s="5"/>
      <c r="AH635" s="5"/>
      <c r="AI635" s="5"/>
      <c r="AJ635" s="5"/>
      <c r="AK635" s="5"/>
      <c r="AL635" s="5"/>
      <c r="AM635" s="5"/>
      <c r="AN635" s="4"/>
      <c r="AO635" s="5"/>
      <c r="AP635" s="5"/>
      <c r="AQ635" s="5"/>
      <c r="AR635" s="22"/>
      <c r="AS635" s="4"/>
      <c r="AT635" s="5"/>
      <c r="AU635" s="5"/>
      <c r="AV635" s="5"/>
    </row>
    <row r="636" spans="1:48" ht="12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4"/>
      <c r="V636" s="22"/>
      <c r="W636" s="5"/>
      <c r="X636" s="5"/>
      <c r="Y636" s="5"/>
      <c r="Z636" s="5"/>
      <c r="AA636" s="5"/>
      <c r="AB636" s="5"/>
      <c r="AC636" s="5"/>
      <c r="AD636" s="5"/>
      <c r="AE636" s="4"/>
      <c r="AF636" s="5"/>
      <c r="AG636" s="5"/>
      <c r="AH636" s="5"/>
      <c r="AI636" s="5"/>
      <c r="AJ636" s="5"/>
      <c r="AK636" s="5"/>
      <c r="AL636" s="5"/>
      <c r="AM636" s="5"/>
      <c r="AN636" s="4"/>
      <c r="AO636" s="5"/>
      <c r="AP636" s="5"/>
      <c r="AQ636" s="5"/>
      <c r="AR636" s="22"/>
      <c r="AS636" s="4"/>
      <c r="AT636" s="5"/>
      <c r="AU636" s="5"/>
      <c r="AV636" s="5"/>
    </row>
    <row r="637" spans="1:48" ht="12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4"/>
      <c r="V637" s="22"/>
      <c r="W637" s="5"/>
      <c r="X637" s="5"/>
      <c r="Y637" s="5"/>
      <c r="Z637" s="5"/>
      <c r="AA637" s="5"/>
      <c r="AB637" s="5"/>
      <c r="AC637" s="5"/>
      <c r="AD637" s="5"/>
      <c r="AE637" s="4"/>
      <c r="AF637" s="5"/>
      <c r="AG637" s="5"/>
      <c r="AH637" s="5"/>
      <c r="AI637" s="5"/>
      <c r="AJ637" s="5"/>
      <c r="AK637" s="5"/>
      <c r="AL637" s="5"/>
      <c r="AM637" s="5"/>
      <c r="AN637" s="4"/>
      <c r="AO637" s="5"/>
      <c r="AP637" s="5"/>
      <c r="AQ637" s="5"/>
      <c r="AR637" s="22"/>
      <c r="AS637" s="4"/>
      <c r="AT637" s="5"/>
      <c r="AU637" s="5"/>
      <c r="AV637" s="5"/>
    </row>
    <row r="638" spans="1:48" ht="12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4"/>
      <c r="V638" s="22"/>
      <c r="W638" s="5"/>
      <c r="X638" s="5"/>
      <c r="Y638" s="5"/>
      <c r="Z638" s="5"/>
      <c r="AA638" s="5"/>
      <c r="AB638" s="5"/>
      <c r="AC638" s="5"/>
      <c r="AD638" s="5"/>
      <c r="AE638" s="4"/>
      <c r="AF638" s="5"/>
      <c r="AG638" s="5"/>
      <c r="AH638" s="5"/>
      <c r="AI638" s="5"/>
      <c r="AJ638" s="5"/>
      <c r="AK638" s="5"/>
      <c r="AL638" s="5"/>
      <c r="AM638" s="5"/>
      <c r="AN638" s="4"/>
      <c r="AO638" s="5"/>
      <c r="AP638" s="5"/>
      <c r="AQ638" s="5"/>
      <c r="AR638" s="22"/>
      <c r="AS638" s="4"/>
      <c r="AT638" s="5"/>
      <c r="AU638" s="5"/>
      <c r="AV638" s="5"/>
    </row>
    <row r="639" spans="1:48" ht="12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4"/>
      <c r="V639" s="22"/>
      <c r="W639" s="5"/>
      <c r="X639" s="5"/>
      <c r="Y639" s="5"/>
      <c r="Z639" s="5"/>
      <c r="AA639" s="5"/>
      <c r="AB639" s="5"/>
      <c r="AC639" s="5"/>
      <c r="AD639" s="5"/>
      <c r="AE639" s="4"/>
      <c r="AF639" s="5"/>
      <c r="AG639" s="5"/>
      <c r="AH639" s="5"/>
      <c r="AI639" s="5"/>
      <c r="AJ639" s="5"/>
      <c r="AK639" s="5"/>
      <c r="AL639" s="5"/>
      <c r="AM639" s="5"/>
      <c r="AN639" s="4"/>
      <c r="AO639" s="5"/>
      <c r="AP639" s="5"/>
      <c r="AQ639" s="5"/>
      <c r="AR639" s="22"/>
      <c r="AS639" s="4"/>
      <c r="AT639" s="5"/>
      <c r="AU639" s="5"/>
      <c r="AV639" s="5"/>
    </row>
    <row r="640" spans="1:48" ht="12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4"/>
      <c r="V640" s="22"/>
      <c r="W640" s="5"/>
      <c r="X640" s="5"/>
      <c r="Y640" s="5"/>
      <c r="Z640" s="5"/>
      <c r="AA640" s="5"/>
      <c r="AB640" s="5"/>
      <c r="AC640" s="5"/>
      <c r="AD640" s="5"/>
      <c r="AE640" s="4"/>
      <c r="AF640" s="5"/>
      <c r="AG640" s="5"/>
      <c r="AH640" s="5"/>
      <c r="AI640" s="5"/>
      <c r="AJ640" s="5"/>
      <c r="AK640" s="5"/>
      <c r="AL640" s="5"/>
      <c r="AM640" s="5"/>
      <c r="AN640" s="4"/>
      <c r="AO640" s="5"/>
      <c r="AP640" s="5"/>
      <c r="AQ640" s="5"/>
      <c r="AR640" s="22"/>
      <c r="AS640" s="4"/>
      <c r="AT640" s="5"/>
      <c r="AU640" s="5"/>
      <c r="AV640" s="5"/>
    </row>
    <row r="641" spans="1:48" ht="12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4"/>
      <c r="V641" s="22"/>
      <c r="W641" s="5"/>
      <c r="X641" s="5"/>
      <c r="Y641" s="5"/>
      <c r="Z641" s="5"/>
      <c r="AA641" s="5"/>
      <c r="AB641" s="5"/>
      <c r="AC641" s="5"/>
      <c r="AD641" s="5"/>
      <c r="AE641" s="4"/>
      <c r="AF641" s="5"/>
      <c r="AG641" s="5"/>
      <c r="AH641" s="5"/>
      <c r="AI641" s="5"/>
      <c r="AJ641" s="5"/>
      <c r="AK641" s="5"/>
      <c r="AL641" s="5"/>
      <c r="AM641" s="5"/>
      <c r="AN641" s="4"/>
      <c r="AO641" s="5"/>
      <c r="AP641" s="5"/>
      <c r="AQ641" s="5"/>
      <c r="AR641" s="22"/>
      <c r="AS641" s="4"/>
      <c r="AT641" s="5"/>
      <c r="AU641" s="5"/>
      <c r="AV641" s="5"/>
    </row>
    <row r="642" spans="1:48" ht="12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4"/>
      <c r="V642" s="22"/>
      <c r="W642" s="5"/>
      <c r="X642" s="5"/>
      <c r="Y642" s="5"/>
      <c r="Z642" s="5"/>
      <c r="AA642" s="5"/>
      <c r="AB642" s="5"/>
      <c r="AC642" s="5"/>
      <c r="AD642" s="5"/>
      <c r="AE642" s="4"/>
      <c r="AF642" s="5"/>
      <c r="AG642" s="5"/>
      <c r="AH642" s="5"/>
      <c r="AI642" s="5"/>
      <c r="AJ642" s="5"/>
      <c r="AK642" s="5"/>
      <c r="AL642" s="5"/>
      <c r="AM642" s="5"/>
      <c r="AN642" s="4"/>
      <c r="AO642" s="5"/>
      <c r="AP642" s="5"/>
      <c r="AQ642" s="5"/>
      <c r="AR642" s="22"/>
      <c r="AS642" s="4"/>
      <c r="AT642" s="5"/>
      <c r="AU642" s="5"/>
      <c r="AV642" s="5"/>
    </row>
    <row r="643" spans="1:48" ht="12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4"/>
      <c r="V643" s="22"/>
      <c r="W643" s="5"/>
      <c r="X643" s="5"/>
      <c r="Y643" s="5"/>
      <c r="Z643" s="5"/>
      <c r="AA643" s="5"/>
      <c r="AB643" s="5"/>
      <c r="AC643" s="5"/>
      <c r="AD643" s="5"/>
      <c r="AE643" s="4"/>
      <c r="AF643" s="5"/>
      <c r="AG643" s="5"/>
      <c r="AH643" s="5"/>
      <c r="AI643" s="5"/>
      <c r="AJ643" s="5"/>
      <c r="AK643" s="5"/>
      <c r="AL643" s="5"/>
      <c r="AM643" s="5"/>
      <c r="AN643" s="4"/>
      <c r="AO643" s="5"/>
      <c r="AP643" s="5"/>
      <c r="AQ643" s="5"/>
      <c r="AR643" s="22"/>
      <c r="AS643" s="4"/>
      <c r="AT643" s="5"/>
      <c r="AU643" s="5"/>
      <c r="AV643" s="5"/>
    </row>
    <row r="644" spans="1:48" ht="12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4"/>
      <c r="V644" s="22"/>
      <c r="W644" s="5"/>
      <c r="X644" s="5"/>
      <c r="Y644" s="5"/>
      <c r="Z644" s="5"/>
      <c r="AA644" s="5"/>
      <c r="AB644" s="5"/>
      <c r="AC644" s="5"/>
      <c r="AD644" s="5"/>
      <c r="AE644" s="4"/>
      <c r="AF644" s="5"/>
      <c r="AG644" s="5"/>
      <c r="AH644" s="5"/>
      <c r="AI644" s="5"/>
      <c r="AJ644" s="5"/>
      <c r="AK644" s="5"/>
      <c r="AL644" s="5"/>
      <c r="AM644" s="5"/>
      <c r="AN644" s="4"/>
      <c r="AO644" s="5"/>
      <c r="AP644" s="5"/>
      <c r="AQ644" s="5"/>
      <c r="AR644" s="22"/>
      <c r="AS644" s="4"/>
      <c r="AT644" s="5"/>
      <c r="AU644" s="5"/>
      <c r="AV644" s="5"/>
    </row>
    <row r="645" spans="1:48" ht="12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4"/>
      <c r="V645" s="22"/>
      <c r="W645" s="5"/>
      <c r="X645" s="5"/>
      <c r="Y645" s="5"/>
      <c r="Z645" s="5"/>
      <c r="AA645" s="5"/>
      <c r="AB645" s="5"/>
      <c r="AC645" s="5"/>
      <c r="AD645" s="5"/>
      <c r="AE645" s="4"/>
      <c r="AF645" s="5"/>
      <c r="AG645" s="5"/>
      <c r="AH645" s="5"/>
      <c r="AI645" s="5"/>
      <c r="AJ645" s="5"/>
      <c r="AK645" s="5"/>
      <c r="AL645" s="5"/>
      <c r="AM645" s="5"/>
      <c r="AN645" s="4"/>
      <c r="AO645" s="5"/>
      <c r="AP645" s="5"/>
      <c r="AQ645" s="5"/>
      <c r="AR645" s="22"/>
      <c r="AS645" s="4"/>
      <c r="AT645" s="5"/>
      <c r="AU645" s="5"/>
      <c r="AV645" s="5"/>
    </row>
    <row r="646" spans="1:48" ht="12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4"/>
      <c r="V646" s="22"/>
      <c r="W646" s="5"/>
      <c r="X646" s="5"/>
      <c r="Y646" s="5"/>
      <c r="Z646" s="5"/>
      <c r="AA646" s="5"/>
      <c r="AB646" s="5"/>
      <c r="AC646" s="5"/>
      <c r="AD646" s="5"/>
      <c r="AE646" s="4"/>
      <c r="AF646" s="5"/>
      <c r="AG646" s="5"/>
      <c r="AH646" s="5"/>
      <c r="AI646" s="5"/>
      <c r="AJ646" s="5"/>
      <c r="AK646" s="5"/>
      <c r="AL646" s="5"/>
      <c r="AM646" s="5"/>
      <c r="AN646" s="4"/>
      <c r="AO646" s="5"/>
      <c r="AP646" s="5"/>
      <c r="AQ646" s="5"/>
      <c r="AR646" s="22"/>
      <c r="AS646" s="4"/>
      <c r="AT646" s="5"/>
      <c r="AU646" s="5"/>
      <c r="AV646" s="5"/>
    </row>
    <row r="647" spans="1:48" ht="12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4"/>
      <c r="V647" s="22"/>
      <c r="W647" s="5"/>
      <c r="X647" s="5"/>
      <c r="Y647" s="5"/>
      <c r="Z647" s="5"/>
      <c r="AA647" s="5"/>
      <c r="AB647" s="5"/>
      <c r="AC647" s="5"/>
      <c r="AD647" s="5"/>
      <c r="AE647" s="4"/>
      <c r="AF647" s="5"/>
      <c r="AG647" s="5"/>
      <c r="AH647" s="5"/>
      <c r="AI647" s="5"/>
      <c r="AJ647" s="5"/>
      <c r="AK647" s="5"/>
      <c r="AL647" s="5"/>
      <c r="AM647" s="5"/>
      <c r="AN647" s="4"/>
      <c r="AO647" s="5"/>
      <c r="AP647" s="5"/>
      <c r="AQ647" s="5"/>
      <c r="AR647" s="22"/>
      <c r="AS647" s="4"/>
      <c r="AT647" s="5"/>
      <c r="AU647" s="5"/>
      <c r="AV647" s="5"/>
    </row>
    <row r="648" spans="1:48" ht="12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4"/>
      <c r="V648" s="22"/>
      <c r="W648" s="5"/>
      <c r="X648" s="5"/>
      <c r="Y648" s="5"/>
      <c r="Z648" s="5"/>
      <c r="AA648" s="5"/>
      <c r="AB648" s="5"/>
      <c r="AC648" s="5"/>
      <c r="AD648" s="5"/>
      <c r="AE648" s="4"/>
      <c r="AF648" s="5"/>
      <c r="AG648" s="5"/>
      <c r="AH648" s="5"/>
      <c r="AI648" s="5"/>
      <c r="AJ648" s="5"/>
      <c r="AK648" s="5"/>
      <c r="AL648" s="5"/>
      <c r="AM648" s="5"/>
      <c r="AN648" s="4"/>
      <c r="AO648" s="5"/>
      <c r="AP648" s="5"/>
      <c r="AQ648" s="5"/>
      <c r="AR648" s="22"/>
      <c r="AS648" s="4"/>
      <c r="AT648" s="5"/>
      <c r="AU648" s="5"/>
      <c r="AV648" s="5"/>
    </row>
    <row r="649" spans="1:48" ht="12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4"/>
      <c r="V649" s="22"/>
      <c r="W649" s="5"/>
      <c r="X649" s="5"/>
      <c r="Y649" s="5"/>
      <c r="Z649" s="5"/>
      <c r="AA649" s="5"/>
      <c r="AB649" s="5"/>
      <c r="AC649" s="5"/>
      <c r="AD649" s="5"/>
      <c r="AE649" s="4"/>
      <c r="AF649" s="5"/>
      <c r="AG649" s="5"/>
      <c r="AH649" s="5"/>
      <c r="AI649" s="5"/>
      <c r="AJ649" s="5"/>
      <c r="AK649" s="5"/>
      <c r="AL649" s="5"/>
      <c r="AM649" s="5"/>
      <c r="AN649" s="4"/>
      <c r="AO649" s="5"/>
      <c r="AP649" s="5"/>
      <c r="AQ649" s="5"/>
      <c r="AR649" s="22"/>
      <c r="AS649" s="4"/>
      <c r="AT649" s="5"/>
      <c r="AU649" s="5"/>
      <c r="AV649" s="5"/>
    </row>
    <row r="650" spans="1:48" ht="12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4"/>
      <c r="V650" s="22"/>
      <c r="W650" s="5"/>
      <c r="X650" s="5"/>
      <c r="Y650" s="5"/>
      <c r="Z650" s="5"/>
      <c r="AA650" s="5"/>
      <c r="AB650" s="5"/>
      <c r="AC650" s="5"/>
      <c r="AD650" s="5"/>
      <c r="AE650" s="4"/>
      <c r="AF650" s="5"/>
      <c r="AG650" s="5"/>
      <c r="AH650" s="5"/>
      <c r="AI650" s="5"/>
      <c r="AJ650" s="5"/>
      <c r="AK650" s="5"/>
      <c r="AL650" s="5"/>
      <c r="AM650" s="5"/>
      <c r="AN650" s="4"/>
      <c r="AO650" s="5"/>
      <c r="AP650" s="5"/>
      <c r="AQ650" s="5"/>
      <c r="AR650" s="22"/>
      <c r="AS650" s="4"/>
      <c r="AT650" s="5"/>
      <c r="AU650" s="5"/>
      <c r="AV650" s="5"/>
    </row>
    <row r="651" spans="1:48" ht="12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4"/>
      <c r="V651" s="22"/>
      <c r="W651" s="5"/>
      <c r="X651" s="5"/>
      <c r="Y651" s="5"/>
      <c r="Z651" s="5"/>
      <c r="AA651" s="5"/>
      <c r="AB651" s="5"/>
      <c r="AC651" s="5"/>
      <c r="AD651" s="5"/>
      <c r="AE651" s="4"/>
      <c r="AF651" s="5"/>
      <c r="AG651" s="5"/>
      <c r="AH651" s="5"/>
      <c r="AI651" s="5"/>
      <c r="AJ651" s="5"/>
      <c r="AK651" s="5"/>
      <c r="AL651" s="5"/>
      <c r="AM651" s="5"/>
      <c r="AN651" s="4"/>
      <c r="AO651" s="5"/>
      <c r="AP651" s="5"/>
      <c r="AQ651" s="5"/>
      <c r="AR651" s="22"/>
      <c r="AS651" s="4"/>
      <c r="AT651" s="5"/>
      <c r="AU651" s="5"/>
      <c r="AV651" s="5"/>
    </row>
    <row r="652" spans="1:48" ht="12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4"/>
      <c r="V652" s="22"/>
      <c r="W652" s="5"/>
      <c r="X652" s="5"/>
      <c r="Y652" s="5"/>
      <c r="Z652" s="5"/>
      <c r="AA652" s="5"/>
      <c r="AB652" s="5"/>
      <c r="AC652" s="5"/>
      <c r="AD652" s="5"/>
      <c r="AE652" s="4"/>
      <c r="AF652" s="5"/>
      <c r="AG652" s="5"/>
      <c r="AH652" s="5"/>
      <c r="AI652" s="5"/>
      <c r="AJ652" s="5"/>
      <c r="AK652" s="5"/>
      <c r="AL652" s="5"/>
      <c r="AM652" s="5"/>
      <c r="AN652" s="4"/>
      <c r="AO652" s="5"/>
      <c r="AP652" s="5"/>
      <c r="AQ652" s="5"/>
      <c r="AR652" s="22"/>
      <c r="AS652" s="4"/>
      <c r="AT652" s="5"/>
      <c r="AU652" s="5"/>
      <c r="AV652" s="5"/>
    </row>
    <row r="653" spans="1:48" ht="12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4"/>
      <c r="V653" s="22"/>
      <c r="W653" s="5"/>
      <c r="X653" s="5"/>
      <c r="Y653" s="5"/>
      <c r="Z653" s="5"/>
      <c r="AA653" s="5"/>
      <c r="AB653" s="5"/>
      <c r="AC653" s="5"/>
      <c r="AD653" s="5"/>
      <c r="AE653" s="4"/>
      <c r="AF653" s="5"/>
      <c r="AG653" s="5"/>
      <c r="AH653" s="5"/>
      <c r="AI653" s="5"/>
      <c r="AJ653" s="5"/>
      <c r="AK653" s="5"/>
      <c r="AL653" s="5"/>
      <c r="AM653" s="5"/>
      <c r="AN653" s="4"/>
      <c r="AO653" s="5"/>
      <c r="AP653" s="5"/>
      <c r="AQ653" s="5"/>
      <c r="AR653" s="22"/>
      <c r="AS653" s="4"/>
      <c r="AT653" s="5"/>
      <c r="AU653" s="5"/>
      <c r="AV653" s="5"/>
    </row>
    <row r="654" spans="1:48" ht="12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4"/>
      <c r="V654" s="22"/>
      <c r="W654" s="5"/>
      <c r="X654" s="5"/>
      <c r="Y654" s="5"/>
      <c r="Z654" s="5"/>
      <c r="AA654" s="5"/>
      <c r="AB654" s="5"/>
      <c r="AC654" s="5"/>
      <c r="AD654" s="5"/>
      <c r="AE654" s="4"/>
      <c r="AF654" s="5"/>
      <c r="AG654" s="5"/>
      <c r="AH654" s="5"/>
      <c r="AI654" s="5"/>
      <c r="AJ654" s="5"/>
      <c r="AK654" s="5"/>
      <c r="AL654" s="5"/>
      <c r="AM654" s="5"/>
      <c r="AN654" s="4"/>
      <c r="AO654" s="5"/>
      <c r="AP654" s="5"/>
      <c r="AQ654" s="5"/>
      <c r="AR654" s="22"/>
      <c r="AS654" s="4"/>
      <c r="AT654" s="5"/>
      <c r="AU654" s="5"/>
      <c r="AV654" s="5"/>
    </row>
    <row r="655" spans="1:48" ht="12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4"/>
      <c r="V655" s="22"/>
      <c r="W655" s="5"/>
      <c r="X655" s="5"/>
      <c r="Y655" s="5"/>
      <c r="Z655" s="5"/>
      <c r="AA655" s="5"/>
      <c r="AB655" s="5"/>
      <c r="AC655" s="5"/>
      <c r="AD655" s="5"/>
      <c r="AE655" s="4"/>
      <c r="AF655" s="5"/>
      <c r="AG655" s="5"/>
      <c r="AH655" s="5"/>
      <c r="AI655" s="5"/>
      <c r="AJ655" s="5"/>
      <c r="AK655" s="5"/>
      <c r="AL655" s="5"/>
      <c r="AM655" s="5"/>
      <c r="AN655" s="4"/>
      <c r="AO655" s="5"/>
      <c r="AP655" s="5"/>
      <c r="AQ655" s="5"/>
      <c r="AR655" s="22"/>
      <c r="AS655" s="4"/>
      <c r="AT655" s="5"/>
      <c r="AU655" s="5"/>
      <c r="AV655" s="5"/>
    </row>
    <row r="656" spans="1:48" ht="12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4"/>
      <c r="V656" s="22"/>
      <c r="W656" s="5"/>
      <c r="X656" s="5"/>
      <c r="Y656" s="5"/>
      <c r="Z656" s="5"/>
      <c r="AA656" s="5"/>
      <c r="AB656" s="5"/>
      <c r="AC656" s="5"/>
      <c r="AD656" s="5"/>
      <c r="AE656" s="4"/>
      <c r="AF656" s="5"/>
      <c r="AG656" s="5"/>
      <c r="AH656" s="5"/>
      <c r="AI656" s="5"/>
      <c r="AJ656" s="5"/>
      <c r="AK656" s="5"/>
      <c r="AL656" s="5"/>
      <c r="AM656" s="5"/>
      <c r="AN656" s="4"/>
      <c r="AO656" s="5"/>
      <c r="AP656" s="5"/>
      <c r="AQ656" s="5"/>
      <c r="AR656" s="22"/>
      <c r="AS656" s="4"/>
      <c r="AT656" s="5"/>
      <c r="AU656" s="5"/>
      <c r="AV656" s="5"/>
    </row>
    <row r="657" spans="1:48" ht="12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4"/>
      <c r="V657" s="22"/>
      <c r="W657" s="5"/>
      <c r="X657" s="5"/>
      <c r="Y657" s="5"/>
      <c r="Z657" s="5"/>
      <c r="AA657" s="5"/>
      <c r="AB657" s="5"/>
      <c r="AC657" s="5"/>
      <c r="AD657" s="5"/>
      <c r="AE657" s="4"/>
      <c r="AF657" s="5"/>
      <c r="AG657" s="5"/>
      <c r="AH657" s="5"/>
      <c r="AI657" s="5"/>
      <c r="AJ657" s="5"/>
      <c r="AK657" s="5"/>
      <c r="AL657" s="5"/>
      <c r="AM657" s="5"/>
      <c r="AN657" s="4"/>
      <c r="AO657" s="5"/>
      <c r="AP657" s="5"/>
      <c r="AQ657" s="5"/>
      <c r="AR657" s="22"/>
      <c r="AS657" s="4"/>
      <c r="AT657" s="5"/>
      <c r="AU657" s="5"/>
      <c r="AV657" s="5"/>
    </row>
    <row r="658" spans="1:48" ht="12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4"/>
      <c r="V658" s="22"/>
      <c r="W658" s="5"/>
      <c r="X658" s="5"/>
      <c r="Y658" s="5"/>
      <c r="Z658" s="5"/>
      <c r="AA658" s="5"/>
      <c r="AB658" s="5"/>
      <c r="AC658" s="5"/>
      <c r="AD658" s="5"/>
      <c r="AE658" s="4"/>
      <c r="AF658" s="5"/>
      <c r="AG658" s="5"/>
      <c r="AH658" s="5"/>
      <c r="AI658" s="5"/>
      <c r="AJ658" s="5"/>
      <c r="AK658" s="5"/>
      <c r="AL658" s="5"/>
      <c r="AM658" s="5"/>
      <c r="AN658" s="4"/>
      <c r="AO658" s="5"/>
      <c r="AP658" s="5"/>
      <c r="AQ658" s="5"/>
      <c r="AR658" s="22"/>
      <c r="AS658" s="4"/>
      <c r="AT658" s="5"/>
      <c r="AU658" s="5"/>
      <c r="AV658" s="5"/>
    </row>
    <row r="659" spans="1:48" ht="12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4"/>
      <c r="V659" s="22"/>
      <c r="W659" s="5"/>
      <c r="X659" s="5"/>
      <c r="Y659" s="5"/>
      <c r="Z659" s="5"/>
      <c r="AA659" s="5"/>
      <c r="AB659" s="5"/>
      <c r="AC659" s="5"/>
      <c r="AD659" s="5"/>
      <c r="AE659" s="4"/>
      <c r="AF659" s="5"/>
      <c r="AG659" s="5"/>
      <c r="AH659" s="5"/>
      <c r="AI659" s="5"/>
      <c r="AJ659" s="5"/>
      <c r="AK659" s="5"/>
      <c r="AL659" s="5"/>
      <c r="AM659" s="5"/>
      <c r="AN659" s="4"/>
      <c r="AO659" s="5"/>
      <c r="AP659" s="5"/>
      <c r="AQ659" s="5"/>
      <c r="AR659" s="22"/>
      <c r="AS659" s="4"/>
      <c r="AT659" s="5"/>
      <c r="AU659" s="5"/>
      <c r="AV659" s="5"/>
    </row>
    <row r="660" spans="1:48" ht="12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4"/>
      <c r="V660" s="22"/>
      <c r="W660" s="5"/>
      <c r="X660" s="5"/>
      <c r="Y660" s="5"/>
      <c r="Z660" s="5"/>
      <c r="AA660" s="5"/>
      <c r="AB660" s="5"/>
      <c r="AC660" s="5"/>
      <c r="AD660" s="5"/>
      <c r="AE660" s="4"/>
      <c r="AF660" s="5"/>
      <c r="AG660" s="5"/>
      <c r="AH660" s="5"/>
      <c r="AI660" s="5"/>
      <c r="AJ660" s="5"/>
      <c r="AK660" s="5"/>
      <c r="AL660" s="5"/>
      <c r="AM660" s="5"/>
      <c r="AN660" s="4"/>
      <c r="AO660" s="5"/>
      <c r="AP660" s="5"/>
      <c r="AQ660" s="5"/>
      <c r="AR660" s="22"/>
      <c r="AS660" s="4"/>
      <c r="AT660" s="5"/>
      <c r="AU660" s="5"/>
      <c r="AV660" s="5"/>
    </row>
    <row r="661" spans="1:48" ht="12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4"/>
      <c r="V661" s="22"/>
      <c r="W661" s="5"/>
      <c r="X661" s="5"/>
      <c r="Y661" s="5"/>
      <c r="Z661" s="5"/>
      <c r="AA661" s="5"/>
      <c r="AB661" s="5"/>
      <c r="AC661" s="5"/>
      <c r="AD661" s="5"/>
      <c r="AE661" s="4"/>
      <c r="AF661" s="5"/>
      <c r="AG661" s="5"/>
      <c r="AH661" s="5"/>
      <c r="AI661" s="5"/>
      <c r="AJ661" s="5"/>
      <c r="AK661" s="5"/>
      <c r="AL661" s="5"/>
      <c r="AM661" s="5"/>
      <c r="AN661" s="4"/>
      <c r="AO661" s="5"/>
      <c r="AP661" s="5"/>
      <c r="AQ661" s="5"/>
      <c r="AR661" s="22"/>
      <c r="AS661" s="4"/>
      <c r="AT661" s="5"/>
      <c r="AU661" s="5"/>
      <c r="AV661" s="5"/>
    </row>
    <row r="662" spans="1:48" ht="12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4"/>
      <c r="V662" s="22"/>
      <c r="W662" s="5"/>
      <c r="X662" s="5"/>
      <c r="Y662" s="5"/>
      <c r="Z662" s="5"/>
      <c r="AA662" s="5"/>
      <c r="AB662" s="5"/>
      <c r="AC662" s="5"/>
      <c r="AD662" s="5"/>
      <c r="AE662" s="4"/>
      <c r="AF662" s="5"/>
      <c r="AG662" s="5"/>
      <c r="AH662" s="5"/>
      <c r="AI662" s="5"/>
      <c r="AJ662" s="5"/>
      <c r="AK662" s="5"/>
      <c r="AL662" s="5"/>
      <c r="AM662" s="5"/>
      <c r="AN662" s="4"/>
      <c r="AO662" s="5"/>
      <c r="AP662" s="5"/>
      <c r="AQ662" s="5"/>
      <c r="AR662" s="22"/>
      <c r="AS662" s="4"/>
      <c r="AT662" s="5"/>
      <c r="AU662" s="5"/>
      <c r="AV662" s="5"/>
    </row>
    <row r="663" spans="1:48" ht="12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4"/>
      <c r="V663" s="22"/>
      <c r="W663" s="5"/>
      <c r="X663" s="5"/>
      <c r="Y663" s="5"/>
      <c r="Z663" s="5"/>
      <c r="AA663" s="5"/>
      <c r="AB663" s="5"/>
      <c r="AC663" s="5"/>
      <c r="AD663" s="5"/>
      <c r="AE663" s="4"/>
      <c r="AF663" s="5"/>
      <c r="AG663" s="5"/>
      <c r="AH663" s="5"/>
      <c r="AI663" s="5"/>
      <c r="AJ663" s="5"/>
      <c r="AK663" s="5"/>
      <c r="AL663" s="5"/>
      <c r="AM663" s="5"/>
      <c r="AN663" s="4"/>
      <c r="AO663" s="5"/>
      <c r="AP663" s="5"/>
      <c r="AQ663" s="5"/>
      <c r="AR663" s="22"/>
      <c r="AS663" s="4"/>
      <c r="AT663" s="5"/>
      <c r="AU663" s="5"/>
      <c r="AV663" s="5"/>
    </row>
    <row r="664" spans="1:48" ht="12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4"/>
      <c r="V664" s="22"/>
      <c r="W664" s="5"/>
      <c r="X664" s="5"/>
      <c r="Y664" s="5"/>
      <c r="Z664" s="5"/>
      <c r="AA664" s="5"/>
      <c r="AB664" s="5"/>
      <c r="AC664" s="5"/>
      <c r="AD664" s="5"/>
      <c r="AE664" s="4"/>
      <c r="AF664" s="5"/>
      <c r="AG664" s="5"/>
      <c r="AH664" s="5"/>
      <c r="AI664" s="5"/>
      <c r="AJ664" s="5"/>
      <c r="AK664" s="5"/>
      <c r="AL664" s="5"/>
      <c r="AM664" s="5"/>
      <c r="AN664" s="4"/>
      <c r="AO664" s="5"/>
      <c r="AP664" s="5"/>
      <c r="AQ664" s="5"/>
      <c r="AR664" s="22"/>
      <c r="AS664" s="4"/>
      <c r="AT664" s="5"/>
      <c r="AU664" s="5"/>
      <c r="AV664" s="5"/>
    </row>
    <row r="665" spans="1:48" ht="12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4"/>
      <c r="V665" s="22"/>
      <c r="W665" s="5"/>
      <c r="X665" s="5"/>
      <c r="Y665" s="5"/>
      <c r="Z665" s="5"/>
      <c r="AA665" s="5"/>
      <c r="AB665" s="5"/>
      <c r="AC665" s="5"/>
      <c r="AD665" s="5"/>
      <c r="AE665" s="4"/>
      <c r="AF665" s="5"/>
      <c r="AG665" s="5"/>
      <c r="AH665" s="5"/>
      <c r="AI665" s="5"/>
      <c r="AJ665" s="5"/>
      <c r="AK665" s="5"/>
      <c r="AL665" s="5"/>
      <c r="AM665" s="5"/>
      <c r="AN665" s="4"/>
      <c r="AO665" s="5"/>
      <c r="AP665" s="5"/>
      <c r="AQ665" s="5"/>
      <c r="AR665" s="22"/>
      <c r="AS665" s="4"/>
      <c r="AT665" s="5"/>
      <c r="AU665" s="5"/>
      <c r="AV665" s="5"/>
    </row>
    <row r="666" spans="1:48" ht="12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4"/>
      <c r="V666" s="22"/>
      <c r="W666" s="5"/>
      <c r="X666" s="5"/>
      <c r="Y666" s="5"/>
      <c r="Z666" s="5"/>
      <c r="AA666" s="5"/>
      <c r="AB666" s="5"/>
      <c r="AC666" s="5"/>
      <c r="AD666" s="5"/>
      <c r="AE666" s="4"/>
      <c r="AF666" s="5"/>
      <c r="AG666" s="5"/>
      <c r="AH666" s="5"/>
      <c r="AI666" s="5"/>
      <c r="AJ666" s="5"/>
      <c r="AK666" s="5"/>
      <c r="AL666" s="5"/>
      <c r="AM666" s="5"/>
      <c r="AN666" s="4"/>
      <c r="AO666" s="5"/>
      <c r="AP666" s="5"/>
      <c r="AQ666" s="5"/>
      <c r="AR666" s="22"/>
      <c r="AS666" s="4"/>
      <c r="AT666" s="5"/>
      <c r="AU666" s="5"/>
      <c r="AV666" s="5"/>
    </row>
    <row r="667" spans="1:48" ht="12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4"/>
      <c r="V667" s="22"/>
      <c r="W667" s="5"/>
      <c r="X667" s="5"/>
      <c r="Y667" s="5"/>
      <c r="Z667" s="5"/>
      <c r="AA667" s="5"/>
      <c r="AB667" s="5"/>
      <c r="AC667" s="5"/>
      <c r="AD667" s="5"/>
      <c r="AE667" s="4"/>
      <c r="AF667" s="5"/>
      <c r="AG667" s="5"/>
      <c r="AH667" s="5"/>
      <c r="AI667" s="5"/>
      <c r="AJ667" s="5"/>
      <c r="AK667" s="5"/>
      <c r="AL667" s="5"/>
      <c r="AM667" s="5"/>
      <c r="AN667" s="4"/>
      <c r="AO667" s="5"/>
      <c r="AP667" s="5"/>
      <c r="AQ667" s="5"/>
      <c r="AR667" s="22"/>
      <c r="AS667" s="4"/>
      <c r="AT667" s="5"/>
      <c r="AU667" s="5"/>
      <c r="AV667" s="5"/>
    </row>
    <row r="668" spans="1:48" ht="12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4"/>
      <c r="V668" s="22"/>
      <c r="W668" s="5"/>
      <c r="X668" s="5"/>
      <c r="Y668" s="5"/>
      <c r="Z668" s="5"/>
      <c r="AA668" s="5"/>
      <c r="AB668" s="5"/>
      <c r="AC668" s="5"/>
      <c r="AD668" s="5"/>
      <c r="AE668" s="4"/>
      <c r="AF668" s="5"/>
      <c r="AG668" s="5"/>
      <c r="AH668" s="5"/>
      <c r="AI668" s="5"/>
      <c r="AJ668" s="5"/>
      <c r="AK668" s="5"/>
      <c r="AL668" s="5"/>
      <c r="AM668" s="5"/>
      <c r="AN668" s="4"/>
      <c r="AO668" s="5"/>
      <c r="AP668" s="5"/>
      <c r="AQ668" s="5"/>
      <c r="AR668" s="22"/>
      <c r="AS668" s="4"/>
      <c r="AT668" s="5"/>
      <c r="AU668" s="5"/>
      <c r="AV668" s="5"/>
    </row>
    <row r="669" spans="1:48" ht="12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4"/>
      <c r="V669" s="22"/>
      <c r="W669" s="5"/>
      <c r="X669" s="5"/>
      <c r="Y669" s="5"/>
      <c r="Z669" s="5"/>
      <c r="AA669" s="5"/>
      <c r="AB669" s="5"/>
      <c r="AC669" s="5"/>
      <c r="AD669" s="5"/>
      <c r="AE669" s="4"/>
      <c r="AF669" s="5"/>
      <c r="AG669" s="5"/>
      <c r="AH669" s="5"/>
      <c r="AI669" s="5"/>
      <c r="AJ669" s="5"/>
      <c r="AK669" s="5"/>
      <c r="AL669" s="5"/>
      <c r="AM669" s="5"/>
      <c r="AN669" s="4"/>
      <c r="AO669" s="5"/>
      <c r="AP669" s="5"/>
      <c r="AQ669" s="5"/>
      <c r="AR669" s="22"/>
      <c r="AS669" s="4"/>
      <c r="AT669" s="5"/>
      <c r="AU669" s="5"/>
      <c r="AV669" s="5"/>
    </row>
    <row r="670" spans="1:48" ht="12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4"/>
      <c r="V670" s="22"/>
      <c r="W670" s="5"/>
      <c r="X670" s="5"/>
      <c r="Y670" s="5"/>
      <c r="Z670" s="5"/>
      <c r="AA670" s="5"/>
      <c r="AB670" s="5"/>
      <c r="AC670" s="5"/>
      <c r="AD670" s="5"/>
      <c r="AE670" s="4"/>
      <c r="AF670" s="5"/>
      <c r="AG670" s="5"/>
      <c r="AH670" s="5"/>
      <c r="AI670" s="5"/>
      <c r="AJ670" s="5"/>
      <c r="AK670" s="5"/>
      <c r="AL670" s="5"/>
      <c r="AM670" s="5"/>
      <c r="AN670" s="4"/>
      <c r="AO670" s="5"/>
      <c r="AP670" s="5"/>
      <c r="AQ670" s="5"/>
      <c r="AR670" s="22"/>
      <c r="AS670" s="4"/>
      <c r="AT670" s="5"/>
      <c r="AU670" s="5"/>
      <c r="AV670" s="5"/>
    </row>
    <row r="671" spans="1:48" ht="12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4"/>
      <c r="V671" s="22"/>
      <c r="W671" s="5"/>
      <c r="X671" s="5"/>
      <c r="Y671" s="5"/>
      <c r="Z671" s="5"/>
      <c r="AA671" s="5"/>
      <c r="AB671" s="5"/>
      <c r="AC671" s="5"/>
      <c r="AD671" s="5"/>
      <c r="AE671" s="4"/>
      <c r="AF671" s="5"/>
      <c r="AG671" s="5"/>
      <c r="AH671" s="5"/>
      <c r="AI671" s="5"/>
      <c r="AJ671" s="5"/>
      <c r="AK671" s="5"/>
      <c r="AL671" s="5"/>
      <c r="AM671" s="5"/>
      <c r="AN671" s="4"/>
      <c r="AO671" s="5"/>
      <c r="AP671" s="5"/>
      <c r="AQ671" s="5"/>
      <c r="AR671" s="22"/>
      <c r="AS671" s="4"/>
      <c r="AT671" s="5"/>
      <c r="AU671" s="5"/>
      <c r="AV671" s="5"/>
    </row>
    <row r="672" spans="1:48" ht="12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4"/>
      <c r="V672" s="22"/>
      <c r="W672" s="5"/>
      <c r="X672" s="5"/>
      <c r="Y672" s="5"/>
      <c r="Z672" s="5"/>
      <c r="AA672" s="5"/>
      <c r="AB672" s="5"/>
      <c r="AC672" s="5"/>
      <c r="AD672" s="5"/>
      <c r="AE672" s="4"/>
      <c r="AF672" s="5"/>
      <c r="AG672" s="5"/>
      <c r="AH672" s="5"/>
      <c r="AI672" s="5"/>
      <c r="AJ672" s="5"/>
      <c r="AK672" s="5"/>
      <c r="AL672" s="5"/>
      <c r="AM672" s="5"/>
      <c r="AN672" s="4"/>
      <c r="AO672" s="5"/>
      <c r="AP672" s="5"/>
      <c r="AQ672" s="5"/>
      <c r="AR672" s="22"/>
      <c r="AS672" s="4"/>
      <c r="AT672" s="5"/>
      <c r="AU672" s="5"/>
      <c r="AV672" s="5"/>
    </row>
    <row r="673" spans="1:48" ht="12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4"/>
      <c r="V673" s="22"/>
      <c r="W673" s="5"/>
      <c r="X673" s="5"/>
      <c r="Y673" s="5"/>
      <c r="Z673" s="5"/>
      <c r="AA673" s="5"/>
      <c r="AB673" s="5"/>
      <c r="AC673" s="5"/>
      <c r="AD673" s="5"/>
      <c r="AE673" s="4"/>
      <c r="AF673" s="5"/>
      <c r="AG673" s="5"/>
      <c r="AH673" s="5"/>
      <c r="AI673" s="5"/>
      <c r="AJ673" s="5"/>
      <c r="AK673" s="5"/>
      <c r="AL673" s="5"/>
      <c r="AM673" s="5"/>
      <c r="AN673" s="4"/>
      <c r="AO673" s="5"/>
      <c r="AP673" s="5"/>
      <c r="AQ673" s="5"/>
      <c r="AR673" s="22"/>
      <c r="AS673" s="4"/>
      <c r="AT673" s="5"/>
      <c r="AU673" s="5"/>
      <c r="AV673" s="5"/>
    </row>
    <row r="674" spans="1:48" ht="12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4"/>
      <c r="V674" s="22"/>
      <c r="W674" s="5"/>
      <c r="X674" s="5"/>
      <c r="Y674" s="5"/>
      <c r="Z674" s="5"/>
      <c r="AA674" s="5"/>
      <c r="AB674" s="5"/>
      <c r="AC674" s="5"/>
      <c r="AD674" s="5"/>
      <c r="AE674" s="4"/>
      <c r="AF674" s="5"/>
      <c r="AG674" s="5"/>
      <c r="AH674" s="5"/>
      <c r="AI674" s="5"/>
      <c r="AJ674" s="5"/>
      <c r="AK674" s="5"/>
      <c r="AL674" s="5"/>
      <c r="AM674" s="5"/>
      <c r="AN674" s="4"/>
      <c r="AO674" s="5"/>
      <c r="AP674" s="5"/>
      <c r="AQ674" s="5"/>
      <c r="AR674" s="22"/>
      <c r="AS674" s="4"/>
      <c r="AT674" s="5"/>
      <c r="AU674" s="5"/>
      <c r="AV674" s="5"/>
    </row>
    <row r="675" spans="1:48" ht="12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4"/>
      <c r="V675" s="22"/>
      <c r="W675" s="5"/>
      <c r="X675" s="5"/>
      <c r="Y675" s="5"/>
      <c r="Z675" s="5"/>
      <c r="AA675" s="5"/>
      <c r="AB675" s="5"/>
      <c r="AC675" s="5"/>
      <c r="AD675" s="5"/>
      <c r="AE675" s="4"/>
      <c r="AF675" s="5"/>
      <c r="AG675" s="5"/>
      <c r="AH675" s="5"/>
      <c r="AI675" s="5"/>
      <c r="AJ675" s="5"/>
      <c r="AK675" s="5"/>
      <c r="AL675" s="5"/>
      <c r="AM675" s="5"/>
      <c r="AN675" s="4"/>
      <c r="AO675" s="5"/>
      <c r="AP675" s="5"/>
      <c r="AQ675" s="5"/>
      <c r="AR675" s="22"/>
      <c r="AS675" s="4"/>
      <c r="AT675" s="5"/>
      <c r="AU675" s="5"/>
      <c r="AV675" s="5"/>
    </row>
    <row r="676" spans="1:48" ht="12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4"/>
      <c r="V676" s="22"/>
      <c r="W676" s="5"/>
      <c r="X676" s="5"/>
      <c r="Y676" s="5"/>
      <c r="Z676" s="5"/>
      <c r="AA676" s="5"/>
      <c r="AB676" s="5"/>
      <c r="AC676" s="5"/>
      <c r="AD676" s="5"/>
      <c r="AE676" s="4"/>
      <c r="AF676" s="5"/>
      <c r="AG676" s="5"/>
      <c r="AH676" s="5"/>
      <c r="AI676" s="5"/>
      <c r="AJ676" s="5"/>
      <c r="AK676" s="5"/>
      <c r="AL676" s="5"/>
      <c r="AM676" s="5"/>
      <c r="AN676" s="4"/>
      <c r="AO676" s="5"/>
      <c r="AP676" s="5"/>
      <c r="AQ676" s="5"/>
      <c r="AR676" s="22"/>
      <c r="AS676" s="4"/>
      <c r="AT676" s="5"/>
      <c r="AU676" s="5"/>
      <c r="AV676" s="5"/>
    </row>
    <row r="677" spans="1:48" ht="12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4"/>
      <c r="V677" s="22"/>
      <c r="W677" s="5"/>
      <c r="X677" s="5"/>
      <c r="Y677" s="5"/>
      <c r="Z677" s="5"/>
      <c r="AA677" s="5"/>
      <c r="AB677" s="5"/>
      <c r="AC677" s="5"/>
      <c r="AD677" s="5"/>
      <c r="AE677" s="4"/>
      <c r="AF677" s="5"/>
      <c r="AG677" s="5"/>
      <c r="AH677" s="5"/>
      <c r="AI677" s="5"/>
      <c r="AJ677" s="5"/>
      <c r="AK677" s="5"/>
      <c r="AL677" s="5"/>
      <c r="AM677" s="5"/>
      <c r="AN677" s="4"/>
      <c r="AO677" s="5"/>
      <c r="AP677" s="5"/>
      <c r="AQ677" s="5"/>
      <c r="AR677" s="22"/>
      <c r="AS677" s="4"/>
      <c r="AT677" s="5"/>
      <c r="AU677" s="5"/>
      <c r="AV677" s="5"/>
    </row>
    <row r="678" spans="1:48" ht="12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4"/>
      <c r="V678" s="22"/>
      <c r="W678" s="5"/>
      <c r="X678" s="5"/>
      <c r="Y678" s="5"/>
      <c r="Z678" s="5"/>
      <c r="AA678" s="5"/>
      <c r="AB678" s="5"/>
      <c r="AC678" s="5"/>
      <c r="AD678" s="5"/>
      <c r="AE678" s="4"/>
      <c r="AF678" s="5"/>
      <c r="AG678" s="5"/>
      <c r="AH678" s="5"/>
      <c r="AI678" s="5"/>
      <c r="AJ678" s="5"/>
      <c r="AK678" s="5"/>
      <c r="AL678" s="5"/>
      <c r="AM678" s="5"/>
      <c r="AN678" s="4"/>
      <c r="AO678" s="5"/>
      <c r="AP678" s="5"/>
      <c r="AQ678" s="5"/>
      <c r="AR678" s="22"/>
      <c r="AS678" s="4"/>
      <c r="AT678" s="5"/>
      <c r="AU678" s="5"/>
      <c r="AV678" s="5"/>
    </row>
    <row r="679" spans="1:48" ht="12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4"/>
      <c r="V679" s="22"/>
      <c r="W679" s="5"/>
      <c r="X679" s="5"/>
      <c r="Y679" s="5"/>
      <c r="Z679" s="5"/>
      <c r="AA679" s="5"/>
      <c r="AB679" s="5"/>
      <c r="AC679" s="5"/>
      <c r="AD679" s="5"/>
      <c r="AE679" s="4"/>
      <c r="AF679" s="5"/>
      <c r="AG679" s="5"/>
      <c r="AH679" s="5"/>
      <c r="AI679" s="5"/>
      <c r="AJ679" s="5"/>
      <c r="AK679" s="5"/>
      <c r="AL679" s="5"/>
      <c r="AM679" s="5"/>
      <c r="AN679" s="4"/>
      <c r="AO679" s="5"/>
      <c r="AP679" s="5"/>
      <c r="AQ679" s="5"/>
      <c r="AR679" s="22"/>
      <c r="AS679" s="4"/>
      <c r="AT679" s="5"/>
      <c r="AU679" s="5"/>
      <c r="AV679" s="5"/>
    </row>
    <row r="680" spans="1:48" ht="12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4"/>
      <c r="V680" s="22"/>
      <c r="W680" s="5"/>
      <c r="X680" s="5"/>
      <c r="Y680" s="5"/>
      <c r="Z680" s="5"/>
      <c r="AA680" s="5"/>
      <c r="AB680" s="5"/>
      <c r="AC680" s="5"/>
      <c r="AD680" s="5"/>
      <c r="AE680" s="4"/>
      <c r="AF680" s="5"/>
      <c r="AG680" s="5"/>
      <c r="AH680" s="5"/>
      <c r="AI680" s="5"/>
      <c r="AJ680" s="5"/>
      <c r="AK680" s="5"/>
      <c r="AL680" s="5"/>
      <c r="AM680" s="5"/>
      <c r="AN680" s="4"/>
      <c r="AO680" s="5"/>
      <c r="AP680" s="5"/>
      <c r="AQ680" s="5"/>
      <c r="AR680" s="22"/>
      <c r="AS680" s="4"/>
      <c r="AT680" s="5"/>
      <c r="AU680" s="5"/>
      <c r="AV680" s="5"/>
    </row>
    <row r="681" spans="1:48" ht="12.7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4"/>
      <c r="V681" s="22"/>
      <c r="W681" s="5"/>
      <c r="X681" s="5"/>
      <c r="Y681" s="5"/>
      <c r="Z681" s="5"/>
      <c r="AA681" s="5"/>
      <c r="AB681" s="5"/>
      <c r="AC681" s="5"/>
      <c r="AD681" s="5"/>
      <c r="AE681" s="4"/>
      <c r="AF681" s="5"/>
      <c r="AG681" s="5"/>
      <c r="AH681" s="5"/>
      <c r="AI681" s="5"/>
      <c r="AJ681" s="5"/>
      <c r="AK681" s="5"/>
      <c r="AL681" s="5"/>
      <c r="AM681" s="5"/>
      <c r="AN681" s="4"/>
      <c r="AO681" s="5"/>
      <c r="AP681" s="5"/>
      <c r="AQ681" s="5"/>
      <c r="AR681" s="22"/>
      <c r="AS681" s="4"/>
      <c r="AT681" s="5"/>
      <c r="AU681" s="5"/>
      <c r="AV681" s="5"/>
    </row>
    <row r="682" spans="1:48" ht="12.7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4"/>
      <c r="V682" s="22"/>
      <c r="W682" s="5"/>
      <c r="X682" s="5"/>
      <c r="Y682" s="5"/>
      <c r="Z682" s="5"/>
      <c r="AA682" s="5"/>
      <c r="AB682" s="5"/>
      <c r="AC682" s="5"/>
      <c r="AD682" s="5"/>
      <c r="AE682" s="4"/>
      <c r="AF682" s="5"/>
      <c r="AG682" s="5"/>
      <c r="AH682" s="5"/>
      <c r="AI682" s="5"/>
      <c r="AJ682" s="5"/>
      <c r="AK682" s="5"/>
      <c r="AL682" s="5"/>
      <c r="AM682" s="5"/>
      <c r="AN682" s="4"/>
      <c r="AO682" s="5"/>
      <c r="AP682" s="5"/>
      <c r="AQ682" s="5"/>
      <c r="AR682" s="22"/>
      <c r="AS682" s="4"/>
      <c r="AT682" s="5"/>
      <c r="AU682" s="5"/>
      <c r="AV682" s="5"/>
    </row>
    <row r="683" spans="1:48" ht="12.7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4"/>
      <c r="V683" s="22"/>
      <c r="W683" s="5"/>
      <c r="X683" s="5"/>
      <c r="Y683" s="5"/>
      <c r="Z683" s="5"/>
      <c r="AA683" s="5"/>
      <c r="AB683" s="5"/>
      <c r="AC683" s="5"/>
      <c r="AD683" s="5"/>
      <c r="AE683" s="4"/>
      <c r="AF683" s="5"/>
      <c r="AG683" s="5"/>
      <c r="AH683" s="5"/>
      <c r="AI683" s="5"/>
      <c r="AJ683" s="5"/>
      <c r="AK683" s="5"/>
      <c r="AL683" s="5"/>
      <c r="AM683" s="5"/>
      <c r="AN683" s="4"/>
      <c r="AO683" s="5"/>
      <c r="AP683" s="5"/>
      <c r="AQ683" s="5"/>
      <c r="AR683" s="22"/>
      <c r="AS683" s="4"/>
      <c r="AT683" s="5"/>
      <c r="AU683" s="5"/>
      <c r="AV683" s="5"/>
    </row>
    <row r="684" spans="1:48" ht="12.7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4"/>
      <c r="V684" s="22"/>
      <c r="W684" s="5"/>
      <c r="X684" s="5"/>
      <c r="Y684" s="5"/>
      <c r="Z684" s="5"/>
      <c r="AA684" s="5"/>
      <c r="AB684" s="5"/>
      <c r="AC684" s="5"/>
      <c r="AD684" s="5"/>
      <c r="AE684" s="4"/>
      <c r="AF684" s="5"/>
      <c r="AG684" s="5"/>
      <c r="AH684" s="5"/>
      <c r="AI684" s="5"/>
      <c r="AJ684" s="5"/>
      <c r="AK684" s="5"/>
      <c r="AL684" s="5"/>
      <c r="AM684" s="5"/>
      <c r="AN684" s="4"/>
      <c r="AO684" s="5"/>
      <c r="AP684" s="5"/>
      <c r="AQ684" s="5"/>
      <c r="AR684" s="22"/>
      <c r="AS684" s="4"/>
      <c r="AT684" s="5"/>
      <c r="AU684" s="5"/>
      <c r="AV684" s="5"/>
    </row>
    <row r="685" spans="1:48" ht="12.7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4"/>
      <c r="V685" s="22"/>
      <c r="W685" s="5"/>
      <c r="X685" s="5"/>
      <c r="Y685" s="5"/>
      <c r="Z685" s="5"/>
      <c r="AA685" s="5"/>
      <c r="AB685" s="5"/>
      <c r="AC685" s="5"/>
      <c r="AD685" s="5"/>
      <c r="AE685" s="4"/>
      <c r="AF685" s="5"/>
      <c r="AG685" s="5"/>
      <c r="AH685" s="5"/>
      <c r="AI685" s="5"/>
      <c r="AJ685" s="5"/>
      <c r="AK685" s="5"/>
      <c r="AL685" s="5"/>
      <c r="AM685" s="5"/>
      <c r="AN685" s="4"/>
      <c r="AO685" s="5"/>
      <c r="AP685" s="5"/>
      <c r="AQ685" s="5"/>
      <c r="AR685" s="22"/>
      <c r="AS685" s="4"/>
      <c r="AT685" s="5"/>
      <c r="AU685" s="5"/>
      <c r="AV685" s="5"/>
    </row>
    <row r="686" spans="1:48" ht="12.7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4"/>
      <c r="V686" s="22"/>
      <c r="W686" s="5"/>
      <c r="X686" s="5"/>
      <c r="Y686" s="5"/>
      <c r="Z686" s="5"/>
      <c r="AA686" s="5"/>
      <c r="AB686" s="5"/>
      <c r="AC686" s="5"/>
      <c r="AD686" s="5"/>
      <c r="AE686" s="4"/>
      <c r="AF686" s="5"/>
      <c r="AG686" s="5"/>
      <c r="AH686" s="5"/>
      <c r="AI686" s="5"/>
      <c r="AJ686" s="5"/>
      <c r="AK686" s="5"/>
      <c r="AL686" s="5"/>
      <c r="AM686" s="5"/>
      <c r="AN686" s="4"/>
      <c r="AO686" s="5"/>
      <c r="AP686" s="5"/>
      <c r="AQ686" s="5"/>
      <c r="AR686" s="22"/>
      <c r="AS686" s="4"/>
      <c r="AT686" s="5"/>
      <c r="AU686" s="5"/>
      <c r="AV686" s="5"/>
    </row>
    <row r="687" spans="1:48" ht="12.7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4"/>
      <c r="V687" s="22"/>
      <c r="W687" s="5"/>
      <c r="X687" s="5"/>
      <c r="Y687" s="5"/>
      <c r="Z687" s="5"/>
      <c r="AA687" s="5"/>
      <c r="AB687" s="5"/>
      <c r="AC687" s="5"/>
      <c r="AD687" s="5"/>
      <c r="AE687" s="4"/>
      <c r="AF687" s="5"/>
      <c r="AG687" s="5"/>
      <c r="AH687" s="5"/>
      <c r="AI687" s="5"/>
      <c r="AJ687" s="5"/>
      <c r="AK687" s="5"/>
      <c r="AL687" s="5"/>
      <c r="AM687" s="5"/>
      <c r="AN687" s="4"/>
      <c r="AO687" s="5"/>
      <c r="AP687" s="5"/>
      <c r="AQ687" s="5"/>
      <c r="AR687" s="22"/>
      <c r="AS687" s="4"/>
      <c r="AT687" s="5"/>
      <c r="AU687" s="5"/>
      <c r="AV687" s="5"/>
    </row>
    <row r="688" spans="1:48" ht="12.7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4"/>
      <c r="V688" s="22"/>
      <c r="W688" s="5"/>
      <c r="X688" s="5"/>
      <c r="Y688" s="5"/>
      <c r="Z688" s="5"/>
      <c r="AA688" s="5"/>
      <c r="AB688" s="5"/>
      <c r="AC688" s="5"/>
      <c r="AD688" s="5"/>
      <c r="AE688" s="4"/>
      <c r="AF688" s="5"/>
      <c r="AG688" s="5"/>
      <c r="AH688" s="5"/>
      <c r="AI688" s="5"/>
      <c r="AJ688" s="5"/>
      <c r="AK688" s="5"/>
      <c r="AL688" s="5"/>
      <c r="AM688" s="5"/>
      <c r="AN688" s="4"/>
      <c r="AO688" s="5"/>
      <c r="AP688" s="5"/>
      <c r="AQ688" s="5"/>
      <c r="AR688" s="22"/>
      <c r="AS688" s="4"/>
      <c r="AT688" s="5"/>
      <c r="AU688" s="5"/>
      <c r="AV688" s="5"/>
    </row>
    <row r="689" spans="1:48" ht="12.7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4"/>
      <c r="V689" s="22"/>
      <c r="W689" s="5"/>
      <c r="X689" s="5"/>
      <c r="Y689" s="5"/>
      <c r="Z689" s="5"/>
      <c r="AA689" s="5"/>
      <c r="AB689" s="5"/>
      <c r="AC689" s="5"/>
      <c r="AD689" s="5"/>
      <c r="AE689" s="4"/>
      <c r="AF689" s="5"/>
      <c r="AG689" s="5"/>
      <c r="AH689" s="5"/>
      <c r="AI689" s="5"/>
      <c r="AJ689" s="5"/>
      <c r="AK689" s="5"/>
      <c r="AL689" s="5"/>
      <c r="AM689" s="5"/>
      <c r="AN689" s="4"/>
      <c r="AO689" s="5"/>
      <c r="AP689" s="5"/>
      <c r="AQ689" s="5"/>
      <c r="AR689" s="22"/>
      <c r="AS689" s="4"/>
      <c r="AT689" s="5"/>
      <c r="AU689" s="5"/>
      <c r="AV689" s="5"/>
    </row>
    <row r="690" spans="1:48" ht="12.7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4"/>
      <c r="V690" s="22"/>
      <c r="W690" s="5"/>
      <c r="X690" s="5"/>
      <c r="Y690" s="5"/>
      <c r="Z690" s="5"/>
      <c r="AA690" s="5"/>
      <c r="AB690" s="5"/>
      <c r="AC690" s="5"/>
      <c r="AD690" s="5"/>
      <c r="AE690" s="4"/>
      <c r="AF690" s="5"/>
      <c r="AG690" s="5"/>
      <c r="AH690" s="5"/>
      <c r="AI690" s="5"/>
      <c r="AJ690" s="5"/>
      <c r="AK690" s="5"/>
      <c r="AL690" s="5"/>
      <c r="AM690" s="5"/>
      <c r="AN690" s="4"/>
      <c r="AO690" s="5"/>
      <c r="AP690" s="5"/>
      <c r="AQ690" s="5"/>
      <c r="AR690" s="22"/>
      <c r="AS690" s="4"/>
      <c r="AT690" s="5"/>
      <c r="AU690" s="5"/>
      <c r="AV690" s="5"/>
    </row>
    <row r="691" spans="1:48" ht="12.7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4"/>
      <c r="V691" s="22"/>
      <c r="W691" s="5"/>
      <c r="X691" s="5"/>
      <c r="Y691" s="5"/>
      <c r="Z691" s="5"/>
      <c r="AA691" s="5"/>
      <c r="AB691" s="5"/>
      <c r="AC691" s="5"/>
      <c r="AD691" s="5"/>
      <c r="AE691" s="4"/>
      <c r="AF691" s="5"/>
      <c r="AG691" s="5"/>
      <c r="AH691" s="5"/>
      <c r="AI691" s="5"/>
      <c r="AJ691" s="5"/>
      <c r="AK691" s="5"/>
      <c r="AL691" s="5"/>
      <c r="AM691" s="5"/>
      <c r="AN691" s="4"/>
      <c r="AO691" s="5"/>
      <c r="AP691" s="5"/>
      <c r="AQ691" s="5"/>
      <c r="AR691" s="22"/>
      <c r="AS691" s="4"/>
      <c r="AT691" s="5"/>
      <c r="AU691" s="5"/>
      <c r="AV691" s="5"/>
    </row>
    <row r="692" spans="1:48" ht="12.7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4"/>
      <c r="V692" s="22"/>
      <c r="W692" s="5"/>
      <c r="X692" s="5"/>
      <c r="Y692" s="5"/>
      <c r="Z692" s="5"/>
      <c r="AA692" s="5"/>
      <c r="AB692" s="5"/>
      <c r="AC692" s="5"/>
      <c r="AD692" s="5"/>
      <c r="AE692" s="4"/>
      <c r="AF692" s="5"/>
      <c r="AG692" s="5"/>
      <c r="AH692" s="5"/>
      <c r="AI692" s="5"/>
      <c r="AJ692" s="5"/>
      <c r="AK692" s="5"/>
      <c r="AL692" s="5"/>
      <c r="AM692" s="5"/>
      <c r="AN692" s="4"/>
      <c r="AO692" s="5"/>
      <c r="AP692" s="5"/>
      <c r="AQ692" s="5"/>
      <c r="AR692" s="22"/>
      <c r="AS692" s="4"/>
      <c r="AT692" s="5"/>
      <c r="AU692" s="5"/>
      <c r="AV692" s="5"/>
    </row>
    <row r="693" spans="1:48" ht="12.7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4"/>
      <c r="V693" s="22"/>
      <c r="W693" s="5"/>
      <c r="X693" s="5"/>
      <c r="Y693" s="5"/>
      <c r="Z693" s="5"/>
      <c r="AA693" s="5"/>
      <c r="AB693" s="5"/>
      <c r="AC693" s="5"/>
      <c r="AD693" s="5"/>
      <c r="AE693" s="4"/>
      <c r="AF693" s="5"/>
      <c r="AG693" s="5"/>
      <c r="AH693" s="5"/>
      <c r="AI693" s="5"/>
      <c r="AJ693" s="5"/>
      <c r="AK693" s="5"/>
      <c r="AL693" s="5"/>
      <c r="AM693" s="5"/>
      <c r="AN693" s="4"/>
      <c r="AO693" s="5"/>
      <c r="AP693" s="5"/>
      <c r="AQ693" s="5"/>
      <c r="AR693" s="22"/>
      <c r="AS693" s="4"/>
      <c r="AT693" s="5"/>
      <c r="AU693" s="5"/>
      <c r="AV693" s="5"/>
    </row>
    <row r="694" spans="1:48" ht="12.7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4"/>
      <c r="V694" s="22"/>
      <c r="W694" s="5"/>
      <c r="X694" s="5"/>
      <c r="Y694" s="5"/>
      <c r="Z694" s="5"/>
      <c r="AA694" s="5"/>
      <c r="AB694" s="5"/>
      <c r="AC694" s="5"/>
      <c r="AD694" s="5"/>
      <c r="AE694" s="4"/>
      <c r="AF694" s="5"/>
      <c r="AG694" s="5"/>
      <c r="AH694" s="5"/>
      <c r="AI694" s="5"/>
      <c r="AJ694" s="5"/>
      <c r="AK694" s="5"/>
      <c r="AL694" s="5"/>
      <c r="AM694" s="5"/>
      <c r="AN694" s="4"/>
      <c r="AO694" s="5"/>
      <c r="AP694" s="5"/>
      <c r="AQ694" s="5"/>
      <c r="AR694" s="22"/>
      <c r="AS694" s="4"/>
      <c r="AT694" s="5"/>
      <c r="AU694" s="5"/>
      <c r="AV694" s="5"/>
    </row>
    <row r="695" spans="1:48" ht="12.7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4"/>
      <c r="V695" s="22"/>
      <c r="W695" s="5"/>
      <c r="X695" s="5"/>
      <c r="Y695" s="5"/>
      <c r="Z695" s="5"/>
      <c r="AA695" s="5"/>
      <c r="AB695" s="5"/>
      <c r="AC695" s="5"/>
      <c r="AD695" s="5"/>
      <c r="AE695" s="4"/>
      <c r="AF695" s="5"/>
      <c r="AG695" s="5"/>
      <c r="AH695" s="5"/>
      <c r="AI695" s="5"/>
      <c r="AJ695" s="5"/>
      <c r="AK695" s="5"/>
      <c r="AL695" s="5"/>
      <c r="AM695" s="5"/>
      <c r="AN695" s="4"/>
      <c r="AO695" s="5"/>
      <c r="AP695" s="5"/>
      <c r="AQ695" s="5"/>
      <c r="AR695" s="22"/>
      <c r="AS695" s="4"/>
      <c r="AT695" s="5"/>
      <c r="AU695" s="5"/>
      <c r="AV695" s="5"/>
    </row>
    <row r="696" spans="1:48" ht="12.7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4"/>
      <c r="V696" s="22"/>
      <c r="W696" s="5"/>
      <c r="X696" s="5"/>
      <c r="Y696" s="5"/>
      <c r="Z696" s="5"/>
      <c r="AA696" s="5"/>
      <c r="AB696" s="5"/>
      <c r="AC696" s="5"/>
      <c r="AD696" s="5"/>
      <c r="AE696" s="4"/>
      <c r="AF696" s="5"/>
      <c r="AG696" s="5"/>
      <c r="AH696" s="5"/>
      <c r="AI696" s="5"/>
      <c r="AJ696" s="5"/>
      <c r="AK696" s="5"/>
      <c r="AL696" s="5"/>
      <c r="AM696" s="5"/>
      <c r="AN696" s="4"/>
      <c r="AO696" s="5"/>
      <c r="AP696" s="5"/>
      <c r="AQ696" s="5"/>
      <c r="AR696" s="22"/>
      <c r="AS696" s="4"/>
      <c r="AT696" s="5"/>
      <c r="AU696" s="5"/>
      <c r="AV696" s="5"/>
    </row>
    <row r="697" spans="1:48" ht="12.7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4"/>
      <c r="V697" s="22"/>
      <c r="W697" s="5"/>
      <c r="X697" s="5"/>
      <c r="Y697" s="5"/>
      <c r="Z697" s="5"/>
      <c r="AA697" s="5"/>
      <c r="AB697" s="5"/>
      <c r="AC697" s="5"/>
      <c r="AD697" s="5"/>
      <c r="AE697" s="4"/>
      <c r="AF697" s="5"/>
      <c r="AG697" s="5"/>
      <c r="AH697" s="5"/>
      <c r="AI697" s="5"/>
      <c r="AJ697" s="5"/>
      <c r="AK697" s="5"/>
      <c r="AL697" s="5"/>
      <c r="AM697" s="5"/>
      <c r="AN697" s="4"/>
      <c r="AO697" s="5"/>
      <c r="AP697" s="5"/>
      <c r="AQ697" s="5"/>
      <c r="AR697" s="22"/>
      <c r="AS697" s="4"/>
      <c r="AT697" s="5"/>
      <c r="AU697" s="5"/>
      <c r="AV697" s="5"/>
    </row>
    <row r="698" spans="1:48" ht="12.7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4"/>
      <c r="V698" s="22"/>
      <c r="W698" s="5"/>
      <c r="X698" s="5"/>
      <c r="Y698" s="5"/>
      <c r="Z698" s="5"/>
      <c r="AA698" s="5"/>
      <c r="AB698" s="5"/>
      <c r="AC698" s="5"/>
      <c r="AD698" s="5"/>
      <c r="AE698" s="4"/>
      <c r="AF698" s="5"/>
      <c r="AG698" s="5"/>
      <c r="AH698" s="5"/>
      <c r="AI698" s="5"/>
      <c r="AJ698" s="5"/>
      <c r="AK698" s="5"/>
      <c r="AL698" s="5"/>
      <c r="AM698" s="5"/>
      <c r="AN698" s="4"/>
      <c r="AO698" s="5"/>
      <c r="AP698" s="5"/>
      <c r="AQ698" s="5"/>
      <c r="AR698" s="22"/>
      <c r="AS698" s="4"/>
      <c r="AT698" s="5"/>
      <c r="AU698" s="5"/>
      <c r="AV698" s="5"/>
    </row>
    <row r="699" spans="1:48" ht="12.7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4"/>
      <c r="V699" s="22"/>
      <c r="W699" s="5"/>
      <c r="X699" s="5"/>
      <c r="Y699" s="5"/>
      <c r="Z699" s="5"/>
      <c r="AA699" s="5"/>
      <c r="AB699" s="5"/>
      <c r="AC699" s="5"/>
      <c r="AD699" s="5"/>
      <c r="AE699" s="4"/>
      <c r="AF699" s="5"/>
      <c r="AG699" s="5"/>
      <c r="AH699" s="5"/>
      <c r="AI699" s="5"/>
      <c r="AJ699" s="5"/>
      <c r="AK699" s="5"/>
      <c r="AL699" s="5"/>
      <c r="AM699" s="5"/>
      <c r="AN699" s="4"/>
      <c r="AO699" s="5"/>
      <c r="AP699" s="5"/>
      <c r="AQ699" s="5"/>
      <c r="AR699" s="22"/>
      <c r="AS699" s="4"/>
      <c r="AT699" s="5"/>
      <c r="AU699" s="5"/>
      <c r="AV699" s="5"/>
    </row>
    <row r="700" spans="1:48" ht="12.7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4"/>
      <c r="V700" s="22"/>
      <c r="W700" s="5"/>
      <c r="X700" s="5"/>
      <c r="Y700" s="5"/>
      <c r="Z700" s="5"/>
      <c r="AA700" s="5"/>
      <c r="AB700" s="5"/>
      <c r="AC700" s="5"/>
      <c r="AD700" s="5"/>
      <c r="AE700" s="4"/>
      <c r="AF700" s="5"/>
      <c r="AG700" s="5"/>
      <c r="AH700" s="5"/>
      <c r="AI700" s="5"/>
      <c r="AJ700" s="5"/>
      <c r="AK700" s="5"/>
      <c r="AL700" s="5"/>
      <c r="AM700" s="5"/>
      <c r="AN700" s="4"/>
      <c r="AO700" s="5"/>
      <c r="AP700" s="5"/>
      <c r="AQ700" s="5"/>
      <c r="AR700" s="22"/>
      <c r="AS700" s="4"/>
      <c r="AT700" s="5"/>
      <c r="AU700" s="5"/>
      <c r="AV700" s="5"/>
    </row>
    <row r="701" spans="1:48" ht="12.7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4"/>
      <c r="V701" s="22"/>
      <c r="W701" s="5"/>
      <c r="X701" s="5"/>
      <c r="Y701" s="5"/>
      <c r="Z701" s="5"/>
      <c r="AA701" s="5"/>
      <c r="AB701" s="5"/>
      <c r="AC701" s="5"/>
      <c r="AD701" s="5"/>
      <c r="AE701" s="4"/>
      <c r="AF701" s="5"/>
      <c r="AG701" s="5"/>
      <c r="AH701" s="5"/>
      <c r="AI701" s="5"/>
      <c r="AJ701" s="5"/>
      <c r="AK701" s="5"/>
      <c r="AL701" s="5"/>
      <c r="AM701" s="5"/>
      <c r="AN701" s="4"/>
      <c r="AO701" s="5"/>
      <c r="AP701" s="5"/>
      <c r="AQ701" s="5"/>
      <c r="AR701" s="22"/>
      <c r="AS701" s="4"/>
      <c r="AT701" s="5"/>
      <c r="AU701" s="5"/>
      <c r="AV701" s="5"/>
    </row>
    <row r="702" spans="1:48" ht="12.7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4"/>
      <c r="V702" s="22"/>
      <c r="W702" s="5"/>
      <c r="X702" s="5"/>
      <c r="Y702" s="5"/>
      <c r="Z702" s="5"/>
      <c r="AA702" s="5"/>
      <c r="AB702" s="5"/>
      <c r="AC702" s="5"/>
      <c r="AD702" s="5"/>
      <c r="AE702" s="4"/>
      <c r="AF702" s="5"/>
      <c r="AG702" s="5"/>
      <c r="AH702" s="5"/>
      <c r="AI702" s="5"/>
      <c r="AJ702" s="5"/>
      <c r="AK702" s="5"/>
      <c r="AL702" s="5"/>
      <c r="AM702" s="5"/>
      <c r="AN702" s="4"/>
      <c r="AO702" s="5"/>
      <c r="AP702" s="5"/>
      <c r="AQ702" s="5"/>
      <c r="AR702" s="22"/>
      <c r="AS702" s="4"/>
      <c r="AT702" s="5"/>
      <c r="AU702" s="5"/>
      <c r="AV702" s="5"/>
    </row>
    <row r="703" spans="1:48" ht="12.7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4"/>
      <c r="V703" s="22"/>
      <c r="W703" s="5"/>
      <c r="X703" s="5"/>
      <c r="Y703" s="5"/>
      <c r="Z703" s="5"/>
      <c r="AA703" s="5"/>
      <c r="AB703" s="5"/>
      <c r="AC703" s="5"/>
      <c r="AD703" s="5"/>
      <c r="AE703" s="4"/>
      <c r="AF703" s="5"/>
      <c r="AG703" s="5"/>
      <c r="AH703" s="5"/>
      <c r="AI703" s="5"/>
      <c r="AJ703" s="5"/>
      <c r="AK703" s="5"/>
      <c r="AL703" s="5"/>
      <c r="AM703" s="5"/>
      <c r="AN703" s="4"/>
      <c r="AO703" s="5"/>
      <c r="AP703" s="5"/>
      <c r="AQ703" s="5"/>
      <c r="AR703" s="22"/>
      <c r="AS703" s="4"/>
      <c r="AT703" s="5"/>
      <c r="AU703" s="5"/>
      <c r="AV703" s="5"/>
    </row>
    <row r="704" spans="1:48" ht="12.7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4"/>
      <c r="V704" s="22"/>
      <c r="W704" s="5"/>
      <c r="X704" s="5"/>
      <c r="Y704" s="5"/>
      <c r="Z704" s="5"/>
      <c r="AA704" s="5"/>
      <c r="AB704" s="5"/>
      <c r="AC704" s="5"/>
      <c r="AD704" s="5"/>
      <c r="AE704" s="4"/>
      <c r="AF704" s="5"/>
      <c r="AG704" s="5"/>
      <c r="AH704" s="5"/>
      <c r="AI704" s="5"/>
      <c r="AJ704" s="5"/>
      <c r="AK704" s="5"/>
      <c r="AL704" s="5"/>
      <c r="AM704" s="5"/>
      <c r="AN704" s="4"/>
      <c r="AO704" s="5"/>
      <c r="AP704" s="5"/>
      <c r="AQ704" s="5"/>
      <c r="AR704" s="22"/>
      <c r="AS704" s="4"/>
      <c r="AT704" s="5"/>
      <c r="AU704" s="5"/>
      <c r="AV704" s="5"/>
    </row>
    <row r="705" spans="1:48" ht="12.7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4"/>
      <c r="V705" s="22"/>
      <c r="W705" s="5"/>
      <c r="X705" s="5"/>
      <c r="Y705" s="5"/>
      <c r="Z705" s="5"/>
      <c r="AA705" s="5"/>
      <c r="AB705" s="5"/>
      <c r="AC705" s="5"/>
      <c r="AD705" s="5"/>
      <c r="AE705" s="4"/>
      <c r="AF705" s="5"/>
      <c r="AG705" s="5"/>
      <c r="AH705" s="5"/>
      <c r="AI705" s="5"/>
      <c r="AJ705" s="5"/>
      <c r="AK705" s="5"/>
      <c r="AL705" s="5"/>
      <c r="AM705" s="5"/>
      <c r="AN705" s="4"/>
      <c r="AO705" s="5"/>
      <c r="AP705" s="5"/>
      <c r="AQ705" s="5"/>
      <c r="AR705" s="22"/>
      <c r="AS705" s="4"/>
      <c r="AT705" s="5"/>
      <c r="AU705" s="5"/>
      <c r="AV705" s="5"/>
    </row>
    <row r="706" spans="1:48" ht="12.7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4"/>
      <c r="V706" s="22"/>
      <c r="W706" s="5"/>
      <c r="X706" s="5"/>
      <c r="Y706" s="5"/>
      <c r="Z706" s="5"/>
      <c r="AA706" s="5"/>
      <c r="AB706" s="5"/>
      <c r="AC706" s="5"/>
      <c r="AD706" s="5"/>
      <c r="AE706" s="4"/>
      <c r="AF706" s="5"/>
      <c r="AG706" s="5"/>
      <c r="AH706" s="5"/>
      <c r="AI706" s="5"/>
      <c r="AJ706" s="5"/>
      <c r="AK706" s="5"/>
      <c r="AL706" s="5"/>
      <c r="AM706" s="5"/>
      <c r="AN706" s="4"/>
      <c r="AO706" s="5"/>
      <c r="AP706" s="5"/>
      <c r="AQ706" s="5"/>
      <c r="AR706" s="22"/>
      <c r="AS706" s="4"/>
      <c r="AT706" s="5"/>
      <c r="AU706" s="5"/>
      <c r="AV706" s="5"/>
    </row>
    <row r="707" spans="1:48" ht="12.7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4"/>
      <c r="V707" s="22"/>
      <c r="W707" s="5"/>
      <c r="X707" s="5"/>
      <c r="Y707" s="5"/>
      <c r="Z707" s="5"/>
      <c r="AA707" s="5"/>
      <c r="AB707" s="5"/>
      <c r="AC707" s="5"/>
      <c r="AD707" s="5"/>
      <c r="AE707" s="4"/>
      <c r="AF707" s="5"/>
      <c r="AG707" s="5"/>
      <c r="AH707" s="5"/>
      <c r="AI707" s="5"/>
      <c r="AJ707" s="5"/>
      <c r="AK707" s="5"/>
      <c r="AL707" s="5"/>
      <c r="AM707" s="5"/>
      <c r="AN707" s="4"/>
      <c r="AO707" s="5"/>
      <c r="AP707" s="5"/>
      <c r="AQ707" s="5"/>
      <c r="AR707" s="22"/>
      <c r="AS707" s="4"/>
      <c r="AT707" s="5"/>
      <c r="AU707" s="5"/>
      <c r="AV707" s="5"/>
    </row>
    <row r="708" spans="1:48" ht="12.7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4"/>
      <c r="V708" s="22"/>
      <c r="W708" s="5"/>
      <c r="X708" s="5"/>
      <c r="Y708" s="5"/>
      <c r="Z708" s="5"/>
      <c r="AA708" s="5"/>
      <c r="AB708" s="5"/>
      <c r="AC708" s="5"/>
      <c r="AD708" s="5"/>
      <c r="AE708" s="4"/>
      <c r="AF708" s="5"/>
      <c r="AG708" s="5"/>
      <c r="AH708" s="5"/>
      <c r="AI708" s="5"/>
      <c r="AJ708" s="5"/>
      <c r="AK708" s="5"/>
      <c r="AL708" s="5"/>
      <c r="AM708" s="5"/>
      <c r="AN708" s="4"/>
      <c r="AO708" s="5"/>
      <c r="AP708" s="5"/>
      <c r="AQ708" s="5"/>
      <c r="AR708" s="22"/>
      <c r="AS708" s="4"/>
      <c r="AT708" s="5"/>
      <c r="AU708" s="5"/>
      <c r="AV708" s="5"/>
    </row>
    <row r="709" spans="1:48" ht="12.7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4"/>
      <c r="V709" s="22"/>
      <c r="W709" s="5"/>
      <c r="X709" s="5"/>
      <c r="Y709" s="5"/>
      <c r="Z709" s="5"/>
      <c r="AA709" s="5"/>
      <c r="AB709" s="5"/>
      <c r="AC709" s="5"/>
      <c r="AD709" s="5"/>
      <c r="AE709" s="4"/>
      <c r="AF709" s="5"/>
      <c r="AG709" s="5"/>
      <c r="AH709" s="5"/>
      <c r="AI709" s="5"/>
      <c r="AJ709" s="5"/>
      <c r="AK709" s="5"/>
      <c r="AL709" s="5"/>
      <c r="AM709" s="5"/>
      <c r="AN709" s="4"/>
      <c r="AO709" s="5"/>
      <c r="AP709" s="5"/>
      <c r="AQ709" s="5"/>
      <c r="AR709" s="22"/>
      <c r="AS709" s="4"/>
      <c r="AT709" s="5"/>
      <c r="AU709" s="5"/>
      <c r="AV709" s="5"/>
    </row>
    <row r="710" spans="1:48" ht="12.7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4"/>
      <c r="V710" s="22"/>
      <c r="W710" s="5"/>
      <c r="X710" s="5"/>
      <c r="Y710" s="5"/>
      <c r="Z710" s="5"/>
      <c r="AA710" s="5"/>
      <c r="AB710" s="5"/>
      <c r="AC710" s="5"/>
      <c r="AD710" s="5"/>
      <c r="AE710" s="4"/>
      <c r="AF710" s="5"/>
      <c r="AG710" s="5"/>
      <c r="AH710" s="5"/>
      <c r="AI710" s="5"/>
      <c r="AJ710" s="5"/>
      <c r="AK710" s="5"/>
      <c r="AL710" s="5"/>
      <c r="AM710" s="5"/>
      <c r="AN710" s="4"/>
      <c r="AO710" s="5"/>
      <c r="AP710" s="5"/>
      <c r="AQ710" s="5"/>
      <c r="AR710" s="22"/>
      <c r="AS710" s="4"/>
      <c r="AT710" s="5"/>
      <c r="AU710" s="5"/>
      <c r="AV710" s="5"/>
    </row>
    <row r="711" spans="1:48" ht="12.7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4"/>
      <c r="V711" s="22"/>
      <c r="W711" s="5"/>
      <c r="X711" s="5"/>
      <c r="Y711" s="5"/>
      <c r="Z711" s="5"/>
      <c r="AA711" s="5"/>
      <c r="AB711" s="5"/>
      <c r="AC711" s="5"/>
      <c r="AD711" s="5"/>
      <c r="AE711" s="4"/>
      <c r="AF711" s="5"/>
      <c r="AG711" s="5"/>
      <c r="AH711" s="5"/>
      <c r="AI711" s="5"/>
      <c r="AJ711" s="5"/>
      <c r="AK711" s="5"/>
      <c r="AL711" s="5"/>
      <c r="AM711" s="5"/>
      <c r="AN711" s="4"/>
      <c r="AO711" s="5"/>
      <c r="AP711" s="5"/>
      <c r="AQ711" s="5"/>
      <c r="AR711" s="22"/>
      <c r="AS711" s="4"/>
      <c r="AT711" s="5"/>
      <c r="AU711" s="5"/>
      <c r="AV711" s="5"/>
    </row>
    <row r="712" spans="1:48" ht="12.7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4"/>
      <c r="V712" s="22"/>
      <c r="W712" s="5"/>
      <c r="X712" s="5"/>
      <c r="Y712" s="5"/>
      <c r="Z712" s="5"/>
      <c r="AA712" s="5"/>
      <c r="AB712" s="5"/>
      <c r="AC712" s="5"/>
      <c r="AD712" s="5"/>
      <c r="AE712" s="4"/>
      <c r="AF712" s="5"/>
      <c r="AG712" s="5"/>
      <c r="AH712" s="5"/>
      <c r="AI712" s="5"/>
      <c r="AJ712" s="5"/>
      <c r="AK712" s="5"/>
      <c r="AL712" s="5"/>
      <c r="AM712" s="5"/>
      <c r="AN712" s="4"/>
      <c r="AO712" s="5"/>
      <c r="AP712" s="5"/>
      <c r="AQ712" s="5"/>
      <c r="AR712" s="22"/>
      <c r="AS712" s="4"/>
      <c r="AT712" s="5"/>
      <c r="AU712" s="5"/>
      <c r="AV712" s="5"/>
    </row>
    <row r="713" spans="1:48" ht="12.7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4"/>
      <c r="V713" s="22"/>
      <c r="W713" s="5"/>
      <c r="X713" s="5"/>
      <c r="Y713" s="5"/>
      <c r="Z713" s="5"/>
      <c r="AA713" s="5"/>
      <c r="AB713" s="5"/>
      <c r="AC713" s="5"/>
      <c r="AD713" s="5"/>
      <c r="AE713" s="4"/>
      <c r="AF713" s="5"/>
      <c r="AG713" s="5"/>
      <c r="AH713" s="5"/>
      <c r="AI713" s="5"/>
      <c r="AJ713" s="5"/>
      <c r="AK713" s="5"/>
      <c r="AL713" s="5"/>
      <c r="AM713" s="5"/>
      <c r="AN713" s="4"/>
      <c r="AO713" s="5"/>
      <c r="AP713" s="5"/>
      <c r="AQ713" s="5"/>
      <c r="AR713" s="22"/>
      <c r="AS713" s="4"/>
      <c r="AT713" s="5"/>
      <c r="AU713" s="5"/>
      <c r="AV713" s="5"/>
    </row>
    <row r="714" spans="1:48" ht="12.7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4"/>
      <c r="V714" s="22"/>
      <c r="W714" s="5"/>
      <c r="X714" s="5"/>
      <c r="Y714" s="5"/>
      <c r="Z714" s="5"/>
      <c r="AA714" s="5"/>
      <c r="AB714" s="5"/>
      <c r="AC714" s="5"/>
      <c r="AD714" s="5"/>
      <c r="AE714" s="4"/>
      <c r="AF714" s="5"/>
      <c r="AG714" s="5"/>
      <c r="AH714" s="5"/>
      <c r="AI714" s="5"/>
      <c r="AJ714" s="5"/>
      <c r="AK714" s="5"/>
      <c r="AL714" s="5"/>
      <c r="AM714" s="5"/>
      <c r="AN714" s="4"/>
      <c r="AO714" s="5"/>
      <c r="AP714" s="5"/>
      <c r="AQ714" s="5"/>
      <c r="AR714" s="22"/>
      <c r="AS714" s="4"/>
      <c r="AT714" s="5"/>
      <c r="AU714" s="5"/>
      <c r="AV714" s="5"/>
    </row>
    <row r="715" spans="1:48" ht="12.7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4"/>
      <c r="V715" s="22"/>
      <c r="W715" s="5"/>
      <c r="X715" s="5"/>
      <c r="Y715" s="5"/>
      <c r="Z715" s="5"/>
      <c r="AA715" s="5"/>
      <c r="AB715" s="5"/>
      <c r="AC715" s="5"/>
      <c r="AD715" s="5"/>
      <c r="AE715" s="4"/>
      <c r="AF715" s="5"/>
      <c r="AG715" s="5"/>
      <c r="AH715" s="5"/>
      <c r="AI715" s="5"/>
      <c r="AJ715" s="5"/>
      <c r="AK715" s="5"/>
      <c r="AL715" s="5"/>
      <c r="AM715" s="5"/>
      <c r="AN715" s="4"/>
      <c r="AO715" s="5"/>
      <c r="AP715" s="5"/>
      <c r="AQ715" s="5"/>
      <c r="AR715" s="22"/>
      <c r="AS715" s="4"/>
      <c r="AT715" s="5"/>
      <c r="AU715" s="5"/>
      <c r="AV715" s="5"/>
    </row>
    <row r="716" spans="1:48" ht="12.7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4"/>
      <c r="V716" s="22"/>
      <c r="W716" s="5"/>
      <c r="X716" s="5"/>
      <c r="Y716" s="5"/>
      <c r="Z716" s="5"/>
      <c r="AA716" s="5"/>
      <c r="AB716" s="5"/>
      <c r="AC716" s="5"/>
      <c r="AD716" s="5"/>
      <c r="AE716" s="4"/>
      <c r="AF716" s="5"/>
      <c r="AG716" s="5"/>
      <c r="AH716" s="5"/>
      <c r="AI716" s="5"/>
      <c r="AJ716" s="5"/>
      <c r="AK716" s="5"/>
      <c r="AL716" s="5"/>
      <c r="AM716" s="5"/>
      <c r="AN716" s="4"/>
      <c r="AO716" s="5"/>
      <c r="AP716" s="5"/>
      <c r="AQ716" s="5"/>
      <c r="AR716" s="22"/>
      <c r="AS716" s="4"/>
      <c r="AT716" s="5"/>
      <c r="AU716" s="5"/>
      <c r="AV716" s="5"/>
    </row>
    <row r="717" spans="1:48" ht="12.7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4"/>
      <c r="V717" s="22"/>
      <c r="W717" s="5"/>
      <c r="X717" s="5"/>
      <c r="Y717" s="5"/>
      <c r="Z717" s="5"/>
      <c r="AA717" s="5"/>
      <c r="AB717" s="5"/>
      <c r="AC717" s="5"/>
      <c r="AD717" s="5"/>
      <c r="AE717" s="4"/>
      <c r="AF717" s="5"/>
      <c r="AG717" s="5"/>
      <c r="AH717" s="5"/>
      <c r="AI717" s="5"/>
      <c r="AJ717" s="5"/>
      <c r="AK717" s="5"/>
      <c r="AL717" s="5"/>
      <c r="AM717" s="5"/>
      <c r="AN717" s="4"/>
      <c r="AO717" s="5"/>
      <c r="AP717" s="5"/>
      <c r="AQ717" s="5"/>
      <c r="AR717" s="22"/>
      <c r="AS717" s="4"/>
      <c r="AT717" s="5"/>
      <c r="AU717" s="5"/>
      <c r="AV717" s="5"/>
    </row>
    <row r="718" spans="1:48" ht="12.7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4"/>
      <c r="V718" s="22"/>
      <c r="W718" s="5"/>
      <c r="X718" s="5"/>
      <c r="Y718" s="5"/>
      <c r="Z718" s="5"/>
      <c r="AA718" s="5"/>
      <c r="AB718" s="5"/>
      <c r="AC718" s="5"/>
      <c r="AD718" s="5"/>
      <c r="AE718" s="4"/>
      <c r="AF718" s="5"/>
      <c r="AG718" s="5"/>
      <c r="AH718" s="5"/>
      <c r="AI718" s="5"/>
      <c r="AJ718" s="5"/>
      <c r="AK718" s="5"/>
      <c r="AL718" s="5"/>
      <c r="AM718" s="5"/>
      <c r="AN718" s="4"/>
      <c r="AO718" s="5"/>
      <c r="AP718" s="5"/>
      <c r="AQ718" s="5"/>
      <c r="AR718" s="22"/>
      <c r="AS718" s="4"/>
      <c r="AT718" s="5"/>
      <c r="AU718" s="5"/>
      <c r="AV718" s="5"/>
    </row>
    <row r="719" spans="1:48" ht="12.7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4"/>
      <c r="V719" s="22"/>
      <c r="W719" s="5"/>
      <c r="X719" s="5"/>
      <c r="Y719" s="5"/>
      <c r="Z719" s="5"/>
      <c r="AA719" s="5"/>
      <c r="AB719" s="5"/>
      <c r="AC719" s="5"/>
      <c r="AD719" s="5"/>
      <c r="AE719" s="4"/>
      <c r="AF719" s="5"/>
      <c r="AG719" s="5"/>
      <c r="AH719" s="5"/>
      <c r="AI719" s="5"/>
      <c r="AJ719" s="5"/>
      <c r="AK719" s="5"/>
      <c r="AL719" s="5"/>
      <c r="AM719" s="5"/>
      <c r="AN719" s="4"/>
      <c r="AO719" s="5"/>
      <c r="AP719" s="5"/>
      <c r="AQ719" s="5"/>
      <c r="AR719" s="22"/>
      <c r="AS719" s="4"/>
      <c r="AT719" s="5"/>
      <c r="AU719" s="5"/>
      <c r="AV719" s="5"/>
    </row>
    <row r="720" spans="1:48" ht="12.7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4"/>
      <c r="V720" s="22"/>
      <c r="W720" s="5"/>
      <c r="X720" s="5"/>
      <c r="Y720" s="5"/>
      <c r="Z720" s="5"/>
      <c r="AA720" s="5"/>
      <c r="AB720" s="5"/>
      <c r="AC720" s="5"/>
      <c r="AD720" s="5"/>
      <c r="AE720" s="4"/>
      <c r="AF720" s="5"/>
      <c r="AG720" s="5"/>
      <c r="AH720" s="5"/>
      <c r="AI720" s="5"/>
      <c r="AJ720" s="5"/>
      <c r="AK720" s="5"/>
      <c r="AL720" s="5"/>
      <c r="AM720" s="5"/>
      <c r="AN720" s="4"/>
      <c r="AO720" s="5"/>
      <c r="AP720" s="5"/>
      <c r="AQ720" s="5"/>
      <c r="AR720" s="22"/>
      <c r="AS720" s="4"/>
      <c r="AT720" s="5"/>
      <c r="AU720" s="5"/>
      <c r="AV720" s="5"/>
    </row>
    <row r="721" spans="1:48" ht="12.7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4"/>
      <c r="V721" s="22"/>
      <c r="W721" s="5"/>
      <c r="X721" s="5"/>
      <c r="Y721" s="5"/>
      <c r="Z721" s="5"/>
      <c r="AA721" s="5"/>
      <c r="AB721" s="5"/>
      <c r="AC721" s="5"/>
      <c r="AD721" s="5"/>
      <c r="AE721" s="4"/>
      <c r="AF721" s="5"/>
      <c r="AG721" s="5"/>
      <c r="AH721" s="5"/>
      <c r="AI721" s="5"/>
      <c r="AJ721" s="5"/>
      <c r="AK721" s="5"/>
      <c r="AL721" s="5"/>
      <c r="AM721" s="5"/>
      <c r="AN721" s="4"/>
      <c r="AO721" s="5"/>
      <c r="AP721" s="5"/>
      <c r="AQ721" s="5"/>
      <c r="AR721" s="22"/>
      <c r="AS721" s="4"/>
      <c r="AT721" s="5"/>
      <c r="AU721" s="5"/>
      <c r="AV721" s="5"/>
    </row>
    <row r="722" spans="1:48" ht="12.7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4"/>
      <c r="V722" s="22"/>
      <c r="W722" s="5"/>
      <c r="X722" s="5"/>
      <c r="Y722" s="5"/>
      <c r="Z722" s="5"/>
      <c r="AA722" s="5"/>
      <c r="AB722" s="5"/>
      <c r="AC722" s="5"/>
      <c r="AD722" s="5"/>
      <c r="AE722" s="4"/>
      <c r="AF722" s="5"/>
      <c r="AG722" s="5"/>
      <c r="AH722" s="5"/>
      <c r="AI722" s="5"/>
      <c r="AJ722" s="5"/>
      <c r="AK722" s="5"/>
      <c r="AL722" s="5"/>
      <c r="AM722" s="5"/>
      <c r="AN722" s="4"/>
      <c r="AO722" s="5"/>
      <c r="AP722" s="5"/>
      <c r="AQ722" s="5"/>
      <c r="AR722" s="22"/>
      <c r="AS722" s="4"/>
      <c r="AT722" s="5"/>
      <c r="AU722" s="5"/>
      <c r="AV722" s="5"/>
    </row>
    <row r="723" spans="1:48" ht="12.7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4"/>
      <c r="V723" s="22"/>
      <c r="W723" s="5"/>
      <c r="X723" s="5"/>
      <c r="Y723" s="5"/>
      <c r="Z723" s="5"/>
      <c r="AA723" s="5"/>
      <c r="AB723" s="5"/>
      <c r="AC723" s="5"/>
      <c r="AD723" s="5"/>
      <c r="AE723" s="4"/>
      <c r="AF723" s="5"/>
      <c r="AG723" s="5"/>
      <c r="AH723" s="5"/>
      <c r="AI723" s="5"/>
      <c r="AJ723" s="5"/>
      <c r="AK723" s="5"/>
      <c r="AL723" s="5"/>
      <c r="AM723" s="5"/>
      <c r="AN723" s="4"/>
      <c r="AO723" s="5"/>
      <c r="AP723" s="5"/>
      <c r="AQ723" s="5"/>
      <c r="AR723" s="22"/>
      <c r="AS723" s="4"/>
      <c r="AT723" s="5"/>
      <c r="AU723" s="5"/>
      <c r="AV723" s="5"/>
    </row>
    <row r="724" spans="1:48" ht="12.7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4"/>
      <c r="V724" s="22"/>
      <c r="W724" s="5"/>
      <c r="X724" s="5"/>
      <c r="Y724" s="5"/>
      <c r="Z724" s="5"/>
      <c r="AA724" s="5"/>
      <c r="AB724" s="5"/>
      <c r="AC724" s="5"/>
      <c r="AD724" s="5"/>
      <c r="AE724" s="4"/>
      <c r="AF724" s="5"/>
      <c r="AG724" s="5"/>
      <c r="AH724" s="5"/>
      <c r="AI724" s="5"/>
      <c r="AJ724" s="5"/>
      <c r="AK724" s="5"/>
      <c r="AL724" s="5"/>
      <c r="AM724" s="5"/>
      <c r="AN724" s="4"/>
      <c r="AO724" s="5"/>
      <c r="AP724" s="5"/>
      <c r="AQ724" s="5"/>
      <c r="AR724" s="22"/>
      <c r="AS724" s="4"/>
      <c r="AT724" s="5"/>
      <c r="AU724" s="5"/>
      <c r="AV724" s="5"/>
    </row>
    <row r="725" spans="1:48" ht="12.7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4"/>
      <c r="V725" s="22"/>
      <c r="W725" s="5"/>
      <c r="X725" s="5"/>
      <c r="Y725" s="5"/>
      <c r="Z725" s="5"/>
      <c r="AA725" s="5"/>
      <c r="AB725" s="5"/>
      <c r="AC725" s="5"/>
      <c r="AD725" s="5"/>
      <c r="AE725" s="4"/>
      <c r="AF725" s="5"/>
      <c r="AG725" s="5"/>
      <c r="AH725" s="5"/>
      <c r="AI725" s="5"/>
      <c r="AJ725" s="5"/>
      <c r="AK725" s="5"/>
      <c r="AL725" s="5"/>
      <c r="AM725" s="5"/>
      <c r="AN725" s="4"/>
      <c r="AO725" s="5"/>
      <c r="AP725" s="5"/>
      <c r="AQ725" s="5"/>
      <c r="AR725" s="22"/>
      <c r="AS725" s="4"/>
      <c r="AT725" s="5"/>
      <c r="AU725" s="5"/>
      <c r="AV725" s="5"/>
    </row>
    <row r="726" spans="1:48" ht="12.7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4"/>
      <c r="V726" s="22"/>
      <c r="W726" s="5"/>
      <c r="X726" s="5"/>
      <c r="Y726" s="5"/>
      <c r="Z726" s="5"/>
      <c r="AA726" s="5"/>
      <c r="AB726" s="5"/>
      <c r="AC726" s="5"/>
      <c r="AD726" s="5"/>
      <c r="AE726" s="4"/>
      <c r="AF726" s="5"/>
      <c r="AG726" s="5"/>
      <c r="AH726" s="5"/>
      <c r="AI726" s="5"/>
      <c r="AJ726" s="5"/>
      <c r="AK726" s="5"/>
      <c r="AL726" s="5"/>
      <c r="AM726" s="5"/>
      <c r="AN726" s="4"/>
      <c r="AO726" s="5"/>
      <c r="AP726" s="5"/>
      <c r="AQ726" s="5"/>
      <c r="AR726" s="22"/>
      <c r="AS726" s="4"/>
      <c r="AT726" s="5"/>
      <c r="AU726" s="5"/>
      <c r="AV726" s="5"/>
    </row>
    <row r="727" spans="1:48" ht="12.7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4"/>
      <c r="V727" s="22"/>
      <c r="W727" s="5"/>
      <c r="X727" s="5"/>
      <c r="Y727" s="5"/>
      <c r="Z727" s="5"/>
      <c r="AA727" s="5"/>
      <c r="AB727" s="5"/>
      <c r="AC727" s="5"/>
      <c r="AD727" s="5"/>
      <c r="AE727" s="4"/>
      <c r="AF727" s="5"/>
      <c r="AG727" s="5"/>
      <c r="AH727" s="5"/>
      <c r="AI727" s="5"/>
      <c r="AJ727" s="5"/>
      <c r="AK727" s="5"/>
      <c r="AL727" s="5"/>
      <c r="AM727" s="5"/>
      <c r="AN727" s="4"/>
      <c r="AO727" s="5"/>
      <c r="AP727" s="5"/>
      <c r="AQ727" s="5"/>
      <c r="AR727" s="22"/>
      <c r="AS727" s="4"/>
      <c r="AT727" s="5"/>
      <c r="AU727" s="5"/>
      <c r="AV727" s="5"/>
    </row>
    <row r="728" spans="1:48" ht="12.7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4"/>
      <c r="V728" s="22"/>
      <c r="W728" s="5"/>
      <c r="X728" s="5"/>
      <c r="Y728" s="5"/>
      <c r="Z728" s="5"/>
      <c r="AA728" s="5"/>
      <c r="AB728" s="5"/>
      <c r="AC728" s="5"/>
      <c r="AD728" s="5"/>
      <c r="AE728" s="4"/>
      <c r="AF728" s="5"/>
      <c r="AG728" s="5"/>
      <c r="AH728" s="5"/>
      <c r="AI728" s="5"/>
      <c r="AJ728" s="5"/>
      <c r="AK728" s="5"/>
      <c r="AL728" s="5"/>
      <c r="AM728" s="5"/>
      <c r="AN728" s="4"/>
      <c r="AO728" s="5"/>
      <c r="AP728" s="5"/>
      <c r="AQ728" s="5"/>
      <c r="AR728" s="22"/>
      <c r="AS728" s="4"/>
      <c r="AT728" s="5"/>
      <c r="AU728" s="5"/>
      <c r="AV728" s="5"/>
    </row>
    <row r="729" spans="1:48" ht="12.7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4"/>
      <c r="V729" s="22"/>
      <c r="W729" s="5"/>
      <c r="X729" s="5"/>
      <c r="Y729" s="5"/>
      <c r="Z729" s="5"/>
      <c r="AA729" s="5"/>
      <c r="AB729" s="5"/>
      <c r="AC729" s="5"/>
      <c r="AD729" s="5"/>
      <c r="AE729" s="4"/>
      <c r="AF729" s="5"/>
      <c r="AG729" s="5"/>
      <c r="AH729" s="5"/>
      <c r="AI729" s="5"/>
      <c r="AJ729" s="5"/>
      <c r="AK729" s="5"/>
      <c r="AL729" s="5"/>
      <c r="AM729" s="5"/>
      <c r="AN729" s="4"/>
      <c r="AO729" s="5"/>
      <c r="AP729" s="5"/>
      <c r="AQ729" s="5"/>
      <c r="AR729" s="22"/>
      <c r="AS729" s="4"/>
      <c r="AT729" s="5"/>
      <c r="AU729" s="5"/>
      <c r="AV729" s="5"/>
    </row>
    <row r="730" spans="1:48" ht="12.7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4"/>
      <c r="V730" s="22"/>
      <c r="W730" s="5"/>
      <c r="X730" s="5"/>
      <c r="Y730" s="5"/>
      <c r="Z730" s="5"/>
      <c r="AA730" s="5"/>
      <c r="AB730" s="5"/>
      <c r="AC730" s="5"/>
      <c r="AD730" s="5"/>
      <c r="AE730" s="4"/>
      <c r="AF730" s="5"/>
      <c r="AG730" s="5"/>
      <c r="AH730" s="5"/>
      <c r="AI730" s="5"/>
      <c r="AJ730" s="5"/>
      <c r="AK730" s="5"/>
      <c r="AL730" s="5"/>
      <c r="AM730" s="5"/>
      <c r="AN730" s="4"/>
      <c r="AO730" s="5"/>
      <c r="AP730" s="5"/>
      <c r="AQ730" s="5"/>
      <c r="AR730" s="22"/>
      <c r="AS730" s="4"/>
      <c r="AT730" s="5"/>
      <c r="AU730" s="5"/>
      <c r="AV730" s="5"/>
    </row>
    <row r="731" spans="1:48" ht="12.7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4"/>
      <c r="V731" s="22"/>
      <c r="W731" s="5"/>
      <c r="X731" s="5"/>
      <c r="Y731" s="5"/>
      <c r="Z731" s="5"/>
      <c r="AA731" s="5"/>
      <c r="AB731" s="5"/>
      <c r="AC731" s="5"/>
      <c r="AD731" s="5"/>
      <c r="AE731" s="4"/>
      <c r="AF731" s="5"/>
      <c r="AG731" s="5"/>
      <c r="AH731" s="5"/>
      <c r="AI731" s="5"/>
      <c r="AJ731" s="5"/>
      <c r="AK731" s="5"/>
      <c r="AL731" s="5"/>
      <c r="AM731" s="5"/>
      <c r="AN731" s="4"/>
      <c r="AO731" s="5"/>
      <c r="AP731" s="5"/>
      <c r="AQ731" s="5"/>
      <c r="AR731" s="22"/>
      <c r="AS731" s="4"/>
      <c r="AT731" s="5"/>
      <c r="AU731" s="5"/>
      <c r="AV731" s="5"/>
    </row>
    <row r="732" spans="1:48" ht="12.7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4"/>
      <c r="V732" s="22"/>
      <c r="W732" s="5"/>
      <c r="X732" s="5"/>
      <c r="Y732" s="5"/>
      <c r="Z732" s="5"/>
      <c r="AA732" s="5"/>
      <c r="AB732" s="5"/>
      <c r="AC732" s="5"/>
      <c r="AD732" s="5"/>
      <c r="AE732" s="4"/>
      <c r="AF732" s="5"/>
      <c r="AG732" s="5"/>
      <c r="AH732" s="5"/>
      <c r="AI732" s="5"/>
      <c r="AJ732" s="5"/>
      <c r="AK732" s="5"/>
      <c r="AL732" s="5"/>
      <c r="AM732" s="5"/>
      <c r="AN732" s="4"/>
      <c r="AO732" s="5"/>
      <c r="AP732" s="5"/>
      <c r="AQ732" s="5"/>
      <c r="AR732" s="22"/>
      <c r="AS732" s="4"/>
      <c r="AT732" s="5"/>
      <c r="AU732" s="5"/>
      <c r="AV732" s="5"/>
    </row>
    <row r="733" spans="1:48" ht="12.7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4"/>
      <c r="V733" s="22"/>
      <c r="W733" s="5"/>
      <c r="X733" s="5"/>
      <c r="Y733" s="5"/>
      <c r="Z733" s="5"/>
      <c r="AA733" s="5"/>
      <c r="AB733" s="5"/>
      <c r="AC733" s="5"/>
      <c r="AD733" s="5"/>
      <c r="AE733" s="4"/>
      <c r="AF733" s="5"/>
      <c r="AG733" s="5"/>
      <c r="AH733" s="5"/>
      <c r="AI733" s="5"/>
      <c r="AJ733" s="5"/>
      <c r="AK733" s="5"/>
      <c r="AL733" s="5"/>
      <c r="AM733" s="5"/>
      <c r="AN733" s="4"/>
      <c r="AO733" s="5"/>
      <c r="AP733" s="5"/>
      <c r="AQ733" s="5"/>
      <c r="AR733" s="22"/>
      <c r="AS733" s="4"/>
      <c r="AT733" s="5"/>
      <c r="AU733" s="5"/>
      <c r="AV733" s="5"/>
    </row>
    <row r="734" spans="1:48" ht="12.7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4"/>
      <c r="V734" s="22"/>
      <c r="W734" s="5"/>
      <c r="X734" s="5"/>
      <c r="Y734" s="5"/>
      <c r="Z734" s="5"/>
      <c r="AA734" s="5"/>
      <c r="AB734" s="5"/>
      <c r="AC734" s="5"/>
      <c r="AD734" s="5"/>
      <c r="AE734" s="4"/>
      <c r="AF734" s="5"/>
      <c r="AG734" s="5"/>
      <c r="AH734" s="5"/>
      <c r="AI734" s="5"/>
      <c r="AJ734" s="5"/>
      <c r="AK734" s="5"/>
      <c r="AL734" s="5"/>
      <c r="AM734" s="5"/>
      <c r="AN734" s="4"/>
      <c r="AO734" s="5"/>
      <c r="AP734" s="5"/>
      <c r="AQ734" s="5"/>
      <c r="AR734" s="22"/>
      <c r="AS734" s="4"/>
      <c r="AT734" s="5"/>
      <c r="AU734" s="5"/>
      <c r="AV734" s="5"/>
    </row>
    <row r="735" spans="1:48" ht="12.7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4"/>
      <c r="V735" s="22"/>
      <c r="W735" s="5"/>
      <c r="X735" s="5"/>
      <c r="Y735" s="5"/>
      <c r="Z735" s="5"/>
      <c r="AA735" s="5"/>
      <c r="AB735" s="5"/>
      <c r="AC735" s="5"/>
      <c r="AD735" s="5"/>
      <c r="AE735" s="4"/>
      <c r="AF735" s="5"/>
      <c r="AG735" s="5"/>
      <c r="AH735" s="5"/>
      <c r="AI735" s="5"/>
      <c r="AJ735" s="5"/>
      <c r="AK735" s="5"/>
      <c r="AL735" s="5"/>
      <c r="AM735" s="5"/>
      <c r="AN735" s="4"/>
      <c r="AO735" s="5"/>
      <c r="AP735" s="5"/>
      <c r="AQ735" s="5"/>
      <c r="AR735" s="22"/>
      <c r="AS735" s="4"/>
      <c r="AT735" s="5"/>
      <c r="AU735" s="5"/>
      <c r="AV735" s="5"/>
    </row>
    <row r="736" spans="1:48" ht="12.7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4"/>
      <c r="V736" s="22"/>
      <c r="W736" s="5"/>
      <c r="X736" s="5"/>
      <c r="Y736" s="5"/>
      <c r="Z736" s="5"/>
      <c r="AA736" s="5"/>
      <c r="AB736" s="5"/>
      <c r="AC736" s="5"/>
      <c r="AD736" s="5"/>
      <c r="AE736" s="4"/>
      <c r="AF736" s="5"/>
      <c r="AG736" s="5"/>
      <c r="AH736" s="5"/>
      <c r="AI736" s="5"/>
      <c r="AJ736" s="5"/>
      <c r="AK736" s="5"/>
      <c r="AL736" s="5"/>
      <c r="AM736" s="5"/>
      <c r="AN736" s="4"/>
      <c r="AO736" s="5"/>
      <c r="AP736" s="5"/>
      <c r="AQ736" s="5"/>
      <c r="AR736" s="22"/>
      <c r="AS736" s="4"/>
      <c r="AT736" s="5"/>
      <c r="AU736" s="5"/>
      <c r="AV736" s="5"/>
    </row>
    <row r="737" spans="1:48" ht="12.7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4"/>
      <c r="V737" s="22"/>
      <c r="W737" s="5"/>
      <c r="X737" s="5"/>
      <c r="Y737" s="5"/>
      <c r="Z737" s="5"/>
      <c r="AA737" s="5"/>
      <c r="AB737" s="5"/>
      <c r="AC737" s="5"/>
      <c r="AD737" s="5"/>
      <c r="AE737" s="4"/>
      <c r="AF737" s="5"/>
      <c r="AG737" s="5"/>
      <c r="AH737" s="5"/>
      <c r="AI737" s="5"/>
      <c r="AJ737" s="5"/>
      <c r="AK737" s="5"/>
      <c r="AL737" s="5"/>
      <c r="AM737" s="5"/>
      <c r="AN737" s="4"/>
      <c r="AO737" s="5"/>
      <c r="AP737" s="5"/>
      <c r="AQ737" s="5"/>
      <c r="AR737" s="22"/>
      <c r="AS737" s="4"/>
      <c r="AT737" s="5"/>
      <c r="AU737" s="5"/>
      <c r="AV737" s="5"/>
    </row>
    <row r="738" spans="1:48" ht="12.7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4"/>
      <c r="V738" s="22"/>
      <c r="W738" s="5"/>
      <c r="X738" s="5"/>
      <c r="Y738" s="5"/>
      <c r="Z738" s="5"/>
      <c r="AA738" s="5"/>
      <c r="AB738" s="5"/>
      <c r="AC738" s="5"/>
      <c r="AD738" s="5"/>
      <c r="AE738" s="4"/>
      <c r="AF738" s="5"/>
      <c r="AG738" s="5"/>
      <c r="AH738" s="5"/>
      <c r="AI738" s="5"/>
      <c r="AJ738" s="5"/>
      <c r="AK738" s="5"/>
      <c r="AL738" s="5"/>
      <c r="AM738" s="5"/>
      <c r="AN738" s="4"/>
      <c r="AO738" s="5"/>
      <c r="AP738" s="5"/>
      <c r="AQ738" s="5"/>
      <c r="AR738" s="22"/>
      <c r="AS738" s="4"/>
      <c r="AT738" s="5"/>
      <c r="AU738" s="5"/>
      <c r="AV738" s="5"/>
    </row>
    <row r="739" spans="1:48" ht="12.7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4"/>
      <c r="V739" s="22"/>
      <c r="W739" s="5"/>
      <c r="X739" s="5"/>
      <c r="Y739" s="5"/>
      <c r="Z739" s="5"/>
      <c r="AA739" s="5"/>
      <c r="AB739" s="5"/>
      <c r="AC739" s="5"/>
      <c r="AD739" s="5"/>
      <c r="AE739" s="4"/>
      <c r="AF739" s="5"/>
      <c r="AG739" s="5"/>
      <c r="AH739" s="5"/>
      <c r="AI739" s="5"/>
      <c r="AJ739" s="5"/>
      <c r="AK739" s="5"/>
      <c r="AL739" s="5"/>
      <c r="AM739" s="5"/>
      <c r="AN739" s="4"/>
      <c r="AO739" s="5"/>
      <c r="AP739" s="5"/>
      <c r="AQ739" s="5"/>
      <c r="AR739" s="22"/>
      <c r="AS739" s="4"/>
      <c r="AT739" s="5"/>
      <c r="AU739" s="5"/>
      <c r="AV739" s="5"/>
    </row>
    <row r="740" spans="1:48" ht="12.7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4"/>
      <c r="V740" s="22"/>
      <c r="W740" s="5"/>
      <c r="X740" s="5"/>
      <c r="Y740" s="5"/>
      <c r="Z740" s="5"/>
      <c r="AA740" s="5"/>
      <c r="AB740" s="5"/>
      <c r="AC740" s="5"/>
      <c r="AD740" s="5"/>
      <c r="AE740" s="4"/>
      <c r="AF740" s="5"/>
      <c r="AG740" s="5"/>
      <c r="AH740" s="5"/>
      <c r="AI740" s="5"/>
      <c r="AJ740" s="5"/>
      <c r="AK740" s="5"/>
      <c r="AL740" s="5"/>
      <c r="AM740" s="5"/>
      <c r="AN740" s="4"/>
      <c r="AO740" s="5"/>
      <c r="AP740" s="5"/>
      <c r="AQ740" s="5"/>
      <c r="AR740" s="22"/>
      <c r="AS740" s="4"/>
      <c r="AT740" s="5"/>
      <c r="AU740" s="5"/>
      <c r="AV740" s="5"/>
    </row>
    <row r="741" spans="1:48" ht="12.7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4"/>
      <c r="V741" s="22"/>
      <c r="W741" s="5"/>
      <c r="X741" s="5"/>
      <c r="Y741" s="5"/>
      <c r="Z741" s="5"/>
      <c r="AA741" s="5"/>
      <c r="AB741" s="5"/>
      <c r="AC741" s="5"/>
      <c r="AD741" s="5"/>
      <c r="AE741" s="4"/>
      <c r="AF741" s="5"/>
      <c r="AG741" s="5"/>
      <c r="AH741" s="5"/>
      <c r="AI741" s="5"/>
      <c r="AJ741" s="5"/>
      <c r="AK741" s="5"/>
      <c r="AL741" s="5"/>
      <c r="AM741" s="5"/>
      <c r="AN741" s="4"/>
      <c r="AO741" s="5"/>
      <c r="AP741" s="5"/>
      <c r="AQ741" s="5"/>
      <c r="AR741" s="22"/>
      <c r="AS741" s="4"/>
      <c r="AT741" s="5"/>
      <c r="AU741" s="5"/>
      <c r="AV741" s="5"/>
    </row>
    <row r="742" spans="1:48" ht="12.7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4"/>
      <c r="V742" s="22"/>
      <c r="W742" s="5"/>
      <c r="X742" s="5"/>
      <c r="Y742" s="5"/>
      <c r="Z742" s="5"/>
      <c r="AA742" s="5"/>
      <c r="AB742" s="5"/>
      <c r="AC742" s="5"/>
      <c r="AD742" s="5"/>
      <c r="AE742" s="4"/>
      <c r="AF742" s="5"/>
      <c r="AG742" s="5"/>
      <c r="AH742" s="5"/>
      <c r="AI742" s="5"/>
      <c r="AJ742" s="5"/>
      <c r="AK742" s="5"/>
      <c r="AL742" s="5"/>
      <c r="AM742" s="5"/>
      <c r="AN742" s="4"/>
      <c r="AO742" s="5"/>
      <c r="AP742" s="5"/>
      <c r="AQ742" s="5"/>
      <c r="AR742" s="22"/>
      <c r="AS742" s="4"/>
      <c r="AT742" s="5"/>
      <c r="AU742" s="5"/>
      <c r="AV742" s="5"/>
    </row>
    <row r="743" spans="1:48" ht="12.7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4"/>
      <c r="V743" s="22"/>
      <c r="W743" s="5"/>
      <c r="X743" s="5"/>
      <c r="Y743" s="5"/>
      <c r="Z743" s="5"/>
      <c r="AA743" s="5"/>
      <c r="AB743" s="5"/>
      <c r="AC743" s="5"/>
      <c r="AD743" s="5"/>
      <c r="AE743" s="4"/>
      <c r="AF743" s="5"/>
      <c r="AG743" s="5"/>
      <c r="AH743" s="5"/>
      <c r="AI743" s="5"/>
      <c r="AJ743" s="5"/>
      <c r="AK743" s="5"/>
      <c r="AL743" s="5"/>
      <c r="AM743" s="5"/>
      <c r="AN743" s="4"/>
      <c r="AO743" s="5"/>
      <c r="AP743" s="5"/>
      <c r="AQ743" s="5"/>
      <c r="AR743" s="22"/>
      <c r="AS743" s="4"/>
      <c r="AT743" s="5"/>
      <c r="AU743" s="5"/>
      <c r="AV743" s="5"/>
    </row>
    <row r="744" spans="1:48" ht="12.7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4"/>
      <c r="V744" s="22"/>
      <c r="W744" s="5"/>
      <c r="X744" s="5"/>
      <c r="Y744" s="5"/>
      <c r="Z744" s="5"/>
      <c r="AA744" s="5"/>
      <c r="AB744" s="5"/>
      <c r="AC744" s="5"/>
      <c r="AD744" s="5"/>
      <c r="AE744" s="4"/>
      <c r="AF744" s="5"/>
      <c r="AG744" s="5"/>
      <c r="AH744" s="5"/>
      <c r="AI744" s="5"/>
      <c r="AJ744" s="5"/>
      <c r="AK744" s="5"/>
      <c r="AL744" s="5"/>
      <c r="AM744" s="5"/>
      <c r="AN744" s="4"/>
      <c r="AO744" s="5"/>
      <c r="AP744" s="5"/>
      <c r="AQ744" s="5"/>
      <c r="AR744" s="22"/>
      <c r="AS744" s="4"/>
      <c r="AT744" s="5"/>
      <c r="AU744" s="5"/>
      <c r="AV744" s="5"/>
    </row>
    <row r="745" spans="1:48" ht="12.7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4"/>
      <c r="V745" s="22"/>
      <c r="W745" s="5"/>
      <c r="X745" s="5"/>
      <c r="Y745" s="5"/>
      <c r="Z745" s="5"/>
      <c r="AA745" s="5"/>
      <c r="AB745" s="5"/>
      <c r="AC745" s="5"/>
      <c r="AD745" s="5"/>
      <c r="AE745" s="4"/>
      <c r="AF745" s="5"/>
      <c r="AG745" s="5"/>
      <c r="AH745" s="5"/>
      <c r="AI745" s="5"/>
      <c r="AJ745" s="5"/>
      <c r="AK745" s="5"/>
      <c r="AL745" s="5"/>
      <c r="AM745" s="5"/>
      <c r="AN745" s="4"/>
      <c r="AO745" s="5"/>
      <c r="AP745" s="5"/>
      <c r="AQ745" s="5"/>
      <c r="AR745" s="22"/>
      <c r="AS745" s="4"/>
      <c r="AT745" s="5"/>
      <c r="AU745" s="5"/>
      <c r="AV745" s="5"/>
    </row>
    <row r="746" spans="1:48" ht="12.7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4"/>
      <c r="V746" s="22"/>
      <c r="W746" s="5"/>
      <c r="X746" s="5"/>
      <c r="Y746" s="5"/>
      <c r="Z746" s="5"/>
      <c r="AA746" s="5"/>
      <c r="AB746" s="5"/>
      <c r="AC746" s="5"/>
      <c r="AD746" s="5"/>
      <c r="AE746" s="4"/>
      <c r="AF746" s="5"/>
      <c r="AG746" s="5"/>
      <c r="AH746" s="5"/>
      <c r="AI746" s="5"/>
      <c r="AJ746" s="5"/>
      <c r="AK746" s="5"/>
      <c r="AL746" s="5"/>
      <c r="AM746" s="5"/>
      <c r="AN746" s="4"/>
      <c r="AO746" s="5"/>
      <c r="AP746" s="5"/>
      <c r="AQ746" s="5"/>
      <c r="AR746" s="22"/>
      <c r="AS746" s="4"/>
      <c r="AT746" s="5"/>
      <c r="AU746" s="5"/>
      <c r="AV746" s="5"/>
    </row>
    <row r="747" spans="1:48" ht="12.7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4"/>
      <c r="V747" s="22"/>
      <c r="W747" s="5"/>
      <c r="X747" s="5"/>
      <c r="Y747" s="5"/>
      <c r="Z747" s="5"/>
      <c r="AA747" s="5"/>
      <c r="AB747" s="5"/>
      <c r="AC747" s="5"/>
      <c r="AD747" s="5"/>
      <c r="AE747" s="4"/>
      <c r="AF747" s="5"/>
      <c r="AG747" s="5"/>
      <c r="AH747" s="5"/>
      <c r="AI747" s="5"/>
      <c r="AJ747" s="5"/>
      <c r="AK747" s="5"/>
      <c r="AL747" s="5"/>
      <c r="AM747" s="5"/>
      <c r="AN747" s="4"/>
      <c r="AO747" s="5"/>
      <c r="AP747" s="5"/>
      <c r="AQ747" s="5"/>
      <c r="AR747" s="22"/>
      <c r="AS747" s="4"/>
      <c r="AT747" s="5"/>
      <c r="AU747" s="5"/>
      <c r="AV747" s="5"/>
    </row>
    <row r="748" spans="1:48" ht="12.7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4"/>
      <c r="V748" s="22"/>
      <c r="W748" s="5"/>
      <c r="X748" s="5"/>
      <c r="Y748" s="5"/>
      <c r="Z748" s="5"/>
      <c r="AA748" s="5"/>
      <c r="AB748" s="5"/>
      <c r="AC748" s="5"/>
      <c r="AD748" s="5"/>
      <c r="AE748" s="4"/>
      <c r="AF748" s="5"/>
      <c r="AG748" s="5"/>
      <c r="AH748" s="5"/>
      <c r="AI748" s="5"/>
      <c r="AJ748" s="5"/>
      <c r="AK748" s="5"/>
      <c r="AL748" s="5"/>
      <c r="AM748" s="5"/>
      <c r="AN748" s="4"/>
      <c r="AO748" s="5"/>
      <c r="AP748" s="5"/>
      <c r="AQ748" s="5"/>
      <c r="AR748" s="22"/>
      <c r="AS748" s="4"/>
      <c r="AT748" s="5"/>
      <c r="AU748" s="5"/>
      <c r="AV748" s="5"/>
    </row>
    <row r="749" spans="1:48" ht="12.7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4"/>
      <c r="V749" s="22"/>
      <c r="W749" s="5"/>
      <c r="X749" s="5"/>
      <c r="Y749" s="5"/>
      <c r="Z749" s="5"/>
      <c r="AA749" s="5"/>
      <c r="AB749" s="5"/>
      <c r="AC749" s="5"/>
      <c r="AD749" s="5"/>
      <c r="AE749" s="4"/>
      <c r="AF749" s="5"/>
      <c r="AG749" s="5"/>
      <c r="AH749" s="5"/>
      <c r="AI749" s="5"/>
      <c r="AJ749" s="5"/>
      <c r="AK749" s="5"/>
      <c r="AL749" s="5"/>
      <c r="AM749" s="5"/>
      <c r="AN749" s="4"/>
      <c r="AO749" s="5"/>
      <c r="AP749" s="5"/>
      <c r="AQ749" s="5"/>
      <c r="AR749" s="22"/>
      <c r="AS749" s="4"/>
      <c r="AT749" s="5"/>
      <c r="AU749" s="5"/>
      <c r="AV749" s="5"/>
    </row>
    <row r="750" spans="1:48" ht="12.7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4"/>
      <c r="V750" s="22"/>
      <c r="W750" s="5"/>
      <c r="X750" s="5"/>
      <c r="Y750" s="5"/>
      <c r="Z750" s="5"/>
      <c r="AA750" s="5"/>
      <c r="AB750" s="5"/>
      <c r="AC750" s="5"/>
      <c r="AD750" s="5"/>
      <c r="AE750" s="4"/>
      <c r="AF750" s="5"/>
      <c r="AG750" s="5"/>
      <c r="AH750" s="5"/>
      <c r="AI750" s="5"/>
      <c r="AJ750" s="5"/>
      <c r="AK750" s="5"/>
      <c r="AL750" s="5"/>
      <c r="AM750" s="5"/>
      <c r="AN750" s="4"/>
      <c r="AO750" s="5"/>
      <c r="AP750" s="5"/>
      <c r="AQ750" s="5"/>
      <c r="AR750" s="22"/>
      <c r="AS750" s="4"/>
      <c r="AT750" s="5"/>
      <c r="AU750" s="5"/>
      <c r="AV750" s="5"/>
    </row>
    <row r="751" spans="1:48" ht="12.7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4"/>
      <c r="V751" s="22"/>
      <c r="W751" s="5"/>
      <c r="X751" s="5"/>
      <c r="Y751" s="5"/>
      <c r="Z751" s="5"/>
      <c r="AA751" s="5"/>
      <c r="AB751" s="5"/>
      <c r="AC751" s="5"/>
      <c r="AD751" s="5"/>
      <c r="AE751" s="4"/>
      <c r="AF751" s="5"/>
      <c r="AG751" s="5"/>
      <c r="AH751" s="5"/>
      <c r="AI751" s="5"/>
      <c r="AJ751" s="5"/>
      <c r="AK751" s="5"/>
      <c r="AL751" s="5"/>
      <c r="AM751" s="5"/>
      <c r="AN751" s="4"/>
      <c r="AO751" s="5"/>
      <c r="AP751" s="5"/>
      <c r="AQ751" s="5"/>
      <c r="AR751" s="22"/>
      <c r="AS751" s="4"/>
      <c r="AT751" s="5"/>
      <c r="AU751" s="5"/>
      <c r="AV751" s="5"/>
    </row>
    <row r="752" spans="1:48" ht="12.7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4"/>
      <c r="V752" s="22"/>
      <c r="W752" s="5"/>
      <c r="X752" s="5"/>
      <c r="Y752" s="5"/>
      <c r="Z752" s="5"/>
      <c r="AA752" s="5"/>
      <c r="AB752" s="5"/>
      <c r="AC752" s="5"/>
      <c r="AD752" s="5"/>
      <c r="AE752" s="4"/>
      <c r="AF752" s="5"/>
      <c r="AG752" s="5"/>
      <c r="AH752" s="5"/>
      <c r="AI752" s="5"/>
      <c r="AJ752" s="5"/>
      <c r="AK752" s="5"/>
      <c r="AL752" s="5"/>
      <c r="AM752" s="5"/>
      <c r="AN752" s="4"/>
      <c r="AO752" s="5"/>
      <c r="AP752" s="5"/>
      <c r="AQ752" s="5"/>
      <c r="AR752" s="22"/>
      <c r="AS752" s="4"/>
      <c r="AT752" s="5"/>
      <c r="AU752" s="5"/>
      <c r="AV752" s="5"/>
    </row>
    <row r="753" spans="1:48" ht="12.7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4"/>
      <c r="V753" s="22"/>
      <c r="W753" s="5"/>
      <c r="X753" s="5"/>
      <c r="Y753" s="5"/>
      <c r="Z753" s="5"/>
      <c r="AA753" s="5"/>
      <c r="AB753" s="5"/>
      <c r="AC753" s="5"/>
      <c r="AD753" s="5"/>
      <c r="AE753" s="4"/>
      <c r="AF753" s="5"/>
      <c r="AG753" s="5"/>
      <c r="AH753" s="5"/>
      <c r="AI753" s="5"/>
      <c r="AJ753" s="5"/>
      <c r="AK753" s="5"/>
      <c r="AL753" s="5"/>
      <c r="AM753" s="5"/>
      <c r="AN753" s="4"/>
      <c r="AO753" s="5"/>
      <c r="AP753" s="5"/>
      <c r="AQ753" s="5"/>
      <c r="AR753" s="22"/>
      <c r="AS753" s="4"/>
      <c r="AT753" s="5"/>
      <c r="AU753" s="5"/>
      <c r="AV753" s="5"/>
    </row>
    <row r="754" spans="1:48" ht="12.7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4"/>
      <c r="V754" s="22"/>
      <c r="W754" s="5"/>
      <c r="X754" s="5"/>
      <c r="Y754" s="5"/>
      <c r="Z754" s="5"/>
      <c r="AA754" s="5"/>
      <c r="AB754" s="5"/>
      <c r="AC754" s="5"/>
      <c r="AD754" s="5"/>
      <c r="AE754" s="4"/>
      <c r="AF754" s="5"/>
      <c r="AG754" s="5"/>
      <c r="AH754" s="5"/>
      <c r="AI754" s="5"/>
      <c r="AJ754" s="5"/>
      <c r="AK754" s="5"/>
      <c r="AL754" s="5"/>
      <c r="AM754" s="5"/>
      <c r="AN754" s="4"/>
      <c r="AO754" s="5"/>
      <c r="AP754" s="5"/>
      <c r="AQ754" s="5"/>
      <c r="AR754" s="22"/>
      <c r="AS754" s="4"/>
      <c r="AT754" s="5"/>
      <c r="AU754" s="5"/>
      <c r="AV754" s="5"/>
    </row>
    <row r="755" spans="1:48" ht="12.7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4"/>
      <c r="V755" s="22"/>
      <c r="W755" s="5"/>
      <c r="X755" s="5"/>
      <c r="Y755" s="5"/>
      <c r="Z755" s="5"/>
      <c r="AA755" s="5"/>
      <c r="AB755" s="5"/>
      <c r="AC755" s="5"/>
      <c r="AD755" s="5"/>
      <c r="AE755" s="4"/>
      <c r="AF755" s="5"/>
      <c r="AG755" s="5"/>
      <c r="AH755" s="5"/>
      <c r="AI755" s="5"/>
      <c r="AJ755" s="5"/>
      <c r="AK755" s="5"/>
      <c r="AL755" s="5"/>
      <c r="AM755" s="5"/>
      <c r="AN755" s="4"/>
      <c r="AO755" s="5"/>
      <c r="AP755" s="5"/>
      <c r="AQ755" s="5"/>
      <c r="AR755" s="22"/>
      <c r="AS755" s="4"/>
      <c r="AT755" s="5"/>
      <c r="AU755" s="5"/>
      <c r="AV755" s="5"/>
    </row>
    <row r="756" spans="1:48" ht="12.7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4"/>
      <c r="V756" s="22"/>
      <c r="W756" s="5"/>
      <c r="X756" s="5"/>
      <c r="Y756" s="5"/>
      <c r="Z756" s="5"/>
      <c r="AA756" s="5"/>
      <c r="AB756" s="5"/>
      <c r="AC756" s="5"/>
      <c r="AD756" s="5"/>
      <c r="AE756" s="4"/>
      <c r="AF756" s="5"/>
      <c r="AG756" s="5"/>
      <c r="AH756" s="5"/>
      <c r="AI756" s="5"/>
      <c r="AJ756" s="5"/>
      <c r="AK756" s="5"/>
      <c r="AL756" s="5"/>
      <c r="AM756" s="5"/>
      <c r="AN756" s="4"/>
      <c r="AO756" s="5"/>
      <c r="AP756" s="5"/>
      <c r="AQ756" s="5"/>
      <c r="AR756" s="22"/>
      <c r="AS756" s="4"/>
      <c r="AT756" s="5"/>
      <c r="AU756" s="5"/>
      <c r="AV756" s="5"/>
    </row>
    <row r="757" spans="1:48" ht="12.7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4"/>
      <c r="V757" s="22"/>
      <c r="W757" s="5"/>
      <c r="X757" s="5"/>
      <c r="Y757" s="5"/>
      <c r="Z757" s="5"/>
      <c r="AA757" s="5"/>
      <c r="AB757" s="5"/>
      <c r="AC757" s="5"/>
      <c r="AD757" s="5"/>
      <c r="AE757" s="4"/>
      <c r="AF757" s="5"/>
      <c r="AG757" s="5"/>
      <c r="AH757" s="5"/>
      <c r="AI757" s="5"/>
      <c r="AJ757" s="5"/>
      <c r="AK757" s="5"/>
      <c r="AL757" s="5"/>
      <c r="AM757" s="5"/>
      <c r="AN757" s="4"/>
      <c r="AO757" s="5"/>
      <c r="AP757" s="5"/>
      <c r="AQ757" s="5"/>
      <c r="AR757" s="22"/>
      <c r="AS757" s="4"/>
      <c r="AT757" s="5"/>
      <c r="AU757" s="5"/>
      <c r="AV757" s="5"/>
    </row>
    <row r="758" spans="1:48" ht="12.7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4"/>
      <c r="V758" s="22"/>
      <c r="W758" s="5"/>
      <c r="X758" s="5"/>
      <c r="Y758" s="5"/>
      <c r="Z758" s="5"/>
      <c r="AA758" s="5"/>
      <c r="AB758" s="5"/>
      <c r="AC758" s="5"/>
      <c r="AD758" s="5"/>
      <c r="AE758" s="4"/>
      <c r="AF758" s="5"/>
      <c r="AG758" s="5"/>
      <c r="AH758" s="5"/>
      <c r="AI758" s="5"/>
      <c r="AJ758" s="5"/>
      <c r="AK758" s="5"/>
      <c r="AL758" s="5"/>
      <c r="AM758" s="5"/>
      <c r="AN758" s="4"/>
      <c r="AO758" s="5"/>
      <c r="AP758" s="5"/>
      <c r="AQ758" s="5"/>
      <c r="AR758" s="22"/>
      <c r="AS758" s="4"/>
      <c r="AT758" s="5"/>
      <c r="AU758" s="5"/>
      <c r="AV758" s="5"/>
    </row>
    <row r="759" spans="1:48" ht="12.7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4"/>
      <c r="V759" s="22"/>
      <c r="W759" s="5"/>
      <c r="X759" s="5"/>
      <c r="Y759" s="5"/>
      <c r="Z759" s="5"/>
      <c r="AA759" s="5"/>
      <c r="AB759" s="5"/>
      <c r="AC759" s="5"/>
      <c r="AD759" s="5"/>
      <c r="AE759" s="4"/>
      <c r="AF759" s="5"/>
      <c r="AG759" s="5"/>
      <c r="AH759" s="5"/>
      <c r="AI759" s="5"/>
      <c r="AJ759" s="5"/>
      <c r="AK759" s="5"/>
      <c r="AL759" s="5"/>
      <c r="AM759" s="5"/>
      <c r="AN759" s="4"/>
      <c r="AO759" s="5"/>
      <c r="AP759" s="5"/>
      <c r="AQ759" s="5"/>
      <c r="AR759" s="22"/>
      <c r="AS759" s="4"/>
      <c r="AT759" s="5"/>
      <c r="AU759" s="5"/>
      <c r="AV759" s="5"/>
    </row>
    <row r="760" spans="1:48" ht="12.7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4"/>
      <c r="V760" s="22"/>
      <c r="W760" s="5"/>
      <c r="X760" s="5"/>
      <c r="Y760" s="5"/>
      <c r="Z760" s="5"/>
      <c r="AA760" s="5"/>
      <c r="AB760" s="5"/>
      <c r="AC760" s="5"/>
      <c r="AD760" s="5"/>
      <c r="AE760" s="4"/>
      <c r="AF760" s="5"/>
      <c r="AG760" s="5"/>
      <c r="AH760" s="5"/>
      <c r="AI760" s="5"/>
      <c r="AJ760" s="5"/>
      <c r="AK760" s="5"/>
      <c r="AL760" s="5"/>
      <c r="AM760" s="5"/>
      <c r="AN760" s="4"/>
      <c r="AO760" s="5"/>
      <c r="AP760" s="5"/>
      <c r="AQ760" s="5"/>
      <c r="AR760" s="22"/>
      <c r="AS760" s="4"/>
      <c r="AT760" s="5"/>
      <c r="AU760" s="5"/>
      <c r="AV760" s="5"/>
    </row>
    <row r="761" spans="1:48" ht="12.7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4"/>
      <c r="V761" s="22"/>
      <c r="W761" s="5"/>
      <c r="X761" s="5"/>
      <c r="Y761" s="5"/>
      <c r="Z761" s="5"/>
      <c r="AA761" s="5"/>
      <c r="AB761" s="5"/>
      <c r="AC761" s="5"/>
      <c r="AD761" s="5"/>
      <c r="AE761" s="4"/>
      <c r="AF761" s="5"/>
      <c r="AG761" s="5"/>
      <c r="AH761" s="5"/>
      <c r="AI761" s="5"/>
      <c r="AJ761" s="5"/>
      <c r="AK761" s="5"/>
      <c r="AL761" s="5"/>
      <c r="AM761" s="5"/>
      <c r="AN761" s="4"/>
      <c r="AO761" s="5"/>
      <c r="AP761" s="5"/>
      <c r="AQ761" s="5"/>
      <c r="AR761" s="22"/>
      <c r="AS761" s="4"/>
      <c r="AT761" s="5"/>
      <c r="AU761" s="5"/>
      <c r="AV761" s="5"/>
    </row>
    <row r="762" spans="1:48" ht="12.7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4"/>
      <c r="V762" s="22"/>
      <c r="W762" s="5"/>
      <c r="X762" s="5"/>
      <c r="Y762" s="5"/>
      <c r="Z762" s="5"/>
      <c r="AA762" s="5"/>
      <c r="AB762" s="5"/>
      <c r="AC762" s="5"/>
      <c r="AD762" s="5"/>
      <c r="AE762" s="4"/>
      <c r="AF762" s="5"/>
      <c r="AG762" s="5"/>
      <c r="AH762" s="5"/>
      <c r="AI762" s="5"/>
      <c r="AJ762" s="5"/>
      <c r="AK762" s="5"/>
      <c r="AL762" s="5"/>
      <c r="AM762" s="5"/>
      <c r="AN762" s="4"/>
      <c r="AO762" s="5"/>
      <c r="AP762" s="5"/>
      <c r="AQ762" s="5"/>
      <c r="AR762" s="22"/>
      <c r="AS762" s="4"/>
      <c r="AT762" s="5"/>
      <c r="AU762" s="5"/>
      <c r="AV762" s="5"/>
    </row>
    <row r="763" spans="1:48" ht="12.7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4"/>
      <c r="V763" s="22"/>
      <c r="W763" s="5"/>
      <c r="X763" s="5"/>
      <c r="Y763" s="5"/>
      <c r="Z763" s="5"/>
      <c r="AA763" s="5"/>
      <c r="AB763" s="5"/>
      <c r="AC763" s="5"/>
      <c r="AD763" s="5"/>
      <c r="AE763" s="4"/>
      <c r="AF763" s="5"/>
      <c r="AG763" s="5"/>
      <c r="AH763" s="5"/>
      <c r="AI763" s="5"/>
      <c r="AJ763" s="5"/>
      <c r="AK763" s="5"/>
      <c r="AL763" s="5"/>
      <c r="AM763" s="5"/>
      <c r="AN763" s="4"/>
      <c r="AO763" s="5"/>
      <c r="AP763" s="5"/>
      <c r="AQ763" s="5"/>
      <c r="AR763" s="22"/>
      <c r="AS763" s="4"/>
      <c r="AT763" s="5"/>
      <c r="AU763" s="5"/>
      <c r="AV763" s="5"/>
    </row>
    <row r="764" spans="1:48" ht="12.7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4"/>
      <c r="V764" s="22"/>
      <c r="W764" s="5"/>
      <c r="X764" s="5"/>
      <c r="Y764" s="5"/>
      <c r="Z764" s="5"/>
      <c r="AA764" s="5"/>
      <c r="AB764" s="5"/>
      <c r="AC764" s="5"/>
      <c r="AD764" s="5"/>
      <c r="AE764" s="4"/>
      <c r="AF764" s="5"/>
      <c r="AG764" s="5"/>
      <c r="AH764" s="5"/>
      <c r="AI764" s="5"/>
      <c r="AJ764" s="5"/>
      <c r="AK764" s="5"/>
      <c r="AL764" s="5"/>
      <c r="AM764" s="5"/>
      <c r="AN764" s="4"/>
      <c r="AO764" s="5"/>
      <c r="AP764" s="5"/>
      <c r="AQ764" s="5"/>
      <c r="AR764" s="22"/>
      <c r="AS764" s="4"/>
      <c r="AT764" s="5"/>
      <c r="AU764" s="5"/>
      <c r="AV764" s="5"/>
    </row>
    <row r="765" spans="1:48" ht="12.7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4"/>
      <c r="V765" s="22"/>
      <c r="W765" s="5"/>
      <c r="X765" s="5"/>
      <c r="Y765" s="5"/>
      <c r="Z765" s="5"/>
      <c r="AA765" s="5"/>
      <c r="AB765" s="5"/>
      <c r="AC765" s="5"/>
      <c r="AD765" s="5"/>
      <c r="AE765" s="4"/>
      <c r="AF765" s="5"/>
      <c r="AG765" s="5"/>
      <c r="AH765" s="5"/>
      <c r="AI765" s="5"/>
      <c r="AJ765" s="5"/>
      <c r="AK765" s="5"/>
      <c r="AL765" s="5"/>
      <c r="AM765" s="5"/>
      <c r="AN765" s="4"/>
      <c r="AO765" s="5"/>
      <c r="AP765" s="5"/>
      <c r="AQ765" s="5"/>
      <c r="AR765" s="22"/>
      <c r="AS765" s="4"/>
      <c r="AT765" s="5"/>
      <c r="AU765" s="5"/>
      <c r="AV765" s="5"/>
    </row>
    <row r="766" spans="1:48" ht="12.7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4"/>
      <c r="V766" s="22"/>
      <c r="W766" s="5"/>
      <c r="X766" s="5"/>
      <c r="Y766" s="5"/>
      <c r="Z766" s="5"/>
      <c r="AA766" s="5"/>
      <c r="AB766" s="5"/>
      <c r="AC766" s="5"/>
      <c r="AD766" s="5"/>
      <c r="AE766" s="4"/>
      <c r="AF766" s="5"/>
      <c r="AG766" s="5"/>
      <c r="AH766" s="5"/>
      <c r="AI766" s="5"/>
      <c r="AJ766" s="5"/>
      <c r="AK766" s="5"/>
      <c r="AL766" s="5"/>
      <c r="AM766" s="5"/>
      <c r="AN766" s="4"/>
      <c r="AO766" s="5"/>
      <c r="AP766" s="5"/>
      <c r="AQ766" s="5"/>
      <c r="AR766" s="22"/>
      <c r="AS766" s="4"/>
      <c r="AT766" s="5"/>
      <c r="AU766" s="5"/>
      <c r="AV766" s="5"/>
    </row>
    <row r="767" spans="1:48" ht="12.7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4"/>
      <c r="V767" s="22"/>
      <c r="W767" s="5"/>
      <c r="X767" s="5"/>
      <c r="Y767" s="5"/>
      <c r="Z767" s="5"/>
      <c r="AA767" s="5"/>
      <c r="AB767" s="5"/>
      <c r="AC767" s="5"/>
      <c r="AD767" s="5"/>
      <c r="AE767" s="4"/>
      <c r="AF767" s="5"/>
      <c r="AG767" s="5"/>
      <c r="AH767" s="5"/>
      <c r="AI767" s="5"/>
      <c r="AJ767" s="5"/>
      <c r="AK767" s="5"/>
      <c r="AL767" s="5"/>
      <c r="AM767" s="5"/>
      <c r="AN767" s="4"/>
      <c r="AO767" s="5"/>
      <c r="AP767" s="5"/>
      <c r="AQ767" s="5"/>
      <c r="AR767" s="22"/>
      <c r="AS767" s="4"/>
      <c r="AT767" s="5"/>
      <c r="AU767" s="5"/>
      <c r="AV767" s="5"/>
    </row>
    <row r="768" spans="1:48" ht="12.7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4"/>
      <c r="V768" s="22"/>
      <c r="W768" s="5"/>
      <c r="X768" s="5"/>
      <c r="Y768" s="5"/>
      <c r="Z768" s="5"/>
      <c r="AA768" s="5"/>
      <c r="AB768" s="5"/>
      <c r="AC768" s="5"/>
      <c r="AD768" s="5"/>
      <c r="AE768" s="4"/>
      <c r="AF768" s="5"/>
      <c r="AG768" s="5"/>
      <c r="AH768" s="5"/>
      <c r="AI768" s="5"/>
      <c r="AJ768" s="5"/>
      <c r="AK768" s="5"/>
      <c r="AL768" s="5"/>
      <c r="AM768" s="5"/>
      <c r="AN768" s="4"/>
      <c r="AO768" s="5"/>
      <c r="AP768" s="5"/>
      <c r="AQ768" s="5"/>
      <c r="AR768" s="22"/>
      <c r="AS768" s="4"/>
      <c r="AT768" s="5"/>
      <c r="AU768" s="5"/>
      <c r="AV768" s="5"/>
    </row>
    <row r="769" spans="1:48" ht="12.7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4"/>
      <c r="V769" s="22"/>
      <c r="W769" s="5"/>
      <c r="X769" s="5"/>
      <c r="Y769" s="5"/>
      <c r="Z769" s="5"/>
      <c r="AA769" s="5"/>
      <c r="AB769" s="5"/>
      <c r="AC769" s="5"/>
      <c r="AD769" s="5"/>
      <c r="AE769" s="4"/>
      <c r="AF769" s="5"/>
      <c r="AG769" s="5"/>
      <c r="AH769" s="5"/>
      <c r="AI769" s="5"/>
      <c r="AJ769" s="5"/>
      <c r="AK769" s="5"/>
      <c r="AL769" s="5"/>
      <c r="AM769" s="5"/>
      <c r="AN769" s="4"/>
      <c r="AO769" s="5"/>
      <c r="AP769" s="5"/>
      <c r="AQ769" s="5"/>
      <c r="AR769" s="22"/>
      <c r="AS769" s="4"/>
      <c r="AT769" s="5"/>
      <c r="AU769" s="5"/>
      <c r="AV769" s="5"/>
    </row>
    <row r="770" spans="1:48" ht="12.7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4"/>
      <c r="V770" s="22"/>
      <c r="W770" s="5"/>
      <c r="X770" s="5"/>
      <c r="Y770" s="5"/>
      <c r="Z770" s="5"/>
      <c r="AA770" s="5"/>
      <c r="AB770" s="5"/>
      <c r="AC770" s="5"/>
      <c r="AD770" s="5"/>
      <c r="AE770" s="4"/>
      <c r="AF770" s="5"/>
      <c r="AG770" s="5"/>
      <c r="AH770" s="5"/>
      <c r="AI770" s="5"/>
      <c r="AJ770" s="5"/>
      <c r="AK770" s="5"/>
      <c r="AL770" s="5"/>
      <c r="AM770" s="5"/>
      <c r="AN770" s="4"/>
      <c r="AO770" s="5"/>
      <c r="AP770" s="5"/>
      <c r="AQ770" s="5"/>
      <c r="AR770" s="22"/>
      <c r="AS770" s="4"/>
      <c r="AT770" s="5"/>
      <c r="AU770" s="5"/>
      <c r="AV770" s="5"/>
    </row>
    <row r="771" spans="1:48" ht="12.7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4"/>
      <c r="V771" s="22"/>
      <c r="W771" s="5"/>
      <c r="X771" s="5"/>
      <c r="Y771" s="5"/>
      <c r="Z771" s="5"/>
      <c r="AA771" s="5"/>
      <c r="AB771" s="5"/>
      <c r="AC771" s="5"/>
      <c r="AD771" s="5"/>
      <c r="AE771" s="4"/>
      <c r="AF771" s="5"/>
      <c r="AG771" s="5"/>
      <c r="AH771" s="5"/>
      <c r="AI771" s="5"/>
      <c r="AJ771" s="5"/>
      <c r="AK771" s="5"/>
      <c r="AL771" s="5"/>
      <c r="AM771" s="5"/>
      <c r="AN771" s="4"/>
      <c r="AO771" s="5"/>
      <c r="AP771" s="5"/>
      <c r="AQ771" s="5"/>
      <c r="AR771" s="22"/>
      <c r="AS771" s="4"/>
      <c r="AT771" s="5"/>
      <c r="AU771" s="5"/>
      <c r="AV771" s="5"/>
    </row>
    <row r="772" spans="1:48" ht="12.7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4"/>
      <c r="V772" s="22"/>
      <c r="W772" s="5"/>
      <c r="X772" s="5"/>
      <c r="Y772" s="5"/>
      <c r="Z772" s="5"/>
      <c r="AA772" s="5"/>
      <c r="AB772" s="5"/>
      <c r="AC772" s="5"/>
      <c r="AD772" s="5"/>
      <c r="AE772" s="4"/>
      <c r="AF772" s="5"/>
      <c r="AG772" s="5"/>
      <c r="AH772" s="5"/>
      <c r="AI772" s="5"/>
      <c r="AJ772" s="5"/>
      <c r="AK772" s="5"/>
      <c r="AL772" s="5"/>
      <c r="AM772" s="5"/>
      <c r="AN772" s="4"/>
      <c r="AO772" s="5"/>
      <c r="AP772" s="5"/>
      <c r="AQ772" s="5"/>
      <c r="AR772" s="22"/>
      <c r="AS772" s="4"/>
      <c r="AT772" s="5"/>
      <c r="AU772" s="5"/>
      <c r="AV772" s="5"/>
    </row>
    <row r="773" spans="1:48" ht="12.7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4"/>
      <c r="V773" s="22"/>
      <c r="W773" s="5"/>
      <c r="X773" s="5"/>
      <c r="Y773" s="5"/>
      <c r="Z773" s="5"/>
      <c r="AA773" s="5"/>
      <c r="AB773" s="5"/>
      <c r="AC773" s="5"/>
      <c r="AD773" s="5"/>
      <c r="AE773" s="4"/>
      <c r="AF773" s="5"/>
      <c r="AG773" s="5"/>
      <c r="AH773" s="5"/>
      <c r="AI773" s="5"/>
      <c r="AJ773" s="5"/>
      <c r="AK773" s="5"/>
      <c r="AL773" s="5"/>
      <c r="AM773" s="5"/>
      <c r="AN773" s="4"/>
      <c r="AO773" s="5"/>
      <c r="AP773" s="5"/>
      <c r="AQ773" s="5"/>
      <c r="AR773" s="22"/>
      <c r="AS773" s="4"/>
      <c r="AT773" s="5"/>
      <c r="AU773" s="5"/>
      <c r="AV773" s="5"/>
    </row>
    <row r="774" spans="1:48" ht="12.7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4"/>
      <c r="V774" s="22"/>
      <c r="W774" s="5"/>
      <c r="X774" s="5"/>
      <c r="Y774" s="5"/>
      <c r="Z774" s="5"/>
      <c r="AA774" s="5"/>
      <c r="AB774" s="5"/>
      <c r="AC774" s="5"/>
      <c r="AD774" s="5"/>
      <c r="AE774" s="4"/>
      <c r="AF774" s="5"/>
      <c r="AG774" s="5"/>
      <c r="AH774" s="5"/>
      <c r="AI774" s="5"/>
      <c r="AJ774" s="5"/>
      <c r="AK774" s="5"/>
      <c r="AL774" s="5"/>
      <c r="AM774" s="5"/>
      <c r="AN774" s="4"/>
      <c r="AO774" s="5"/>
      <c r="AP774" s="5"/>
      <c r="AQ774" s="5"/>
      <c r="AR774" s="22"/>
      <c r="AS774" s="4"/>
      <c r="AT774" s="5"/>
      <c r="AU774" s="5"/>
      <c r="AV774" s="5"/>
    </row>
    <row r="775" spans="1:48" ht="12.7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4"/>
      <c r="V775" s="22"/>
      <c r="W775" s="5"/>
      <c r="X775" s="5"/>
      <c r="Y775" s="5"/>
      <c r="Z775" s="5"/>
      <c r="AA775" s="5"/>
      <c r="AB775" s="5"/>
      <c r="AC775" s="5"/>
      <c r="AD775" s="5"/>
      <c r="AE775" s="4"/>
      <c r="AF775" s="5"/>
      <c r="AG775" s="5"/>
      <c r="AH775" s="5"/>
      <c r="AI775" s="5"/>
      <c r="AJ775" s="5"/>
      <c r="AK775" s="5"/>
      <c r="AL775" s="5"/>
      <c r="AM775" s="5"/>
      <c r="AN775" s="4"/>
      <c r="AO775" s="5"/>
      <c r="AP775" s="5"/>
      <c r="AQ775" s="5"/>
      <c r="AR775" s="22"/>
      <c r="AS775" s="4"/>
      <c r="AT775" s="5"/>
      <c r="AU775" s="5"/>
      <c r="AV775" s="5"/>
    </row>
    <row r="776" spans="1:48" ht="12.7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4"/>
      <c r="V776" s="22"/>
      <c r="W776" s="5"/>
      <c r="X776" s="5"/>
      <c r="Y776" s="5"/>
      <c r="Z776" s="5"/>
      <c r="AA776" s="5"/>
      <c r="AB776" s="5"/>
      <c r="AC776" s="5"/>
      <c r="AD776" s="5"/>
      <c r="AE776" s="4"/>
      <c r="AF776" s="5"/>
      <c r="AG776" s="5"/>
      <c r="AH776" s="5"/>
      <c r="AI776" s="5"/>
      <c r="AJ776" s="5"/>
      <c r="AK776" s="5"/>
      <c r="AL776" s="5"/>
      <c r="AM776" s="5"/>
      <c r="AN776" s="4"/>
      <c r="AO776" s="5"/>
      <c r="AP776" s="5"/>
      <c r="AQ776" s="5"/>
      <c r="AR776" s="22"/>
      <c r="AS776" s="4"/>
      <c r="AT776" s="5"/>
      <c r="AU776" s="5"/>
      <c r="AV776" s="5"/>
    </row>
    <row r="777" spans="1:48" ht="12.7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4"/>
      <c r="V777" s="22"/>
      <c r="W777" s="5"/>
      <c r="X777" s="5"/>
      <c r="Y777" s="5"/>
      <c r="Z777" s="5"/>
      <c r="AA777" s="5"/>
      <c r="AB777" s="5"/>
      <c r="AC777" s="5"/>
      <c r="AD777" s="5"/>
      <c r="AE777" s="4"/>
      <c r="AF777" s="5"/>
      <c r="AG777" s="5"/>
      <c r="AH777" s="5"/>
      <c r="AI777" s="5"/>
      <c r="AJ777" s="5"/>
      <c r="AK777" s="5"/>
      <c r="AL777" s="5"/>
      <c r="AM777" s="5"/>
      <c r="AN777" s="4"/>
      <c r="AO777" s="5"/>
      <c r="AP777" s="5"/>
      <c r="AQ777" s="5"/>
      <c r="AR777" s="22"/>
      <c r="AS777" s="4"/>
      <c r="AT777" s="5"/>
      <c r="AU777" s="5"/>
      <c r="AV777" s="5"/>
    </row>
    <row r="778" spans="1:48" ht="12.7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4"/>
      <c r="V778" s="22"/>
      <c r="W778" s="5"/>
      <c r="X778" s="5"/>
      <c r="Y778" s="5"/>
      <c r="Z778" s="5"/>
      <c r="AA778" s="5"/>
      <c r="AB778" s="5"/>
      <c r="AC778" s="5"/>
      <c r="AD778" s="5"/>
      <c r="AE778" s="4"/>
      <c r="AF778" s="5"/>
      <c r="AG778" s="5"/>
      <c r="AH778" s="5"/>
      <c r="AI778" s="5"/>
      <c r="AJ778" s="5"/>
      <c r="AK778" s="5"/>
      <c r="AL778" s="5"/>
      <c r="AM778" s="5"/>
      <c r="AN778" s="4"/>
      <c r="AO778" s="5"/>
      <c r="AP778" s="5"/>
      <c r="AQ778" s="5"/>
      <c r="AR778" s="22"/>
      <c r="AS778" s="4"/>
      <c r="AT778" s="5"/>
      <c r="AU778" s="5"/>
      <c r="AV778" s="5"/>
    </row>
    <row r="779" spans="1:48" ht="12.7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4"/>
      <c r="V779" s="22"/>
      <c r="W779" s="5"/>
      <c r="X779" s="5"/>
      <c r="Y779" s="5"/>
      <c r="Z779" s="5"/>
      <c r="AA779" s="5"/>
      <c r="AB779" s="5"/>
      <c r="AC779" s="5"/>
      <c r="AD779" s="5"/>
      <c r="AE779" s="4"/>
      <c r="AF779" s="5"/>
      <c r="AG779" s="5"/>
      <c r="AH779" s="5"/>
      <c r="AI779" s="5"/>
      <c r="AJ779" s="5"/>
      <c r="AK779" s="5"/>
      <c r="AL779" s="5"/>
      <c r="AM779" s="5"/>
      <c r="AN779" s="4"/>
      <c r="AO779" s="5"/>
      <c r="AP779" s="5"/>
      <c r="AQ779" s="5"/>
      <c r="AR779" s="22"/>
      <c r="AS779" s="4"/>
      <c r="AT779" s="5"/>
      <c r="AU779" s="5"/>
      <c r="AV779" s="5"/>
    </row>
    <row r="780" spans="1:48" ht="12.7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4"/>
      <c r="V780" s="22"/>
      <c r="W780" s="5"/>
      <c r="X780" s="5"/>
      <c r="Y780" s="5"/>
      <c r="Z780" s="5"/>
      <c r="AA780" s="5"/>
      <c r="AB780" s="5"/>
      <c r="AC780" s="5"/>
      <c r="AD780" s="5"/>
      <c r="AE780" s="4"/>
      <c r="AF780" s="5"/>
      <c r="AG780" s="5"/>
      <c r="AH780" s="5"/>
      <c r="AI780" s="5"/>
      <c r="AJ780" s="5"/>
      <c r="AK780" s="5"/>
      <c r="AL780" s="5"/>
      <c r="AM780" s="5"/>
      <c r="AN780" s="4"/>
      <c r="AO780" s="5"/>
      <c r="AP780" s="5"/>
      <c r="AQ780" s="5"/>
      <c r="AR780" s="22"/>
      <c r="AS780" s="4"/>
      <c r="AT780" s="5"/>
      <c r="AU780" s="5"/>
      <c r="AV780" s="5"/>
    </row>
    <row r="781" spans="1:48" ht="12.7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4"/>
      <c r="V781" s="22"/>
      <c r="W781" s="5"/>
      <c r="X781" s="5"/>
      <c r="Y781" s="5"/>
      <c r="Z781" s="5"/>
      <c r="AA781" s="5"/>
      <c r="AB781" s="5"/>
      <c r="AC781" s="5"/>
      <c r="AD781" s="5"/>
      <c r="AE781" s="4"/>
      <c r="AF781" s="5"/>
      <c r="AG781" s="5"/>
      <c r="AH781" s="5"/>
      <c r="AI781" s="5"/>
      <c r="AJ781" s="5"/>
      <c r="AK781" s="5"/>
      <c r="AL781" s="5"/>
      <c r="AM781" s="5"/>
      <c r="AN781" s="4"/>
      <c r="AO781" s="5"/>
      <c r="AP781" s="5"/>
      <c r="AQ781" s="5"/>
      <c r="AR781" s="22"/>
      <c r="AS781" s="4"/>
      <c r="AT781" s="5"/>
      <c r="AU781" s="5"/>
      <c r="AV781" s="5"/>
    </row>
    <row r="782" spans="1:48" ht="12.7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4"/>
      <c r="V782" s="22"/>
      <c r="W782" s="5"/>
      <c r="X782" s="5"/>
      <c r="Y782" s="5"/>
      <c r="Z782" s="5"/>
      <c r="AA782" s="5"/>
      <c r="AB782" s="5"/>
      <c r="AC782" s="5"/>
      <c r="AD782" s="5"/>
      <c r="AE782" s="4"/>
      <c r="AF782" s="5"/>
      <c r="AG782" s="5"/>
      <c r="AH782" s="5"/>
      <c r="AI782" s="5"/>
      <c r="AJ782" s="5"/>
      <c r="AK782" s="5"/>
      <c r="AL782" s="5"/>
      <c r="AM782" s="5"/>
      <c r="AN782" s="4"/>
      <c r="AO782" s="5"/>
      <c r="AP782" s="5"/>
      <c r="AQ782" s="5"/>
      <c r="AR782" s="22"/>
      <c r="AS782" s="4"/>
      <c r="AT782" s="5"/>
      <c r="AU782" s="5"/>
      <c r="AV782" s="5"/>
    </row>
    <row r="783" spans="1:48" ht="12.7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4"/>
      <c r="V783" s="22"/>
      <c r="W783" s="5"/>
      <c r="X783" s="5"/>
      <c r="Y783" s="5"/>
      <c r="Z783" s="5"/>
      <c r="AA783" s="5"/>
      <c r="AB783" s="5"/>
      <c r="AC783" s="5"/>
      <c r="AD783" s="5"/>
      <c r="AE783" s="4"/>
      <c r="AF783" s="5"/>
      <c r="AG783" s="5"/>
      <c r="AH783" s="5"/>
      <c r="AI783" s="5"/>
      <c r="AJ783" s="5"/>
      <c r="AK783" s="5"/>
      <c r="AL783" s="5"/>
      <c r="AM783" s="5"/>
      <c r="AN783" s="4"/>
      <c r="AO783" s="5"/>
      <c r="AP783" s="5"/>
      <c r="AQ783" s="5"/>
      <c r="AR783" s="22"/>
      <c r="AS783" s="4"/>
      <c r="AT783" s="5"/>
      <c r="AU783" s="5"/>
      <c r="AV783" s="5"/>
    </row>
    <row r="784" spans="1:48" ht="12.7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4"/>
      <c r="V784" s="22"/>
      <c r="W784" s="5"/>
      <c r="X784" s="5"/>
      <c r="Y784" s="5"/>
      <c r="Z784" s="5"/>
      <c r="AA784" s="5"/>
      <c r="AB784" s="5"/>
      <c r="AC784" s="5"/>
      <c r="AD784" s="5"/>
      <c r="AE784" s="4"/>
      <c r="AF784" s="5"/>
      <c r="AG784" s="5"/>
      <c r="AH784" s="5"/>
      <c r="AI784" s="5"/>
      <c r="AJ784" s="5"/>
      <c r="AK784" s="5"/>
      <c r="AL784" s="5"/>
      <c r="AM784" s="5"/>
      <c r="AN784" s="4"/>
      <c r="AO784" s="5"/>
      <c r="AP784" s="5"/>
      <c r="AQ784" s="5"/>
      <c r="AR784" s="22"/>
      <c r="AS784" s="4"/>
      <c r="AT784" s="5"/>
      <c r="AU784" s="5"/>
      <c r="AV784" s="5"/>
    </row>
    <row r="785" spans="1:48" ht="12.7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4"/>
      <c r="V785" s="22"/>
      <c r="W785" s="5"/>
      <c r="X785" s="5"/>
      <c r="Y785" s="5"/>
      <c r="Z785" s="5"/>
      <c r="AA785" s="5"/>
      <c r="AB785" s="5"/>
      <c r="AC785" s="5"/>
      <c r="AD785" s="5"/>
      <c r="AE785" s="4"/>
      <c r="AF785" s="5"/>
      <c r="AG785" s="5"/>
      <c r="AH785" s="5"/>
      <c r="AI785" s="5"/>
      <c r="AJ785" s="5"/>
      <c r="AK785" s="5"/>
      <c r="AL785" s="5"/>
      <c r="AM785" s="5"/>
      <c r="AN785" s="4"/>
      <c r="AO785" s="5"/>
      <c r="AP785" s="5"/>
      <c r="AQ785" s="5"/>
      <c r="AR785" s="22"/>
      <c r="AS785" s="4"/>
      <c r="AT785" s="5"/>
      <c r="AU785" s="5"/>
      <c r="AV785" s="5"/>
    </row>
    <row r="786" spans="1:48" ht="12.7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4"/>
      <c r="V786" s="22"/>
      <c r="W786" s="5"/>
      <c r="X786" s="5"/>
      <c r="Y786" s="5"/>
      <c r="Z786" s="5"/>
      <c r="AA786" s="5"/>
      <c r="AB786" s="5"/>
      <c r="AC786" s="5"/>
      <c r="AD786" s="5"/>
      <c r="AE786" s="4"/>
      <c r="AF786" s="5"/>
      <c r="AG786" s="5"/>
      <c r="AH786" s="5"/>
      <c r="AI786" s="5"/>
      <c r="AJ786" s="5"/>
      <c r="AK786" s="5"/>
      <c r="AL786" s="5"/>
      <c r="AM786" s="5"/>
      <c r="AN786" s="4"/>
      <c r="AO786" s="5"/>
      <c r="AP786" s="5"/>
      <c r="AQ786" s="5"/>
      <c r="AR786" s="22"/>
      <c r="AS786" s="4"/>
      <c r="AT786" s="5"/>
      <c r="AU786" s="5"/>
      <c r="AV786" s="5"/>
    </row>
    <row r="787" spans="1:48" ht="12.7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4"/>
      <c r="V787" s="22"/>
      <c r="W787" s="5"/>
      <c r="X787" s="5"/>
      <c r="Y787" s="5"/>
      <c r="Z787" s="5"/>
      <c r="AA787" s="5"/>
      <c r="AB787" s="5"/>
      <c r="AC787" s="5"/>
      <c r="AD787" s="5"/>
      <c r="AE787" s="4"/>
      <c r="AF787" s="5"/>
      <c r="AG787" s="5"/>
      <c r="AH787" s="5"/>
      <c r="AI787" s="5"/>
      <c r="AJ787" s="5"/>
      <c r="AK787" s="5"/>
      <c r="AL787" s="5"/>
      <c r="AM787" s="5"/>
      <c r="AN787" s="4"/>
      <c r="AO787" s="5"/>
      <c r="AP787" s="5"/>
      <c r="AQ787" s="5"/>
      <c r="AR787" s="22"/>
      <c r="AS787" s="4"/>
      <c r="AT787" s="5"/>
      <c r="AU787" s="5"/>
      <c r="AV787" s="5"/>
    </row>
    <row r="788" spans="1:48" ht="12.7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4"/>
      <c r="V788" s="22"/>
      <c r="W788" s="5"/>
      <c r="X788" s="5"/>
      <c r="Y788" s="5"/>
      <c r="Z788" s="5"/>
      <c r="AA788" s="5"/>
      <c r="AB788" s="5"/>
      <c r="AC788" s="5"/>
      <c r="AD788" s="5"/>
      <c r="AE788" s="4"/>
      <c r="AF788" s="5"/>
      <c r="AG788" s="5"/>
      <c r="AH788" s="5"/>
      <c r="AI788" s="5"/>
      <c r="AJ788" s="5"/>
      <c r="AK788" s="5"/>
      <c r="AL788" s="5"/>
      <c r="AM788" s="5"/>
      <c r="AN788" s="4"/>
      <c r="AO788" s="5"/>
      <c r="AP788" s="5"/>
      <c r="AQ788" s="5"/>
      <c r="AR788" s="22"/>
      <c r="AS788" s="4"/>
      <c r="AT788" s="5"/>
      <c r="AU788" s="5"/>
      <c r="AV788" s="5"/>
    </row>
    <row r="789" spans="1:48" ht="12.7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4"/>
      <c r="V789" s="22"/>
      <c r="W789" s="5"/>
      <c r="X789" s="5"/>
      <c r="Y789" s="5"/>
      <c r="Z789" s="5"/>
      <c r="AA789" s="5"/>
      <c r="AB789" s="5"/>
      <c r="AC789" s="5"/>
      <c r="AD789" s="5"/>
      <c r="AE789" s="4"/>
      <c r="AF789" s="5"/>
      <c r="AG789" s="5"/>
      <c r="AH789" s="5"/>
      <c r="AI789" s="5"/>
      <c r="AJ789" s="5"/>
      <c r="AK789" s="5"/>
      <c r="AL789" s="5"/>
      <c r="AM789" s="5"/>
      <c r="AN789" s="4"/>
      <c r="AO789" s="5"/>
      <c r="AP789" s="5"/>
      <c r="AQ789" s="5"/>
      <c r="AR789" s="22"/>
      <c r="AS789" s="4"/>
      <c r="AT789" s="5"/>
      <c r="AU789" s="5"/>
      <c r="AV789" s="5"/>
    </row>
    <row r="790" spans="1:48" ht="12.7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4"/>
      <c r="V790" s="22"/>
      <c r="W790" s="5"/>
      <c r="X790" s="5"/>
      <c r="Y790" s="5"/>
      <c r="Z790" s="5"/>
      <c r="AA790" s="5"/>
      <c r="AB790" s="5"/>
      <c r="AC790" s="5"/>
      <c r="AD790" s="5"/>
      <c r="AE790" s="4"/>
      <c r="AF790" s="5"/>
      <c r="AG790" s="5"/>
      <c r="AH790" s="5"/>
      <c r="AI790" s="5"/>
      <c r="AJ790" s="5"/>
      <c r="AK790" s="5"/>
      <c r="AL790" s="5"/>
      <c r="AM790" s="5"/>
      <c r="AN790" s="4"/>
      <c r="AO790" s="5"/>
      <c r="AP790" s="5"/>
      <c r="AQ790" s="5"/>
      <c r="AR790" s="22"/>
      <c r="AS790" s="4"/>
      <c r="AT790" s="5"/>
      <c r="AU790" s="5"/>
      <c r="AV790" s="5"/>
    </row>
    <row r="791" spans="1:48" ht="12.7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4"/>
      <c r="V791" s="22"/>
      <c r="W791" s="5"/>
      <c r="X791" s="5"/>
      <c r="Y791" s="5"/>
      <c r="Z791" s="5"/>
      <c r="AA791" s="5"/>
      <c r="AB791" s="5"/>
      <c r="AC791" s="5"/>
      <c r="AD791" s="5"/>
      <c r="AE791" s="4"/>
      <c r="AF791" s="5"/>
      <c r="AG791" s="5"/>
      <c r="AH791" s="5"/>
      <c r="AI791" s="5"/>
      <c r="AJ791" s="5"/>
      <c r="AK791" s="5"/>
      <c r="AL791" s="5"/>
      <c r="AM791" s="5"/>
      <c r="AN791" s="4"/>
      <c r="AO791" s="5"/>
      <c r="AP791" s="5"/>
      <c r="AQ791" s="5"/>
      <c r="AR791" s="22"/>
      <c r="AS791" s="4"/>
      <c r="AT791" s="5"/>
      <c r="AU791" s="5"/>
      <c r="AV791" s="5"/>
    </row>
    <row r="792" spans="1:48" ht="12.7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4"/>
      <c r="V792" s="22"/>
      <c r="W792" s="5"/>
      <c r="X792" s="5"/>
      <c r="Y792" s="5"/>
      <c r="Z792" s="5"/>
      <c r="AA792" s="5"/>
      <c r="AB792" s="5"/>
      <c r="AC792" s="5"/>
      <c r="AD792" s="5"/>
      <c r="AE792" s="4"/>
      <c r="AF792" s="5"/>
      <c r="AG792" s="5"/>
      <c r="AH792" s="5"/>
      <c r="AI792" s="5"/>
      <c r="AJ792" s="5"/>
      <c r="AK792" s="5"/>
      <c r="AL792" s="5"/>
      <c r="AM792" s="5"/>
      <c r="AN792" s="4"/>
      <c r="AO792" s="5"/>
      <c r="AP792" s="5"/>
      <c r="AQ792" s="5"/>
      <c r="AR792" s="22"/>
      <c r="AS792" s="4"/>
      <c r="AT792" s="5"/>
      <c r="AU792" s="5"/>
      <c r="AV792" s="5"/>
    </row>
    <row r="793" spans="1:48" ht="12.7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4"/>
      <c r="V793" s="22"/>
      <c r="W793" s="5"/>
      <c r="X793" s="5"/>
      <c r="Y793" s="5"/>
      <c r="Z793" s="5"/>
      <c r="AA793" s="5"/>
      <c r="AB793" s="5"/>
      <c r="AC793" s="5"/>
      <c r="AD793" s="5"/>
      <c r="AE793" s="4"/>
      <c r="AF793" s="5"/>
      <c r="AG793" s="5"/>
      <c r="AH793" s="5"/>
      <c r="AI793" s="5"/>
      <c r="AJ793" s="5"/>
      <c r="AK793" s="5"/>
      <c r="AL793" s="5"/>
      <c r="AM793" s="5"/>
      <c r="AN793" s="4"/>
      <c r="AO793" s="5"/>
      <c r="AP793" s="5"/>
      <c r="AQ793" s="5"/>
      <c r="AR793" s="22"/>
      <c r="AS793" s="4"/>
      <c r="AT793" s="5"/>
      <c r="AU793" s="5"/>
      <c r="AV793" s="5"/>
    </row>
    <row r="794" spans="1:48" ht="12.7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4"/>
      <c r="V794" s="22"/>
      <c r="W794" s="5"/>
      <c r="X794" s="5"/>
      <c r="Y794" s="5"/>
      <c r="Z794" s="5"/>
      <c r="AA794" s="5"/>
      <c r="AB794" s="5"/>
      <c r="AC794" s="5"/>
      <c r="AD794" s="5"/>
      <c r="AE794" s="4"/>
      <c r="AF794" s="5"/>
      <c r="AG794" s="5"/>
      <c r="AH794" s="5"/>
      <c r="AI794" s="5"/>
      <c r="AJ794" s="5"/>
      <c r="AK794" s="5"/>
      <c r="AL794" s="5"/>
      <c r="AM794" s="5"/>
      <c r="AN794" s="4"/>
      <c r="AO794" s="5"/>
      <c r="AP794" s="5"/>
      <c r="AQ794" s="5"/>
      <c r="AR794" s="22"/>
      <c r="AS794" s="4"/>
      <c r="AT794" s="5"/>
      <c r="AU794" s="5"/>
      <c r="AV794" s="5"/>
    </row>
    <row r="795" spans="1:48" ht="12.7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4"/>
      <c r="V795" s="22"/>
      <c r="W795" s="5"/>
      <c r="X795" s="5"/>
      <c r="Y795" s="5"/>
      <c r="Z795" s="5"/>
      <c r="AA795" s="5"/>
      <c r="AB795" s="5"/>
      <c r="AC795" s="5"/>
      <c r="AD795" s="5"/>
      <c r="AE795" s="4"/>
      <c r="AF795" s="5"/>
      <c r="AG795" s="5"/>
      <c r="AH795" s="5"/>
      <c r="AI795" s="5"/>
      <c r="AJ795" s="5"/>
      <c r="AK795" s="5"/>
      <c r="AL795" s="5"/>
      <c r="AM795" s="5"/>
      <c r="AN795" s="4"/>
      <c r="AO795" s="5"/>
      <c r="AP795" s="5"/>
      <c r="AQ795" s="5"/>
      <c r="AR795" s="22"/>
      <c r="AS795" s="4"/>
      <c r="AT795" s="5"/>
      <c r="AU795" s="5"/>
      <c r="AV795" s="5"/>
    </row>
    <row r="796" spans="1:48" ht="12.7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4"/>
      <c r="V796" s="22"/>
      <c r="W796" s="5"/>
      <c r="X796" s="5"/>
      <c r="Y796" s="5"/>
      <c r="Z796" s="5"/>
      <c r="AA796" s="5"/>
      <c r="AB796" s="5"/>
      <c r="AC796" s="5"/>
      <c r="AD796" s="5"/>
      <c r="AE796" s="4"/>
      <c r="AF796" s="5"/>
      <c r="AG796" s="5"/>
      <c r="AH796" s="5"/>
      <c r="AI796" s="5"/>
      <c r="AJ796" s="5"/>
      <c r="AK796" s="5"/>
      <c r="AL796" s="5"/>
      <c r="AM796" s="5"/>
      <c r="AN796" s="4"/>
      <c r="AO796" s="5"/>
      <c r="AP796" s="5"/>
      <c r="AQ796" s="5"/>
      <c r="AR796" s="22"/>
      <c r="AS796" s="4"/>
      <c r="AT796" s="5"/>
      <c r="AU796" s="5"/>
      <c r="AV796" s="5"/>
    </row>
    <row r="797" spans="1:48" ht="12.7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4"/>
      <c r="V797" s="22"/>
      <c r="W797" s="5"/>
      <c r="X797" s="5"/>
      <c r="Y797" s="5"/>
      <c r="Z797" s="5"/>
      <c r="AA797" s="5"/>
      <c r="AB797" s="5"/>
      <c r="AC797" s="5"/>
      <c r="AD797" s="5"/>
      <c r="AE797" s="4"/>
      <c r="AF797" s="5"/>
      <c r="AG797" s="5"/>
      <c r="AH797" s="5"/>
      <c r="AI797" s="5"/>
      <c r="AJ797" s="5"/>
      <c r="AK797" s="5"/>
      <c r="AL797" s="5"/>
      <c r="AM797" s="5"/>
      <c r="AN797" s="4"/>
      <c r="AO797" s="5"/>
      <c r="AP797" s="5"/>
      <c r="AQ797" s="5"/>
      <c r="AR797" s="22"/>
      <c r="AS797" s="4"/>
      <c r="AT797" s="5"/>
      <c r="AU797" s="5"/>
      <c r="AV797" s="5"/>
    </row>
    <row r="798" spans="1:48" ht="12.7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4"/>
      <c r="V798" s="22"/>
      <c r="W798" s="5"/>
      <c r="X798" s="5"/>
      <c r="Y798" s="5"/>
      <c r="Z798" s="5"/>
      <c r="AA798" s="5"/>
      <c r="AB798" s="5"/>
      <c r="AC798" s="5"/>
      <c r="AD798" s="5"/>
      <c r="AE798" s="4"/>
      <c r="AF798" s="5"/>
      <c r="AG798" s="5"/>
      <c r="AH798" s="5"/>
      <c r="AI798" s="5"/>
      <c r="AJ798" s="5"/>
      <c r="AK798" s="5"/>
      <c r="AL798" s="5"/>
      <c r="AM798" s="5"/>
      <c r="AN798" s="4"/>
      <c r="AO798" s="5"/>
      <c r="AP798" s="5"/>
      <c r="AQ798" s="5"/>
      <c r="AR798" s="22"/>
      <c r="AS798" s="4"/>
      <c r="AT798" s="5"/>
      <c r="AU798" s="5"/>
      <c r="AV798" s="5"/>
    </row>
    <row r="799" spans="1:48" ht="12.7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4"/>
      <c r="V799" s="22"/>
      <c r="W799" s="5"/>
      <c r="X799" s="5"/>
      <c r="Y799" s="5"/>
      <c r="Z799" s="5"/>
      <c r="AA799" s="5"/>
      <c r="AB799" s="5"/>
      <c r="AC799" s="5"/>
      <c r="AD799" s="5"/>
      <c r="AE799" s="4"/>
      <c r="AF799" s="5"/>
      <c r="AG799" s="5"/>
      <c r="AH799" s="5"/>
      <c r="AI799" s="5"/>
      <c r="AJ799" s="5"/>
      <c r="AK799" s="5"/>
      <c r="AL799" s="5"/>
      <c r="AM799" s="5"/>
      <c r="AN799" s="4"/>
      <c r="AO799" s="5"/>
      <c r="AP799" s="5"/>
      <c r="AQ799" s="5"/>
      <c r="AR799" s="22"/>
      <c r="AS799" s="4"/>
      <c r="AT799" s="5"/>
      <c r="AU799" s="5"/>
      <c r="AV799" s="5"/>
    </row>
    <row r="800" spans="1:48" ht="12.7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4"/>
      <c r="V800" s="22"/>
      <c r="W800" s="5"/>
      <c r="X800" s="5"/>
      <c r="Y800" s="5"/>
      <c r="Z800" s="5"/>
      <c r="AA800" s="5"/>
      <c r="AB800" s="5"/>
      <c r="AC800" s="5"/>
      <c r="AD800" s="5"/>
      <c r="AE800" s="4"/>
      <c r="AF800" s="5"/>
      <c r="AG800" s="5"/>
      <c r="AH800" s="5"/>
      <c r="AI800" s="5"/>
      <c r="AJ800" s="5"/>
      <c r="AK800" s="5"/>
      <c r="AL800" s="5"/>
      <c r="AM800" s="5"/>
      <c r="AN800" s="4"/>
      <c r="AO800" s="5"/>
      <c r="AP800" s="5"/>
      <c r="AQ800" s="5"/>
      <c r="AR800" s="22"/>
      <c r="AS800" s="4"/>
      <c r="AT800" s="5"/>
      <c r="AU800" s="5"/>
      <c r="AV800" s="5"/>
    </row>
    <row r="801" spans="1:48" ht="12.7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4"/>
      <c r="V801" s="22"/>
      <c r="W801" s="5"/>
      <c r="X801" s="5"/>
      <c r="Y801" s="5"/>
      <c r="Z801" s="5"/>
      <c r="AA801" s="5"/>
      <c r="AB801" s="5"/>
      <c r="AC801" s="5"/>
      <c r="AD801" s="5"/>
      <c r="AE801" s="4"/>
      <c r="AF801" s="5"/>
      <c r="AG801" s="5"/>
      <c r="AH801" s="5"/>
      <c r="AI801" s="5"/>
      <c r="AJ801" s="5"/>
      <c r="AK801" s="5"/>
      <c r="AL801" s="5"/>
      <c r="AM801" s="5"/>
      <c r="AN801" s="4"/>
      <c r="AO801" s="5"/>
      <c r="AP801" s="5"/>
      <c r="AQ801" s="5"/>
      <c r="AR801" s="22"/>
      <c r="AS801" s="4"/>
      <c r="AT801" s="5"/>
      <c r="AU801" s="5"/>
      <c r="AV801" s="5"/>
    </row>
    <row r="802" spans="1:48" ht="12.7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4"/>
      <c r="V802" s="22"/>
      <c r="W802" s="5"/>
      <c r="X802" s="5"/>
      <c r="Y802" s="5"/>
      <c r="Z802" s="5"/>
      <c r="AA802" s="5"/>
      <c r="AB802" s="5"/>
      <c r="AC802" s="5"/>
      <c r="AD802" s="5"/>
      <c r="AE802" s="4"/>
      <c r="AF802" s="5"/>
      <c r="AG802" s="5"/>
      <c r="AH802" s="5"/>
      <c r="AI802" s="5"/>
      <c r="AJ802" s="5"/>
      <c r="AK802" s="5"/>
      <c r="AL802" s="5"/>
      <c r="AM802" s="5"/>
      <c r="AN802" s="4"/>
      <c r="AO802" s="5"/>
      <c r="AP802" s="5"/>
      <c r="AQ802" s="5"/>
      <c r="AR802" s="22"/>
      <c r="AS802" s="4"/>
      <c r="AT802" s="5"/>
      <c r="AU802" s="5"/>
      <c r="AV802" s="5"/>
    </row>
    <row r="803" spans="1:48" ht="12.7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4"/>
      <c r="V803" s="22"/>
      <c r="W803" s="5"/>
      <c r="X803" s="5"/>
      <c r="Y803" s="5"/>
      <c r="Z803" s="5"/>
      <c r="AA803" s="5"/>
      <c r="AB803" s="5"/>
      <c r="AC803" s="5"/>
      <c r="AD803" s="5"/>
      <c r="AE803" s="4"/>
      <c r="AF803" s="5"/>
      <c r="AG803" s="5"/>
      <c r="AH803" s="5"/>
      <c r="AI803" s="5"/>
      <c r="AJ803" s="5"/>
      <c r="AK803" s="5"/>
      <c r="AL803" s="5"/>
      <c r="AM803" s="5"/>
      <c r="AN803" s="4"/>
      <c r="AO803" s="5"/>
      <c r="AP803" s="5"/>
      <c r="AQ803" s="5"/>
      <c r="AR803" s="22"/>
      <c r="AS803" s="4"/>
      <c r="AT803" s="5"/>
      <c r="AU803" s="5"/>
      <c r="AV803" s="5"/>
    </row>
    <row r="804" spans="1:48" ht="12.7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4"/>
      <c r="V804" s="22"/>
      <c r="W804" s="5"/>
      <c r="X804" s="5"/>
      <c r="Y804" s="5"/>
      <c r="Z804" s="5"/>
      <c r="AA804" s="5"/>
      <c r="AB804" s="5"/>
      <c r="AC804" s="5"/>
      <c r="AD804" s="5"/>
      <c r="AE804" s="4"/>
      <c r="AF804" s="5"/>
      <c r="AG804" s="5"/>
      <c r="AH804" s="5"/>
      <c r="AI804" s="5"/>
      <c r="AJ804" s="5"/>
      <c r="AK804" s="5"/>
      <c r="AL804" s="5"/>
      <c r="AM804" s="5"/>
      <c r="AN804" s="4"/>
      <c r="AO804" s="5"/>
      <c r="AP804" s="5"/>
      <c r="AQ804" s="5"/>
      <c r="AR804" s="22"/>
      <c r="AS804" s="4"/>
      <c r="AT804" s="5"/>
      <c r="AU804" s="5"/>
      <c r="AV804" s="5"/>
    </row>
    <row r="805" spans="1:48" ht="12.7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4"/>
      <c r="V805" s="22"/>
      <c r="W805" s="5"/>
      <c r="X805" s="5"/>
      <c r="Y805" s="5"/>
      <c r="Z805" s="5"/>
      <c r="AA805" s="5"/>
      <c r="AB805" s="5"/>
      <c r="AC805" s="5"/>
      <c r="AD805" s="5"/>
      <c r="AE805" s="4"/>
      <c r="AF805" s="5"/>
      <c r="AG805" s="5"/>
      <c r="AH805" s="5"/>
      <c r="AI805" s="5"/>
      <c r="AJ805" s="5"/>
      <c r="AK805" s="5"/>
      <c r="AL805" s="5"/>
      <c r="AM805" s="5"/>
      <c r="AN805" s="4"/>
      <c r="AO805" s="5"/>
      <c r="AP805" s="5"/>
      <c r="AQ805" s="5"/>
      <c r="AR805" s="22"/>
      <c r="AS805" s="4"/>
      <c r="AT805" s="5"/>
      <c r="AU805" s="5"/>
      <c r="AV805" s="5"/>
    </row>
    <row r="806" spans="1:48" ht="12.7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4"/>
      <c r="V806" s="22"/>
      <c r="W806" s="5"/>
      <c r="X806" s="5"/>
      <c r="Y806" s="5"/>
      <c r="Z806" s="5"/>
      <c r="AA806" s="5"/>
      <c r="AB806" s="5"/>
      <c r="AC806" s="5"/>
      <c r="AD806" s="5"/>
      <c r="AE806" s="4"/>
      <c r="AF806" s="5"/>
      <c r="AG806" s="5"/>
      <c r="AH806" s="5"/>
      <c r="AI806" s="5"/>
      <c r="AJ806" s="5"/>
      <c r="AK806" s="5"/>
      <c r="AL806" s="5"/>
      <c r="AM806" s="5"/>
      <c r="AN806" s="4"/>
      <c r="AO806" s="5"/>
      <c r="AP806" s="5"/>
      <c r="AQ806" s="5"/>
      <c r="AR806" s="22"/>
      <c r="AS806" s="4"/>
      <c r="AT806" s="5"/>
      <c r="AU806" s="5"/>
      <c r="AV806" s="5"/>
    </row>
    <row r="807" spans="1:48" ht="12.7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4"/>
      <c r="V807" s="22"/>
      <c r="W807" s="5"/>
      <c r="X807" s="5"/>
      <c r="Y807" s="5"/>
      <c r="Z807" s="5"/>
      <c r="AA807" s="5"/>
      <c r="AB807" s="5"/>
      <c r="AC807" s="5"/>
      <c r="AD807" s="5"/>
      <c r="AE807" s="4"/>
      <c r="AF807" s="5"/>
      <c r="AG807" s="5"/>
      <c r="AH807" s="5"/>
      <c r="AI807" s="5"/>
      <c r="AJ807" s="5"/>
      <c r="AK807" s="5"/>
      <c r="AL807" s="5"/>
      <c r="AM807" s="5"/>
      <c r="AN807" s="4"/>
      <c r="AO807" s="5"/>
      <c r="AP807" s="5"/>
      <c r="AQ807" s="5"/>
      <c r="AR807" s="22"/>
      <c r="AS807" s="4"/>
      <c r="AT807" s="5"/>
      <c r="AU807" s="5"/>
      <c r="AV807" s="5"/>
    </row>
    <row r="808" spans="1:48" ht="12.7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4"/>
      <c r="V808" s="22"/>
      <c r="W808" s="5"/>
      <c r="X808" s="5"/>
      <c r="Y808" s="5"/>
      <c r="Z808" s="5"/>
      <c r="AA808" s="5"/>
      <c r="AB808" s="5"/>
      <c r="AC808" s="5"/>
      <c r="AD808" s="5"/>
      <c r="AE808" s="4"/>
      <c r="AF808" s="5"/>
      <c r="AG808" s="5"/>
      <c r="AH808" s="5"/>
      <c r="AI808" s="5"/>
      <c r="AJ808" s="5"/>
      <c r="AK808" s="5"/>
      <c r="AL808" s="5"/>
      <c r="AM808" s="5"/>
      <c r="AN808" s="4"/>
      <c r="AO808" s="5"/>
      <c r="AP808" s="5"/>
      <c r="AQ808" s="5"/>
      <c r="AR808" s="22"/>
      <c r="AS808" s="4"/>
      <c r="AT808" s="5"/>
      <c r="AU808" s="5"/>
      <c r="AV808" s="5"/>
    </row>
    <row r="809" spans="1:48" ht="12.7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4"/>
      <c r="V809" s="22"/>
      <c r="W809" s="5"/>
      <c r="X809" s="5"/>
      <c r="Y809" s="5"/>
      <c r="Z809" s="5"/>
      <c r="AA809" s="5"/>
      <c r="AB809" s="5"/>
      <c r="AC809" s="5"/>
      <c r="AD809" s="5"/>
      <c r="AE809" s="4"/>
      <c r="AF809" s="5"/>
      <c r="AG809" s="5"/>
      <c r="AH809" s="5"/>
      <c r="AI809" s="5"/>
      <c r="AJ809" s="5"/>
      <c r="AK809" s="5"/>
      <c r="AL809" s="5"/>
      <c r="AM809" s="5"/>
      <c r="AN809" s="4"/>
      <c r="AO809" s="5"/>
      <c r="AP809" s="5"/>
      <c r="AQ809" s="5"/>
      <c r="AR809" s="22"/>
      <c r="AS809" s="4"/>
      <c r="AT809" s="5"/>
      <c r="AU809" s="5"/>
      <c r="AV809" s="5"/>
    </row>
    <row r="810" spans="1:48" ht="12.7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4"/>
      <c r="V810" s="22"/>
      <c r="W810" s="5"/>
      <c r="X810" s="5"/>
      <c r="Y810" s="5"/>
      <c r="Z810" s="5"/>
      <c r="AA810" s="5"/>
      <c r="AB810" s="5"/>
      <c r="AC810" s="5"/>
      <c r="AD810" s="5"/>
      <c r="AE810" s="4"/>
      <c r="AF810" s="5"/>
      <c r="AG810" s="5"/>
      <c r="AH810" s="5"/>
      <c r="AI810" s="5"/>
      <c r="AJ810" s="5"/>
      <c r="AK810" s="5"/>
      <c r="AL810" s="5"/>
      <c r="AM810" s="5"/>
      <c r="AN810" s="4"/>
      <c r="AO810" s="5"/>
      <c r="AP810" s="5"/>
      <c r="AQ810" s="5"/>
      <c r="AR810" s="22"/>
      <c r="AS810" s="4"/>
      <c r="AT810" s="5"/>
      <c r="AU810" s="5"/>
      <c r="AV810" s="5"/>
    </row>
    <row r="811" spans="1:48" ht="12.7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4"/>
      <c r="V811" s="22"/>
      <c r="W811" s="5"/>
      <c r="X811" s="5"/>
      <c r="Y811" s="5"/>
      <c r="Z811" s="5"/>
      <c r="AA811" s="5"/>
      <c r="AB811" s="5"/>
      <c r="AC811" s="5"/>
      <c r="AD811" s="5"/>
      <c r="AE811" s="4"/>
      <c r="AF811" s="5"/>
      <c r="AG811" s="5"/>
      <c r="AH811" s="5"/>
      <c r="AI811" s="5"/>
      <c r="AJ811" s="5"/>
      <c r="AK811" s="5"/>
      <c r="AL811" s="5"/>
      <c r="AM811" s="5"/>
      <c r="AN811" s="4"/>
      <c r="AO811" s="5"/>
      <c r="AP811" s="5"/>
      <c r="AQ811" s="5"/>
      <c r="AR811" s="22"/>
      <c r="AS811" s="4"/>
      <c r="AT811" s="5"/>
      <c r="AU811" s="5"/>
      <c r="AV811" s="5"/>
    </row>
    <row r="812" spans="1:48" ht="12.7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4"/>
      <c r="V812" s="22"/>
      <c r="W812" s="5"/>
      <c r="X812" s="5"/>
      <c r="Y812" s="5"/>
      <c r="Z812" s="5"/>
      <c r="AA812" s="5"/>
      <c r="AB812" s="5"/>
      <c r="AC812" s="5"/>
      <c r="AD812" s="5"/>
      <c r="AE812" s="4"/>
      <c r="AF812" s="5"/>
      <c r="AG812" s="5"/>
      <c r="AH812" s="5"/>
      <c r="AI812" s="5"/>
      <c r="AJ812" s="5"/>
      <c r="AK812" s="5"/>
      <c r="AL812" s="5"/>
      <c r="AM812" s="5"/>
      <c r="AN812" s="4"/>
      <c r="AO812" s="5"/>
      <c r="AP812" s="5"/>
      <c r="AQ812" s="5"/>
      <c r="AR812" s="22"/>
      <c r="AS812" s="4"/>
      <c r="AT812" s="5"/>
      <c r="AU812" s="5"/>
      <c r="AV812" s="5"/>
    </row>
    <row r="813" spans="1:48" ht="12.7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4"/>
      <c r="V813" s="22"/>
      <c r="W813" s="5"/>
      <c r="X813" s="5"/>
      <c r="Y813" s="5"/>
      <c r="Z813" s="5"/>
      <c r="AA813" s="5"/>
      <c r="AB813" s="5"/>
      <c r="AC813" s="5"/>
      <c r="AD813" s="5"/>
      <c r="AE813" s="4"/>
      <c r="AF813" s="5"/>
      <c r="AG813" s="5"/>
      <c r="AH813" s="5"/>
      <c r="AI813" s="5"/>
      <c r="AJ813" s="5"/>
      <c r="AK813" s="5"/>
      <c r="AL813" s="5"/>
      <c r="AM813" s="5"/>
      <c r="AN813" s="4"/>
      <c r="AO813" s="5"/>
      <c r="AP813" s="5"/>
      <c r="AQ813" s="5"/>
      <c r="AR813" s="22"/>
      <c r="AS813" s="4"/>
      <c r="AT813" s="5"/>
      <c r="AU813" s="5"/>
      <c r="AV813" s="5"/>
    </row>
    <row r="814" spans="1:48" ht="12.7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4"/>
      <c r="V814" s="22"/>
      <c r="W814" s="5"/>
      <c r="X814" s="5"/>
      <c r="Y814" s="5"/>
      <c r="Z814" s="5"/>
      <c r="AA814" s="5"/>
      <c r="AB814" s="5"/>
      <c r="AC814" s="5"/>
      <c r="AD814" s="5"/>
      <c r="AE814" s="4"/>
      <c r="AF814" s="5"/>
      <c r="AG814" s="5"/>
      <c r="AH814" s="5"/>
      <c r="AI814" s="5"/>
      <c r="AJ814" s="5"/>
      <c r="AK814" s="5"/>
      <c r="AL814" s="5"/>
      <c r="AM814" s="5"/>
      <c r="AN814" s="4"/>
      <c r="AO814" s="5"/>
      <c r="AP814" s="5"/>
      <c r="AQ814" s="5"/>
      <c r="AR814" s="22"/>
      <c r="AS814" s="4"/>
      <c r="AT814" s="5"/>
      <c r="AU814" s="5"/>
      <c r="AV814" s="5"/>
    </row>
    <row r="815" spans="1:48" ht="12.7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4"/>
      <c r="V815" s="22"/>
      <c r="W815" s="5"/>
      <c r="X815" s="5"/>
      <c r="Y815" s="5"/>
      <c r="Z815" s="5"/>
      <c r="AA815" s="5"/>
      <c r="AB815" s="5"/>
      <c r="AC815" s="5"/>
      <c r="AD815" s="5"/>
      <c r="AE815" s="4"/>
      <c r="AF815" s="5"/>
      <c r="AG815" s="5"/>
      <c r="AH815" s="5"/>
      <c r="AI815" s="5"/>
      <c r="AJ815" s="5"/>
      <c r="AK815" s="5"/>
      <c r="AL815" s="5"/>
      <c r="AM815" s="5"/>
      <c r="AN815" s="4"/>
      <c r="AO815" s="5"/>
      <c r="AP815" s="5"/>
      <c r="AQ815" s="5"/>
      <c r="AR815" s="22"/>
      <c r="AS815" s="4"/>
      <c r="AT815" s="5"/>
      <c r="AU815" s="5"/>
      <c r="AV815" s="5"/>
    </row>
    <row r="816" spans="1:48" ht="12.7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4"/>
      <c r="V816" s="22"/>
      <c r="W816" s="5"/>
      <c r="X816" s="5"/>
      <c r="Y816" s="5"/>
      <c r="Z816" s="5"/>
      <c r="AA816" s="5"/>
      <c r="AB816" s="5"/>
      <c r="AC816" s="5"/>
      <c r="AD816" s="5"/>
      <c r="AE816" s="4"/>
      <c r="AF816" s="5"/>
      <c r="AG816" s="5"/>
      <c r="AH816" s="5"/>
      <c r="AI816" s="5"/>
      <c r="AJ816" s="5"/>
      <c r="AK816" s="5"/>
      <c r="AL816" s="5"/>
      <c r="AM816" s="5"/>
      <c r="AN816" s="4"/>
      <c r="AO816" s="5"/>
      <c r="AP816" s="5"/>
      <c r="AQ816" s="5"/>
      <c r="AR816" s="22"/>
      <c r="AS816" s="4"/>
      <c r="AT816" s="5"/>
      <c r="AU816" s="5"/>
      <c r="AV816" s="5"/>
    </row>
    <row r="817" spans="1:48" ht="12.7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4"/>
      <c r="V817" s="22"/>
      <c r="W817" s="5"/>
      <c r="X817" s="5"/>
      <c r="Y817" s="5"/>
      <c r="Z817" s="5"/>
      <c r="AA817" s="5"/>
      <c r="AB817" s="5"/>
      <c r="AC817" s="5"/>
      <c r="AD817" s="5"/>
      <c r="AE817" s="4"/>
      <c r="AF817" s="5"/>
      <c r="AG817" s="5"/>
      <c r="AH817" s="5"/>
      <c r="AI817" s="5"/>
      <c r="AJ817" s="5"/>
      <c r="AK817" s="5"/>
      <c r="AL817" s="5"/>
      <c r="AM817" s="5"/>
      <c r="AN817" s="4"/>
      <c r="AO817" s="5"/>
      <c r="AP817" s="5"/>
      <c r="AQ817" s="5"/>
      <c r="AR817" s="22"/>
      <c r="AS817" s="4"/>
      <c r="AT817" s="5"/>
      <c r="AU817" s="5"/>
      <c r="AV817" s="5"/>
    </row>
    <row r="818" spans="1:48" ht="12.7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4"/>
      <c r="V818" s="22"/>
      <c r="W818" s="5"/>
      <c r="X818" s="5"/>
      <c r="Y818" s="5"/>
      <c r="Z818" s="5"/>
      <c r="AA818" s="5"/>
      <c r="AB818" s="5"/>
      <c r="AC818" s="5"/>
      <c r="AD818" s="5"/>
      <c r="AE818" s="4"/>
      <c r="AF818" s="5"/>
      <c r="AG818" s="5"/>
      <c r="AH818" s="5"/>
      <c r="AI818" s="5"/>
      <c r="AJ818" s="5"/>
      <c r="AK818" s="5"/>
      <c r="AL818" s="5"/>
      <c r="AM818" s="5"/>
      <c r="AN818" s="4"/>
      <c r="AO818" s="5"/>
      <c r="AP818" s="5"/>
      <c r="AQ818" s="5"/>
      <c r="AR818" s="22"/>
      <c r="AS818" s="4"/>
      <c r="AT818" s="5"/>
      <c r="AU818" s="5"/>
      <c r="AV818" s="5"/>
    </row>
    <row r="819" spans="1:48" ht="12.7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4"/>
      <c r="V819" s="22"/>
      <c r="W819" s="5"/>
      <c r="X819" s="5"/>
      <c r="Y819" s="5"/>
      <c r="Z819" s="5"/>
      <c r="AA819" s="5"/>
      <c r="AB819" s="5"/>
      <c r="AC819" s="5"/>
      <c r="AD819" s="5"/>
      <c r="AE819" s="4"/>
      <c r="AF819" s="5"/>
      <c r="AG819" s="5"/>
      <c r="AH819" s="5"/>
      <c r="AI819" s="5"/>
      <c r="AJ819" s="5"/>
      <c r="AK819" s="5"/>
      <c r="AL819" s="5"/>
      <c r="AM819" s="5"/>
      <c r="AN819" s="4"/>
      <c r="AO819" s="5"/>
      <c r="AP819" s="5"/>
      <c r="AQ819" s="5"/>
      <c r="AR819" s="22"/>
      <c r="AS819" s="4"/>
      <c r="AT819" s="5"/>
      <c r="AU819" s="5"/>
      <c r="AV819" s="5"/>
    </row>
    <row r="820" spans="1:48" ht="12.7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4"/>
      <c r="V820" s="22"/>
      <c r="W820" s="5"/>
      <c r="X820" s="5"/>
      <c r="Y820" s="5"/>
      <c r="Z820" s="5"/>
      <c r="AA820" s="5"/>
      <c r="AB820" s="5"/>
      <c r="AC820" s="5"/>
      <c r="AD820" s="5"/>
      <c r="AE820" s="4"/>
      <c r="AF820" s="5"/>
      <c r="AG820" s="5"/>
      <c r="AH820" s="5"/>
      <c r="AI820" s="5"/>
      <c r="AJ820" s="5"/>
      <c r="AK820" s="5"/>
      <c r="AL820" s="5"/>
      <c r="AM820" s="5"/>
      <c r="AN820" s="4"/>
      <c r="AO820" s="5"/>
      <c r="AP820" s="5"/>
      <c r="AQ820" s="5"/>
      <c r="AR820" s="22"/>
      <c r="AS820" s="4"/>
      <c r="AT820" s="5"/>
      <c r="AU820" s="5"/>
      <c r="AV820" s="5"/>
    </row>
    <row r="821" spans="1:48" ht="12.7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4"/>
      <c r="V821" s="22"/>
      <c r="W821" s="5"/>
      <c r="X821" s="5"/>
      <c r="Y821" s="5"/>
      <c r="Z821" s="5"/>
      <c r="AA821" s="5"/>
      <c r="AB821" s="5"/>
      <c r="AC821" s="5"/>
      <c r="AD821" s="5"/>
      <c r="AE821" s="4"/>
      <c r="AF821" s="5"/>
      <c r="AG821" s="5"/>
      <c r="AH821" s="5"/>
      <c r="AI821" s="5"/>
      <c r="AJ821" s="5"/>
      <c r="AK821" s="5"/>
      <c r="AL821" s="5"/>
      <c r="AM821" s="5"/>
      <c r="AN821" s="4"/>
      <c r="AO821" s="5"/>
      <c r="AP821" s="5"/>
      <c r="AQ821" s="5"/>
      <c r="AR821" s="22"/>
      <c r="AS821" s="4"/>
      <c r="AT821" s="5"/>
      <c r="AU821" s="5"/>
      <c r="AV821" s="5"/>
    </row>
    <row r="822" spans="1:48" ht="12.7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4"/>
      <c r="V822" s="22"/>
      <c r="W822" s="5"/>
      <c r="X822" s="5"/>
      <c r="Y822" s="5"/>
      <c r="Z822" s="5"/>
      <c r="AA822" s="5"/>
      <c r="AB822" s="5"/>
      <c r="AC822" s="5"/>
      <c r="AD822" s="5"/>
      <c r="AE822" s="4"/>
      <c r="AF822" s="5"/>
      <c r="AG822" s="5"/>
      <c r="AH822" s="5"/>
      <c r="AI822" s="5"/>
      <c r="AJ822" s="5"/>
      <c r="AK822" s="5"/>
      <c r="AL822" s="5"/>
      <c r="AM822" s="5"/>
      <c r="AN822" s="4"/>
      <c r="AO822" s="5"/>
      <c r="AP822" s="5"/>
      <c r="AQ822" s="5"/>
      <c r="AR822" s="22"/>
      <c r="AS822" s="4"/>
      <c r="AT822" s="5"/>
      <c r="AU822" s="5"/>
      <c r="AV822" s="5"/>
    </row>
    <row r="823" spans="1:48" ht="12.7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4"/>
      <c r="V823" s="22"/>
      <c r="W823" s="5"/>
      <c r="X823" s="5"/>
      <c r="Y823" s="5"/>
      <c r="Z823" s="5"/>
      <c r="AA823" s="5"/>
      <c r="AB823" s="5"/>
      <c r="AC823" s="5"/>
      <c r="AD823" s="5"/>
      <c r="AE823" s="4"/>
      <c r="AF823" s="5"/>
      <c r="AG823" s="5"/>
      <c r="AH823" s="5"/>
      <c r="AI823" s="5"/>
      <c r="AJ823" s="5"/>
      <c r="AK823" s="5"/>
      <c r="AL823" s="5"/>
      <c r="AM823" s="5"/>
      <c r="AN823" s="4"/>
      <c r="AO823" s="5"/>
      <c r="AP823" s="5"/>
      <c r="AQ823" s="5"/>
      <c r="AR823" s="22"/>
      <c r="AS823" s="4"/>
      <c r="AT823" s="5"/>
      <c r="AU823" s="5"/>
      <c r="AV823" s="5"/>
    </row>
    <row r="824" spans="1:48" ht="12.7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4"/>
      <c r="V824" s="22"/>
      <c r="W824" s="5"/>
      <c r="X824" s="5"/>
      <c r="Y824" s="5"/>
      <c r="Z824" s="5"/>
      <c r="AA824" s="5"/>
      <c r="AB824" s="5"/>
      <c r="AC824" s="5"/>
      <c r="AD824" s="5"/>
      <c r="AE824" s="4"/>
      <c r="AF824" s="5"/>
      <c r="AG824" s="5"/>
      <c r="AH824" s="5"/>
      <c r="AI824" s="5"/>
      <c r="AJ824" s="5"/>
      <c r="AK824" s="5"/>
      <c r="AL824" s="5"/>
      <c r="AM824" s="5"/>
      <c r="AN824" s="4"/>
      <c r="AO824" s="5"/>
      <c r="AP824" s="5"/>
      <c r="AQ824" s="5"/>
      <c r="AR824" s="22"/>
      <c r="AS824" s="4"/>
      <c r="AT824" s="5"/>
      <c r="AU824" s="5"/>
      <c r="AV824" s="5"/>
    </row>
    <row r="825" spans="1:48" ht="12.7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4"/>
      <c r="V825" s="22"/>
      <c r="W825" s="5"/>
      <c r="X825" s="5"/>
      <c r="Y825" s="5"/>
      <c r="Z825" s="5"/>
      <c r="AA825" s="5"/>
      <c r="AB825" s="5"/>
      <c r="AC825" s="5"/>
      <c r="AD825" s="5"/>
      <c r="AE825" s="4"/>
      <c r="AF825" s="5"/>
      <c r="AG825" s="5"/>
      <c r="AH825" s="5"/>
      <c r="AI825" s="5"/>
      <c r="AJ825" s="5"/>
      <c r="AK825" s="5"/>
      <c r="AL825" s="5"/>
      <c r="AM825" s="5"/>
      <c r="AN825" s="4"/>
      <c r="AO825" s="5"/>
      <c r="AP825" s="5"/>
      <c r="AQ825" s="5"/>
      <c r="AR825" s="22"/>
      <c r="AS825" s="4"/>
      <c r="AT825" s="5"/>
      <c r="AU825" s="5"/>
      <c r="AV825" s="5"/>
    </row>
    <row r="826" spans="1:48" ht="12.7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4"/>
      <c r="V826" s="22"/>
      <c r="W826" s="5"/>
      <c r="X826" s="5"/>
      <c r="Y826" s="5"/>
      <c r="Z826" s="5"/>
      <c r="AA826" s="5"/>
      <c r="AB826" s="5"/>
      <c r="AC826" s="5"/>
      <c r="AD826" s="5"/>
      <c r="AE826" s="4"/>
      <c r="AF826" s="5"/>
      <c r="AG826" s="5"/>
      <c r="AH826" s="5"/>
      <c r="AI826" s="5"/>
      <c r="AJ826" s="5"/>
      <c r="AK826" s="5"/>
      <c r="AL826" s="5"/>
      <c r="AM826" s="5"/>
      <c r="AN826" s="4"/>
      <c r="AO826" s="5"/>
      <c r="AP826" s="5"/>
      <c r="AQ826" s="5"/>
      <c r="AR826" s="22"/>
      <c r="AS826" s="4"/>
      <c r="AT826" s="5"/>
      <c r="AU826" s="5"/>
      <c r="AV826" s="5"/>
    </row>
    <row r="827" spans="1:48" ht="12.7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4"/>
      <c r="V827" s="22"/>
      <c r="W827" s="5"/>
      <c r="X827" s="5"/>
      <c r="Y827" s="5"/>
      <c r="Z827" s="5"/>
      <c r="AA827" s="5"/>
      <c r="AB827" s="5"/>
      <c r="AC827" s="5"/>
      <c r="AD827" s="5"/>
      <c r="AE827" s="4"/>
      <c r="AF827" s="5"/>
      <c r="AG827" s="5"/>
      <c r="AH827" s="5"/>
      <c r="AI827" s="5"/>
      <c r="AJ827" s="5"/>
      <c r="AK827" s="5"/>
      <c r="AL827" s="5"/>
      <c r="AM827" s="5"/>
      <c r="AN827" s="4"/>
      <c r="AO827" s="5"/>
      <c r="AP827" s="5"/>
      <c r="AQ827" s="5"/>
      <c r="AR827" s="22"/>
      <c r="AS827" s="4"/>
      <c r="AT827" s="5"/>
      <c r="AU827" s="5"/>
      <c r="AV827" s="5"/>
    </row>
    <row r="828" spans="1:48" ht="12.7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4"/>
      <c r="V828" s="22"/>
      <c r="W828" s="5"/>
      <c r="X828" s="5"/>
      <c r="Y828" s="5"/>
      <c r="Z828" s="5"/>
      <c r="AA828" s="5"/>
      <c r="AB828" s="5"/>
      <c r="AC828" s="5"/>
      <c r="AD828" s="5"/>
      <c r="AE828" s="4"/>
      <c r="AF828" s="5"/>
      <c r="AG828" s="5"/>
      <c r="AH828" s="5"/>
      <c r="AI828" s="5"/>
      <c r="AJ828" s="5"/>
      <c r="AK828" s="5"/>
      <c r="AL828" s="5"/>
      <c r="AM828" s="5"/>
      <c r="AN828" s="4"/>
      <c r="AO828" s="5"/>
      <c r="AP828" s="5"/>
      <c r="AQ828" s="5"/>
      <c r="AR828" s="22"/>
      <c r="AS828" s="4"/>
      <c r="AT828" s="5"/>
      <c r="AU828" s="5"/>
      <c r="AV828" s="5"/>
    </row>
    <row r="829" spans="1:48" ht="12.7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4"/>
      <c r="V829" s="22"/>
      <c r="W829" s="5"/>
      <c r="X829" s="5"/>
      <c r="Y829" s="5"/>
      <c r="Z829" s="5"/>
      <c r="AA829" s="5"/>
      <c r="AB829" s="5"/>
      <c r="AC829" s="5"/>
      <c r="AD829" s="5"/>
      <c r="AE829" s="4"/>
      <c r="AF829" s="5"/>
      <c r="AG829" s="5"/>
      <c r="AH829" s="5"/>
      <c r="AI829" s="5"/>
      <c r="AJ829" s="5"/>
      <c r="AK829" s="5"/>
      <c r="AL829" s="5"/>
      <c r="AM829" s="5"/>
      <c r="AN829" s="4"/>
      <c r="AO829" s="5"/>
      <c r="AP829" s="5"/>
      <c r="AQ829" s="5"/>
      <c r="AR829" s="22"/>
      <c r="AS829" s="4"/>
      <c r="AT829" s="5"/>
      <c r="AU829" s="5"/>
      <c r="AV829" s="5"/>
    </row>
    <row r="830" spans="1:48" ht="12.7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4"/>
      <c r="V830" s="22"/>
      <c r="W830" s="5"/>
      <c r="X830" s="5"/>
      <c r="Y830" s="5"/>
      <c r="Z830" s="5"/>
      <c r="AA830" s="5"/>
      <c r="AB830" s="5"/>
      <c r="AC830" s="5"/>
      <c r="AD830" s="5"/>
      <c r="AE830" s="4"/>
      <c r="AF830" s="5"/>
      <c r="AG830" s="5"/>
      <c r="AH830" s="5"/>
      <c r="AI830" s="5"/>
      <c r="AJ830" s="5"/>
      <c r="AK830" s="5"/>
      <c r="AL830" s="5"/>
      <c r="AM830" s="5"/>
      <c r="AN830" s="4"/>
      <c r="AO830" s="5"/>
      <c r="AP830" s="5"/>
      <c r="AQ830" s="5"/>
      <c r="AR830" s="22"/>
      <c r="AS830" s="4"/>
      <c r="AT830" s="5"/>
      <c r="AU830" s="5"/>
      <c r="AV830" s="5"/>
    </row>
    <row r="831" spans="1:48" ht="12.7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4"/>
      <c r="V831" s="22"/>
      <c r="W831" s="5"/>
      <c r="X831" s="5"/>
      <c r="Y831" s="5"/>
      <c r="Z831" s="5"/>
      <c r="AA831" s="5"/>
      <c r="AB831" s="5"/>
      <c r="AC831" s="5"/>
      <c r="AD831" s="5"/>
      <c r="AE831" s="4"/>
      <c r="AF831" s="5"/>
      <c r="AG831" s="5"/>
      <c r="AH831" s="5"/>
      <c r="AI831" s="5"/>
      <c r="AJ831" s="5"/>
      <c r="AK831" s="5"/>
      <c r="AL831" s="5"/>
      <c r="AM831" s="5"/>
      <c r="AN831" s="4"/>
      <c r="AO831" s="5"/>
      <c r="AP831" s="5"/>
      <c r="AQ831" s="5"/>
      <c r="AR831" s="22"/>
      <c r="AS831" s="4"/>
      <c r="AT831" s="5"/>
      <c r="AU831" s="5"/>
      <c r="AV831" s="5"/>
    </row>
    <row r="832" spans="1:48" ht="12.7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4"/>
      <c r="V832" s="22"/>
      <c r="W832" s="5"/>
      <c r="X832" s="5"/>
      <c r="Y832" s="5"/>
      <c r="Z832" s="5"/>
      <c r="AA832" s="5"/>
      <c r="AB832" s="5"/>
      <c r="AC832" s="5"/>
      <c r="AD832" s="5"/>
      <c r="AE832" s="4"/>
      <c r="AF832" s="5"/>
      <c r="AG832" s="5"/>
      <c r="AH832" s="5"/>
      <c r="AI832" s="5"/>
      <c r="AJ832" s="5"/>
      <c r="AK832" s="5"/>
      <c r="AL832" s="5"/>
      <c r="AM832" s="5"/>
      <c r="AN832" s="4"/>
      <c r="AO832" s="5"/>
      <c r="AP832" s="5"/>
      <c r="AQ832" s="5"/>
      <c r="AR832" s="22"/>
      <c r="AS832" s="4"/>
      <c r="AT832" s="5"/>
      <c r="AU832" s="5"/>
      <c r="AV832" s="5"/>
    </row>
    <row r="833" spans="1:48" ht="12.7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4"/>
      <c r="V833" s="22"/>
      <c r="W833" s="5"/>
      <c r="X833" s="5"/>
      <c r="Y833" s="5"/>
      <c r="Z833" s="5"/>
      <c r="AA833" s="5"/>
      <c r="AB833" s="5"/>
      <c r="AC833" s="5"/>
      <c r="AD833" s="5"/>
      <c r="AE833" s="4"/>
      <c r="AF833" s="5"/>
      <c r="AG833" s="5"/>
      <c r="AH833" s="5"/>
      <c r="AI833" s="5"/>
      <c r="AJ833" s="5"/>
      <c r="AK833" s="5"/>
      <c r="AL833" s="5"/>
      <c r="AM833" s="5"/>
      <c r="AN833" s="4"/>
      <c r="AO833" s="5"/>
      <c r="AP833" s="5"/>
      <c r="AQ833" s="5"/>
      <c r="AR833" s="22"/>
      <c r="AS833" s="4"/>
      <c r="AT833" s="5"/>
      <c r="AU833" s="5"/>
      <c r="AV833" s="5"/>
    </row>
    <row r="834" spans="1:48" ht="12.7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4"/>
      <c r="V834" s="22"/>
      <c r="W834" s="5"/>
      <c r="X834" s="5"/>
      <c r="Y834" s="5"/>
      <c r="Z834" s="5"/>
      <c r="AA834" s="5"/>
      <c r="AB834" s="5"/>
      <c r="AC834" s="5"/>
      <c r="AD834" s="5"/>
      <c r="AE834" s="4"/>
      <c r="AF834" s="5"/>
      <c r="AG834" s="5"/>
      <c r="AH834" s="5"/>
      <c r="AI834" s="5"/>
      <c r="AJ834" s="5"/>
      <c r="AK834" s="5"/>
      <c r="AL834" s="5"/>
      <c r="AM834" s="5"/>
      <c r="AN834" s="4"/>
      <c r="AO834" s="5"/>
      <c r="AP834" s="5"/>
      <c r="AQ834" s="5"/>
      <c r="AR834" s="22"/>
      <c r="AS834" s="4"/>
      <c r="AT834" s="5"/>
      <c r="AU834" s="5"/>
      <c r="AV834" s="5"/>
    </row>
    <row r="835" spans="1:48" ht="12.7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4"/>
      <c r="V835" s="22"/>
      <c r="W835" s="5"/>
      <c r="X835" s="5"/>
      <c r="Y835" s="5"/>
      <c r="Z835" s="5"/>
      <c r="AA835" s="5"/>
      <c r="AB835" s="5"/>
      <c r="AC835" s="5"/>
      <c r="AD835" s="5"/>
      <c r="AE835" s="4"/>
      <c r="AF835" s="5"/>
      <c r="AG835" s="5"/>
      <c r="AH835" s="5"/>
      <c r="AI835" s="5"/>
      <c r="AJ835" s="5"/>
      <c r="AK835" s="5"/>
      <c r="AL835" s="5"/>
      <c r="AM835" s="5"/>
      <c r="AN835" s="4"/>
      <c r="AO835" s="5"/>
      <c r="AP835" s="5"/>
      <c r="AQ835" s="5"/>
      <c r="AR835" s="22"/>
      <c r="AS835" s="4"/>
      <c r="AT835" s="5"/>
      <c r="AU835" s="5"/>
      <c r="AV835" s="5"/>
    </row>
    <row r="836" spans="1:48" ht="12.7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4"/>
      <c r="V836" s="22"/>
      <c r="W836" s="5"/>
      <c r="X836" s="5"/>
      <c r="Y836" s="5"/>
      <c r="Z836" s="5"/>
      <c r="AA836" s="5"/>
      <c r="AB836" s="5"/>
      <c r="AC836" s="5"/>
      <c r="AD836" s="5"/>
      <c r="AE836" s="4"/>
      <c r="AF836" s="5"/>
      <c r="AG836" s="5"/>
      <c r="AH836" s="5"/>
      <c r="AI836" s="5"/>
      <c r="AJ836" s="5"/>
      <c r="AK836" s="5"/>
      <c r="AL836" s="5"/>
      <c r="AM836" s="5"/>
      <c r="AN836" s="4"/>
      <c r="AO836" s="5"/>
      <c r="AP836" s="5"/>
      <c r="AQ836" s="5"/>
      <c r="AR836" s="22"/>
      <c r="AS836" s="4"/>
      <c r="AT836" s="5"/>
      <c r="AU836" s="5"/>
      <c r="AV836" s="5"/>
    </row>
    <row r="837" spans="1:48" ht="12.7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4"/>
      <c r="V837" s="22"/>
      <c r="W837" s="5"/>
      <c r="X837" s="5"/>
      <c r="Y837" s="5"/>
      <c r="Z837" s="5"/>
      <c r="AA837" s="5"/>
      <c r="AB837" s="5"/>
      <c r="AC837" s="5"/>
      <c r="AD837" s="5"/>
      <c r="AE837" s="4"/>
      <c r="AF837" s="5"/>
      <c r="AG837" s="5"/>
      <c r="AH837" s="5"/>
      <c r="AI837" s="5"/>
      <c r="AJ837" s="5"/>
      <c r="AK837" s="5"/>
      <c r="AL837" s="5"/>
      <c r="AM837" s="5"/>
      <c r="AN837" s="4"/>
      <c r="AO837" s="5"/>
      <c r="AP837" s="5"/>
      <c r="AQ837" s="5"/>
      <c r="AR837" s="22"/>
      <c r="AS837" s="4"/>
      <c r="AT837" s="5"/>
      <c r="AU837" s="5"/>
      <c r="AV837" s="5"/>
    </row>
    <row r="838" spans="1:48" ht="12.7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4"/>
      <c r="V838" s="22"/>
      <c r="W838" s="5"/>
      <c r="X838" s="5"/>
      <c r="Y838" s="5"/>
      <c r="Z838" s="5"/>
      <c r="AA838" s="5"/>
      <c r="AB838" s="5"/>
      <c r="AC838" s="5"/>
      <c r="AD838" s="5"/>
      <c r="AE838" s="4"/>
      <c r="AF838" s="5"/>
      <c r="AG838" s="5"/>
      <c r="AH838" s="5"/>
      <c r="AI838" s="5"/>
      <c r="AJ838" s="5"/>
      <c r="AK838" s="5"/>
      <c r="AL838" s="5"/>
      <c r="AM838" s="5"/>
      <c r="AN838" s="4"/>
      <c r="AO838" s="5"/>
      <c r="AP838" s="5"/>
      <c r="AQ838" s="5"/>
      <c r="AR838" s="22"/>
      <c r="AS838" s="4"/>
      <c r="AT838" s="5"/>
      <c r="AU838" s="5"/>
      <c r="AV838" s="5"/>
    </row>
    <row r="839" spans="1:48" ht="12.7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4"/>
      <c r="V839" s="22"/>
      <c r="W839" s="5"/>
      <c r="X839" s="5"/>
      <c r="Y839" s="5"/>
      <c r="Z839" s="5"/>
      <c r="AA839" s="5"/>
      <c r="AB839" s="5"/>
      <c r="AC839" s="5"/>
      <c r="AD839" s="5"/>
      <c r="AE839" s="4"/>
      <c r="AF839" s="5"/>
      <c r="AG839" s="5"/>
      <c r="AH839" s="5"/>
      <c r="AI839" s="5"/>
      <c r="AJ839" s="5"/>
      <c r="AK839" s="5"/>
      <c r="AL839" s="5"/>
      <c r="AM839" s="5"/>
      <c r="AN839" s="4"/>
      <c r="AO839" s="5"/>
      <c r="AP839" s="5"/>
      <c r="AQ839" s="5"/>
      <c r="AR839" s="22"/>
      <c r="AS839" s="4"/>
      <c r="AT839" s="5"/>
      <c r="AU839" s="5"/>
      <c r="AV839" s="5"/>
    </row>
    <row r="840" spans="1:48" ht="12.7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4"/>
      <c r="V840" s="22"/>
      <c r="W840" s="5"/>
      <c r="X840" s="5"/>
      <c r="Y840" s="5"/>
      <c r="Z840" s="5"/>
      <c r="AA840" s="5"/>
      <c r="AB840" s="5"/>
      <c r="AC840" s="5"/>
      <c r="AD840" s="5"/>
      <c r="AE840" s="4"/>
      <c r="AF840" s="5"/>
      <c r="AG840" s="5"/>
      <c r="AH840" s="5"/>
      <c r="AI840" s="5"/>
      <c r="AJ840" s="5"/>
      <c r="AK840" s="5"/>
      <c r="AL840" s="5"/>
      <c r="AM840" s="5"/>
      <c r="AN840" s="4"/>
      <c r="AO840" s="5"/>
      <c r="AP840" s="5"/>
      <c r="AQ840" s="5"/>
      <c r="AR840" s="22"/>
      <c r="AS840" s="4"/>
      <c r="AT840" s="5"/>
      <c r="AU840" s="5"/>
      <c r="AV840" s="5"/>
    </row>
    <row r="841" spans="1:48" ht="12.7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4"/>
      <c r="V841" s="22"/>
      <c r="W841" s="5"/>
      <c r="X841" s="5"/>
      <c r="Y841" s="5"/>
      <c r="Z841" s="5"/>
      <c r="AA841" s="5"/>
      <c r="AB841" s="5"/>
      <c r="AC841" s="5"/>
      <c r="AD841" s="5"/>
      <c r="AE841" s="4"/>
      <c r="AF841" s="5"/>
      <c r="AG841" s="5"/>
      <c r="AH841" s="5"/>
      <c r="AI841" s="5"/>
      <c r="AJ841" s="5"/>
      <c r="AK841" s="5"/>
      <c r="AL841" s="5"/>
      <c r="AM841" s="5"/>
      <c r="AN841" s="4"/>
      <c r="AO841" s="5"/>
      <c r="AP841" s="5"/>
      <c r="AQ841" s="5"/>
      <c r="AR841" s="22"/>
      <c r="AS841" s="4"/>
      <c r="AT841" s="5"/>
      <c r="AU841" s="5"/>
      <c r="AV841" s="5"/>
    </row>
    <row r="842" spans="1:48" ht="12.7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4"/>
      <c r="V842" s="22"/>
      <c r="W842" s="5"/>
      <c r="X842" s="5"/>
      <c r="Y842" s="5"/>
      <c r="Z842" s="5"/>
      <c r="AA842" s="5"/>
      <c r="AB842" s="5"/>
      <c r="AC842" s="5"/>
      <c r="AD842" s="5"/>
      <c r="AE842" s="4"/>
      <c r="AF842" s="5"/>
      <c r="AG842" s="5"/>
      <c r="AH842" s="5"/>
      <c r="AI842" s="5"/>
      <c r="AJ842" s="5"/>
      <c r="AK842" s="5"/>
      <c r="AL842" s="5"/>
      <c r="AM842" s="5"/>
      <c r="AN842" s="4"/>
      <c r="AO842" s="5"/>
      <c r="AP842" s="5"/>
      <c r="AQ842" s="5"/>
      <c r="AR842" s="22"/>
      <c r="AS842" s="4"/>
      <c r="AT842" s="5"/>
      <c r="AU842" s="5"/>
      <c r="AV842" s="5"/>
    </row>
    <row r="843" spans="1:48" ht="12.7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4"/>
      <c r="V843" s="22"/>
      <c r="W843" s="5"/>
      <c r="X843" s="5"/>
      <c r="Y843" s="5"/>
      <c r="Z843" s="5"/>
      <c r="AA843" s="5"/>
      <c r="AB843" s="5"/>
      <c r="AC843" s="5"/>
      <c r="AD843" s="5"/>
      <c r="AE843" s="4"/>
      <c r="AF843" s="5"/>
      <c r="AG843" s="5"/>
      <c r="AH843" s="5"/>
      <c r="AI843" s="5"/>
      <c r="AJ843" s="5"/>
      <c r="AK843" s="5"/>
      <c r="AL843" s="5"/>
      <c r="AM843" s="5"/>
      <c r="AN843" s="4"/>
      <c r="AO843" s="5"/>
      <c r="AP843" s="5"/>
      <c r="AQ843" s="5"/>
      <c r="AR843" s="22"/>
      <c r="AS843" s="4"/>
      <c r="AT843" s="5"/>
      <c r="AU843" s="5"/>
      <c r="AV843" s="5"/>
    </row>
    <row r="844" spans="1:48" ht="12.7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4"/>
      <c r="V844" s="22"/>
      <c r="W844" s="5"/>
      <c r="X844" s="5"/>
      <c r="Y844" s="5"/>
      <c r="Z844" s="5"/>
      <c r="AA844" s="5"/>
      <c r="AB844" s="5"/>
      <c r="AC844" s="5"/>
      <c r="AD844" s="5"/>
      <c r="AE844" s="4"/>
      <c r="AF844" s="5"/>
      <c r="AG844" s="5"/>
      <c r="AH844" s="5"/>
      <c r="AI844" s="5"/>
      <c r="AJ844" s="5"/>
      <c r="AK844" s="5"/>
      <c r="AL844" s="5"/>
      <c r="AM844" s="5"/>
      <c r="AN844" s="4"/>
      <c r="AO844" s="5"/>
      <c r="AP844" s="5"/>
      <c r="AQ844" s="5"/>
      <c r="AR844" s="22"/>
      <c r="AS844" s="4"/>
      <c r="AT844" s="5"/>
      <c r="AU844" s="5"/>
      <c r="AV844" s="5"/>
    </row>
    <row r="845" spans="1:48" ht="12.7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4"/>
      <c r="V845" s="22"/>
      <c r="W845" s="5"/>
      <c r="X845" s="5"/>
      <c r="Y845" s="5"/>
      <c r="Z845" s="5"/>
      <c r="AA845" s="5"/>
      <c r="AB845" s="5"/>
      <c r="AC845" s="5"/>
      <c r="AD845" s="5"/>
      <c r="AE845" s="4"/>
      <c r="AF845" s="5"/>
      <c r="AG845" s="5"/>
      <c r="AH845" s="5"/>
      <c r="AI845" s="5"/>
      <c r="AJ845" s="5"/>
      <c r="AK845" s="5"/>
      <c r="AL845" s="5"/>
      <c r="AM845" s="5"/>
      <c r="AN845" s="4"/>
      <c r="AO845" s="5"/>
      <c r="AP845" s="5"/>
      <c r="AQ845" s="5"/>
      <c r="AR845" s="22"/>
      <c r="AS845" s="4"/>
      <c r="AT845" s="5"/>
      <c r="AU845" s="5"/>
      <c r="AV845" s="5"/>
    </row>
    <row r="846" spans="1:48" ht="12.7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4"/>
      <c r="V846" s="22"/>
      <c r="W846" s="5"/>
      <c r="X846" s="5"/>
      <c r="Y846" s="5"/>
      <c r="Z846" s="5"/>
      <c r="AA846" s="5"/>
      <c r="AB846" s="5"/>
      <c r="AC846" s="5"/>
      <c r="AD846" s="5"/>
      <c r="AE846" s="4"/>
      <c r="AF846" s="5"/>
      <c r="AG846" s="5"/>
      <c r="AH846" s="5"/>
      <c r="AI846" s="5"/>
      <c r="AJ846" s="5"/>
      <c r="AK846" s="5"/>
      <c r="AL846" s="5"/>
      <c r="AM846" s="5"/>
      <c r="AN846" s="4"/>
      <c r="AO846" s="5"/>
      <c r="AP846" s="5"/>
      <c r="AQ846" s="5"/>
      <c r="AR846" s="22"/>
      <c r="AS846" s="4"/>
      <c r="AT846" s="5"/>
      <c r="AU846" s="5"/>
      <c r="AV846" s="5"/>
    </row>
    <row r="847" spans="1:48" ht="12.7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4"/>
      <c r="V847" s="22"/>
      <c r="W847" s="5"/>
      <c r="X847" s="5"/>
      <c r="Y847" s="5"/>
      <c r="Z847" s="5"/>
      <c r="AA847" s="5"/>
      <c r="AB847" s="5"/>
      <c r="AC847" s="5"/>
      <c r="AD847" s="5"/>
      <c r="AE847" s="4"/>
      <c r="AF847" s="5"/>
      <c r="AG847" s="5"/>
      <c r="AH847" s="5"/>
      <c r="AI847" s="5"/>
      <c r="AJ847" s="5"/>
      <c r="AK847" s="5"/>
      <c r="AL847" s="5"/>
      <c r="AM847" s="5"/>
      <c r="AN847" s="4"/>
      <c r="AO847" s="5"/>
      <c r="AP847" s="5"/>
      <c r="AQ847" s="5"/>
      <c r="AR847" s="22"/>
      <c r="AS847" s="4"/>
      <c r="AT847" s="5"/>
      <c r="AU847" s="5"/>
      <c r="AV847" s="5"/>
    </row>
    <row r="848" spans="1:48" ht="12.7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4"/>
      <c r="V848" s="22"/>
      <c r="W848" s="5"/>
      <c r="X848" s="5"/>
      <c r="Y848" s="5"/>
      <c r="Z848" s="5"/>
      <c r="AA848" s="5"/>
      <c r="AB848" s="5"/>
      <c r="AC848" s="5"/>
      <c r="AD848" s="5"/>
      <c r="AE848" s="4"/>
      <c r="AF848" s="5"/>
      <c r="AG848" s="5"/>
      <c r="AH848" s="5"/>
      <c r="AI848" s="5"/>
      <c r="AJ848" s="5"/>
      <c r="AK848" s="5"/>
      <c r="AL848" s="5"/>
      <c r="AM848" s="5"/>
      <c r="AN848" s="4"/>
      <c r="AO848" s="5"/>
      <c r="AP848" s="5"/>
      <c r="AQ848" s="5"/>
      <c r="AR848" s="22"/>
      <c r="AS848" s="4"/>
      <c r="AT848" s="5"/>
      <c r="AU848" s="5"/>
      <c r="AV848" s="5"/>
    </row>
    <row r="849" spans="1:48" ht="12.7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4"/>
      <c r="V849" s="22"/>
      <c r="W849" s="5"/>
      <c r="X849" s="5"/>
      <c r="Y849" s="5"/>
      <c r="Z849" s="5"/>
      <c r="AA849" s="5"/>
      <c r="AB849" s="5"/>
      <c r="AC849" s="5"/>
      <c r="AD849" s="5"/>
      <c r="AE849" s="4"/>
      <c r="AF849" s="5"/>
      <c r="AG849" s="5"/>
      <c r="AH849" s="5"/>
      <c r="AI849" s="5"/>
      <c r="AJ849" s="5"/>
      <c r="AK849" s="5"/>
      <c r="AL849" s="5"/>
      <c r="AM849" s="5"/>
      <c r="AN849" s="4"/>
      <c r="AO849" s="5"/>
      <c r="AP849" s="5"/>
      <c r="AQ849" s="5"/>
      <c r="AR849" s="22"/>
      <c r="AS849" s="4"/>
      <c r="AT849" s="5"/>
      <c r="AU849" s="5"/>
      <c r="AV849" s="5"/>
    </row>
    <row r="850" spans="1:48" ht="12.7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4"/>
      <c r="V850" s="22"/>
      <c r="W850" s="5"/>
      <c r="X850" s="5"/>
      <c r="Y850" s="5"/>
      <c r="Z850" s="5"/>
      <c r="AA850" s="5"/>
      <c r="AB850" s="5"/>
      <c r="AC850" s="5"/>
      <c r="AD850" s="5"/>
      <c r="AE850" s="4"/>
      <c r="AF850" s="5"/>
      <c r="AG850" s="5"/>
      <c r="AH850" s="5"/>
      <c r="AI850" s="5"/>
      <c r="AJ850" s="5"/>
      <c r="AK850" s="5"/>
      <c r="AL850" s="5"/>
      <c r="AM850" s="5"/>
      <c r="AN850" s="4"/>
      <c r="AO850" s="5"/>
      <c r="AP850" s="5"/>
      <c r="AQ850" s="5"/>
      <c r="AR850" s="22"/>
      <c r="AS850" s="4"/>
      <c r="AT850" s="5"/>
      <c r="AU850" s="5"/>
      <c r="AV850" s="5"/>
    </row>
    <row r="851" spans="1:48" ht="12.7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4"/>
      <c r="V851" s="22"/>
      <c r="W851" s="5"/>
      <c r="X851" s="5"/>
      <c r="Y851" s="5"/>
      <c r="Z851" s="5"/>
      <c r="AA851" s="5"/>
      <c r="AB851" s="5"/>
      <c r="AC851" s="5"/>
      <c r="AD851" s="5"/>
      <c r="AE851" s="4"/>
      <c r="AF851" s="5"/>
      <c r="AG851" s="5"/>
      <c r="AH851" s="5"/>
      <c r="AI851" s="5"/>
      <c r="AJ851" s="5"/>
      <c r="AK851" s="5"/>
      <c r="AL851" s="5"/>
      <c r="AM851" s="5"/>
      <c r="AN851" s="4"/>
      <c r="AO851" s="5"/>
      <c r="AP851" s="5"/>
      <c r="AQ851" s="5"/>
      <c r="AR851" s="22"/>
      <c r="AS851" s="4"/>
      <c r="AT851" s="5"/>
      <c r="AU851" s="5"/>
      <c r="AV851" s="5"/>
    </row>
    <row r="852" spans="1:48" ht="12.7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4"/>
      <c r="V852" s="22"/>
      <c r="W852" s="5"/>
      <c r="X852" s="5"/>
      <c r="Y852" s="5"/>
      <c r="Z852" s="5"/>
      <c r="AA852" s="5"/>
      <c r="AB852" s="5"/>
      <c r="AC852" s="5"/>
      <c r="AD852" s="5"/>
      <c r="AE852" s="4"/>
      <c r="AF852" s="5"/>
      <c r="AG852" s="5"/>
      <c r="AH852" s="5"/>
      <c r="AI852" s="5"/>
      <c r="AJ852" s="5"/>
      <c r="AK852" s="5"/>
      <c r="AL852" s="5"/>
      <c r="AM852" s="5"/>
      <c r="AN852" s="4"/>
      <c r="AO852" s="5"/>
      <c r="AP852" s="5"/>
      <c r="AQ852" s="5"/>
      <c r="AR852" s="22"/>
      <c r="AS852" s="4"/>
      <c r="AT852" s="5"/>
      <c r="AU852" s="5"/>
      <c r="AV852" s="5"/>
    </row>
    <row r="853" spans="1:48" ht="12.7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4"/>
      <c r="V853" s="22"/>
      <c r="W853" s="5"/>
      <c r="X853" s="5"/>
      <c r="Y853" s="5"/>
      <c r="Z853" s="5"/>
      <c r="AA853" s="5"/>
      <c r="AB853" s="5"/>
      <c r="AC853" s="5"/>
      <c r="AD853" s="5"/>
      <c r="AE853" s="4"/>
      <c r="AF853" s="5"/>
      <c r="AG853" s="5"/>
      <c r="AH853" s="5"/>
      <c r="AI853" s="5"/>
      <c r="AJ853" s="5"/>
      <c r="AK853" s="5"/>
      <c r="AL853" s="5"/>
      <c r="AM853" s="5"/>
      <c r="AN853" s="4"/>
      <c r="AO853" s="5"/>
      <c r="AP853" s="5"/>
      <c r="AQ853" s="5"/>
      <c r="AR853" s="22"/>
      <c r="AS853" s="4"/>
      <c r="AT853" s="5"/>
      <c r="AU853" s="5"/>
      <c r="AV853" s="5"/>
    </row>
    <row r="854" spans="1:48" ht="12.7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4"/>
      <c r="V854" s="22"/>
      <c r="W854" s="5"/>
      <c r="X854" s="5"/>
      <c r="Y854" s="5"/>
      <c r="Z854" s="5"/>
      <c r="AA854" s="5"/>
      <c r="AB854" s="5"/>
      <c r="AC854" s="5"/>
      <c r="AD854" s="5"/>
      <c r="AE854" s="4"/>
      <c r="AF854" s="5"/>
      <c r="AG854" s="5"/>
      <c r="AH854" s="5"/>
      <c r="AI854" s="5"/>
      <c r="AJ854" s="5"/>
      <c r="AK854" s="5"/>
      <c r="AL854" s="5"/>
      <c r="AM854" s="5"/>
      <c r="AN854" s="4"/>
      <c r="AO854" s="5"/>
      <c r="AP854" s="5"/>
      <c r="AQ854" s="5"/>
      <c r="AR854" s="22"/>
      <c r="AS854" s="4"/>
      <c r="AT854" s="5"/>
      <c r="AU854" s="5"/>
      <c r="AV854" s="5"/>
    </row>
    <row r="855" spans="1:48" ht="12.7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4"/>
      <c r="V855" s="22"/>
      <c r="W855" s="5"/>
      <c r="X855" s="5"/>
      <c r="Y855" s="5"/>
      <c r="Z855" s="5"/>
      <c r="AA855" s="5"/>
      <c r="AB855" s="5"/>
      <c r="AC855" s="5"/>
      <c r="AD855" s="5"/>
      <c r="AE855" s="4"/>
      <c r="AF855" s="5"/>
      <c r="AG855" s="5"/>
      <c r="AH855" s="5"/>
      <c r="AI855" s="5"/>
      <c r="AJ855" s="5"/>
      <c r="AK855" s="5"/>
      <c r="AL855" s="5"/>
      <c r="AM855" s="5"/>
      <c r="AN855" s="4"/>
      <c r="AO855" s="5"/>
      <c r="AP855" s="5"/>
      <c r="AQ855" s="5"/>
      <c r="AR855" s="22"/>
      <c r="AS855" s="4"/>
      <c r="AT855" s="5"/>
      <c r="AU855" s="5"/>
      <c r="AV855" s="5"/>
    </row>
    <row r="856" spans="1:48" ht="12.7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4"/>
      <c r="V856" s="22"/>
      <c r="W856" s="5"/>
      <c r="X856" s="5"/>
      <c r="Y856" s="5"/>
      <c r="Z856" s="5"/>
      <c r="AA856" s="5"/>
      <c r="AB856" s="5"/>
      <c r="AC856" s="5"/>
      <c r="AD856" s="5"/>
      <c r="AE856" s="4"/>
      <c r="AF856" s="5"/>
      <c r="AG856" s="5"/>
      <c r="AH856" s="5"/>
      <c r="AI856" s="5"/>
      <c r="AJ856" s="5"/>
      <c r="AK856" s="5"/>
      <c r="AL856" s="5"/>
      <c r="AM856" s="5"/>
      <c r="AN856" s="4"/>
      <c r="AO856" s="5"/>
      <c r="AP856" s="5"/>
      <c r="AQ856" s="5"/>
      <c r="AR856" s="22"/>
      <c r="AS856" s="4"/>
      <c r="AT856" s="5"/>
      <c r="AU856" s="5"/>
      <c r="AV856" s="5"/>
    </row>
    <row r="857" spans="1:48" ht="12.7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4"/>
      <c r="V857" s="22"/>
      <c r="W857" s="5"/>
      <c r="X857" s="5"/>
      <c r="Y857" s="5"/>
      <c r="Z857" s="5"/>
      <c r="AA857" s="5"/>
      <c r="AB857" s="5"/>
      <c r="AC857" s="5"/>
      <c r="AD857" s="5"/>
      <c r="AE857" s="4"/>
      <c r="AF857" s="5"/>
      <c r="AG857" s="5"/>
      <c r="AH857" s="5"/>
      <c r="AI857" s="5"/>
      <c r="AJ857" s="5"/>
      <c r="AK857" s="5"/>
      <c r="AL857" s="5"/>
      <c r="AM857" s="5"/>
      <c r="AN857" s="4"/>
      <c r="AO857" s="5"/>
      <c r="AP857" s="5"/>
      <c r="AQ857" s="5"/>
      <c r="AR857" s="22"/>
      <c r="AS857" s="4"/>
      <c r="AT857" s="5"/>
      <c r="AU857" s="5"/>
      <c r="AV857" s="5"/>
    </row>
    <row r="858" spans="1:48" ht="12.7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4"/>
      <c r="V858" s="22"/>
      <c r="W858" s="5"/>
      <c r="X858" s="5"/>
      <c r="Y858" s="5"/>
      <c r="Z858" s="5"/>
      <c r="AA858" s="5"/>
      <c r="AB858" s="5"/>
      <c r="AC858" s="5"/>
      <c r="AD858" s="5"/>
      <c r="AE858" s="4"/>
      <c r="AF858" s="5"/>
      <c r="AG858" s="5"/>
      <c r="AH858" s="5"/>
      <c r="AI858" s="5"/>
      <c r="AJ858" s="5"/>
      <c r="AK858" s="5"/>
      <c r="AL858" s="5"/>
      <c r="AM858" s="5"/>
      <c r="AN858" s="4"/>
      <c r="AO858" s="5"/>
      <c r="AP858" s="5"/>
      <c r="AQ858" s="5"/>
      <c r="AR858" s="22"/>
      <c r="AS858" s="4"/>
      <c r="AT858" s="5"/>
      <c r="AU858" s="5"/>
      <c r="AV858" s="5"/>
    </row>
    <row r="859" spans="1:48" ht="12.7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4"/>
      <c r="V859" s="22"/>
      <c r="W859" s="5"/>
      <c r="X859" s="5"/>
      <c r="Y859" s="5"/>
      <c r="Z859" s="5"/>
      <c r="AA859" s="5"/>
      <c r="AB859" s="5"/>
      <c r="AC859" s="5"/>
      <c r="AD859" s="5"/>
      <c r="AE859" s="4"/>
      <c r="AF859" s="5"/>
      <c r="AG859" s="5"/>
      <c r="AH859" s="5"/>
      <c r="AI859" s="5"/>
      <c r="AJ859" s="5"/>
      <c r="AK859" s="5"/>
      <c r="AL859" s="5"/>
      <c r="AM859" s="5"/>
      <c r="AN859" s="4"/>
      <c r="AO859" s="5"/>
      <c r="AP859" s="5"/>
      <c r="AQ859" s="5"/>
      <c r="AR859" s="22"/>
      <c r="AS859" s="4"/>
      <c r="AT859" s="5"/>
      <c r="AU859" s="5"/>
      <c r="AV859" s="5"/>
    </row>
    <row r="860" spans="1:48" ht="12.7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4"/>
      <c r="V860" s="22"/>
      <c r="W860" s="5"/>
      <c r="X860" s="5"/>
      <c r="Y860" s="5"/>
      <c r="Z860" s="5"/>
      <c r="AA860" s="5"/>
      <c r="AB860" s="5"/>
      <c r="AC860" s="5"/>
      <c r="AD860" s="5"/>
      <c r="AE860" s="4"/>
      <c r="AF860" s="5"/>
      <c r="AG860" s="5"/>
      <c r="AH860" s="5"/>
      <c r="AI860" s="5"/>
      <c r="AJ860" s="5"/>
      <c r="AK860" s="5"/>
      <c r="AL860" s="5"/>
      <c r="AM860" s="5"/>
      <c r="AN860" s="4"/>
      <c r="AO860" s="5"/>
      <c r="AP860" s="5"/>
      <c r="AQ860" s="5"/>
      <c r="AR860" s="22"/>
      <c r="AS860" s="4"/>
      <c r="AT860" s="5"/>
      <c r="AU860" s="5"/>
      <c r="AV860" s="5"/>
    </row>
    <row r="861" spans="1:48" ht="12.7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4"/>
      <c r="V861" s="22"/>
      <c r="W861" s="5"/>
      <c r="X861" s="5"/>
      <c r="Y861" s="5"/>
      <c r="Z861" s="5"/>
      <c r="AA861" s="5"/>
      <c r="AB861" s="5"/>
      <c r="AC861" s="5"/>
      <c r="AD861" s="5"/>
      <c r="AE861" s="4"/>
      <c r="AF861" s="5"/>
      <c r="AG861" s="5"/>
      <c r="AH861" s="5"/>
      <c r="AI861" s="5"/>
      <c r="AJ861" s="5"/>
      <c r="AK861" s="5"/>
      <c r="AL861" s="5"/>
      <c r="AM861" s="5"/>
      <c r="AN861" s="4"/>
      <c r="AO861" s="5"/>
      <c r="AP861" s="5"/>
      <c r="AQ861" s="5"/>
      <c r="AR861" s="22"/>
      <c r="AS861" s="4"/>
      <c r="AT861" s="5"/>
      <c r="AU861" s="5"/>
      <c r="AV861" s="5"/>
    </row>
    <row r="862" spans="1:48" ht="12.7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4"/>
      <c r="V862" s="22"/>
      <c r="W862" s="5"/>
      <c r="X862" s="5"/>
      <c r="Y862" s="5"/>
      <c r="Z862" s="5"/>
      <c r="AA862" s="5"/>
      <c r="AB862" s="5"/>
      <c r="AC862" s="5"/>
      <c r="AD862" s="5"/>
      <c r="AE862" s="4"/>
      <c r="AF862" s="5"/>
      <c r="AG862" s="5"/>
      <c r="AH862" s="5"/>
      <c r="AI862" s="5"/>
      <c r="AJ862" s="5"/>
      <c r="AK862" s="5"/>
      <c r="AL862" s="5"/>
      <c r="AM862" s="5"/>
      <c r="AN862" s="4"/>
      <c r="AO862" s="5"/>
      <c r="AP862" s="5"/>
      <c r="AQ862" s="5"/>
      <c r="AR862" s="22"/>
      <c r="AS862" s="4"/>
      <c r="AT862" s="5"/>
      <c r="AU862" s="5"/>
      <c r="AV862" s="5"/>
    </row>
    <row r="863" spans="1:48" ht="12.7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4"/>
      <c r="V863" s="22"/>
      <c r="W863" s="5"/>
      <c r="X863" s="5"/>
      <c r="Y863" s="5"/>
      <c r="Z863" s="5"/>
      <c r="AA863" s="5"/>
      <c r="AB863" s="5"/>
      <c r="AC863" s="5"/>
      <c r="AD863" s="5"/>
      <c r="AE863" s="4"/>
      <c r="AF863" s="5"/>
      <c r="AG863" s="5"/>
      <c r="AH863" s="5"/>
      <c r="AI863" s="5"/>
      <c r="AJ863" s="5"/>
      <c r="AK863" s="5"/>
      <c r="AL863" s="5"/>
      <c r="AM863" s="5"/>
      <c r="AN863" s="4"/>
      <c r="AO863" s="5"/>
      <c r="AP863" s="5"/>
      <c r="AQ863" s="5"/>
      <c r="AR863" s="22"/>
      <c r="AS863" s="4"/>
      <c r="AT863" s="5"/>
      <c r="AU863" s="5"/>
      <c r="AV863" s="5"/>
    </row>
    <row r="864" spans="1:48" ht="12.7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4"/>
      <c r="V864" s="22"/>
      <c r="W864" s="5"/>
      <c r="X864" s="5"/>
      <c r="Y864" s="5"/>
      <c r="Z864" s="5"/>
      <c r="AA864" s="5"/>
      <c r="AB864" s="5"/>
      <c r="AC864" s="5"/>
      <c r="AD864" s="5"/>
      <c r="AE864" s="4"/>
      <c r="AF864" s="5"/>
      <c r="AG864" s="5"/>
      <c r="AH864" s="5"/>
      <c r="AI864" s="5"/>
      <c r="AJ864" s="5"/>
      <c r="AK864" s="5"/>
      <c r="AL864" s="5"/>
      <c r="AM864" s="5"/>
      <c r="AN864" s="4"/>
      <c r="AO864" s="5"/>
      <c r="AP864" s="5"/>
      <c r="AQ864" s="5"/>
      <c r="AR864" s="22"/>
      <c r="AS864" s="4"/>
      <c r="AT864" s="5"/>
      <c r="AU864" s="5"/>
      <c r="AV864" s="5"/>
    </row>
    <row r="865" spans="1:48" ht="12.7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4"/>
      <c r="V865" s="22"/>
      <c r="W865" s="5"/>
      <c r="X865" s="5"/>
      <c r="Y865" s="5"/>
      <c r="Z865" s="5"/>
      <c r="AA865" s="5"/>
      <c r="AB865" s="5"/>
      <c r="AC865" s="5"/>
      <c r="AD865" s="5"/>
      <c r="AE865" s="4"/>
      <c r="AF865" s="5"/>
      <c r="AG865" s="5"/>
      <c r="AH865" s="5"/>
      <c r="AI865" s="5"/>
      <c r="AJ865" s="5"/>
      <c r="AK865" s="5"/>
      <c r="AL865" s="5"/>
      <c r="AM865" s="5"/>
      <c r="AN865" s="4"/>
      <c r="AO865" s="5"/>
      <c r="AP865" s="5"/>
      <c r="AQ865" s="5"/>
      <c r="AR865" s="22"/>
      <c r="AS865" s="4"/>
      <c r="AT865" s="5"/>
      <c r="AU865" s="5"/>
      <c r="AV865" s="5"/>
    </row>
    <row r="866" spans="1:48" ht="12.7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4"/>
      <c r="V866" s="22"/>
      <c r="W866" s="5"/>
      <c r="X866" s="5"/>
      <c r="Y866" s="5"/>
      <c r="Z866" s="5"/>
      <c r="AA866" s="5"/>
      <c r="AB866" s="5"/>
      <c r="AC866" s="5"/>
      <c r="AD866" s="5"/>
      <c r="AE866" s="4"/>
      <c r="AF866" s="5"/>
      <c r="AG866" s="5"/>
      <c r="AH866" s="5"/>
      <c r="AI866" s="5"/>
      <c r="AJ866" s="5"/>
      <c r="AK866" s="5"/>
      <c r="AL866" s="5"/>
      <c r="AM866" s="5"/>
      <c r="AN866" s="4"/>
      <c r="AO866" s="5"/>
      <c r="AP866" s="5"/>
      <c r="AQ866" s="5"/>
      <c r="AR866" s="22"/>
      <c r="AS866" s="4"/>
      <c r="AT866" s="5"/>
      <c r="AU866" s="5"/>
      <c r="AV866" s="5"/>
    </row>
    <row r="867" spans="1:48" ht="12.7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4"/>
      <c r="V867" s="22"/>
      <c r="W867" s="5"/>
      <c r="X867" s="5"/>
      <c r="Y867" s="5"/>
      <c r="Z867" s="5"/>
      <c r="AA867" s="5"/>
      <c r="AB867" s="5"/>
      <c r="AC867" s="5"/>
      <c r="AD867" s="5"/>
      <c r="AE867" s="4"/>
      <c r="AF867" s="5"/>
      <c r="AG867" s="5"/>
      <c r="AH867" s="5"/>
      <c r="AI867" s="5"/>
      <c r="AJ867" s="5"/>
      <c r="AK867" s="5"/>
      <c r="AL867" s="5"/>
      <c r="AM867" s="5"/>
      <c r="AN867" s="4"/>
      <c r="AO867" s="5"/>
      <c r="AP867" s="5"/>
      <c r="AQ867" s="5"/>
      <c r="AR867" s="22"/>
      <c r="AS867" s="4"/>
      <c r="AT867" s="5"/>
      <c r="AU867" s="5"/>
      <c r="AV867" s="5"/>
    </row>
    <row r="868" spans="1:48" ht="12.7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4"/>
      <c r="V868" s="22"/>
      <c r="W868" s="5"/>
      <c r="X868" s="5"/>
      <c r="Y868" s="5"/>
      <c r="Z868" s="5"/>
      <c r="AA868" s="5"/>
      <c r="AB868" s="5"/>
      <c r="AC868" s="5"/>
      <c r="AD868" s="5"/>
      <c r="AE868" s="4"/>
      <c r="AF868" s="5"/>
      <c r="AG868" s="5"/>
      <c r="AH868" s="5"/>
      <c r="AI868" s="5"/>
      <c r="AJ868" s="5"/>
      <c r="AK868" s="5"/>
      <c r="AL868" s="5"/>
      <c r="AM868" s="5"/>
      <c r="AN868" s="4"/>
      <c r="AO868" s="5"/>
      <c r="AP868" s="5"/>
      <c r="AQ868" s="5"/>
      <c r="AR868" s="22"/>
      <c r="AS868" s="4"/>
      <c r="AT868" s="5"/>
      <c r="AU868" s="5"/>
      <c r="AV868" s="5"/>
    </row>
    <row r="869" spans="1:48" ht="12.7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4"/>
      <c r="V869" s="22"/>
      <c r="W869" s="5"/>
      <c r="X869" s="5"/>
      <c r="Y869" s="5"/>
      <c r="Z869" s="5"/>
      <c r="AA869" s="5"/>
      <c r="AB869" s="5"/>
      <c r="AC869" s="5"/>
      <c r="AD869" s="5"/>
      <c r="AE869" s="4"/>
      <c r="AF869" s="5"/>
      <c r="AG869" s="5"/>
      <c r="AH869" s="5"/>
      <c r="AI869" s="5"/>
      <c r="AJ869" s="5"/>
      <c r="AK869" s="5"/>
      <c r="AL869" s="5"/>
      <c r="AM869" s="5"/>
      <c r="AN869" s="4"/>
      <c r="AO869" s="5"/>
      <c r="AP869" s="5"/>
      <c r="AQ869" s="5"/>
      <c r="AR869" s="22"/>
      <c r="AS869" s="4"/>
      <c r="AT869" s="5"/>
      <c r="AU869" s="5"/>
      <c r="AV869" s="5"/>
    </row>
    <row r="870" spans="1:48" ht="12.7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4"/>
      <c r="V870" s="22"/>
      <c r="W870" s="5"/>
      <c r="X870" s="5"/>
      <c r="Y870" s="5"/>
      <c r="Z870" s="5"/>
      <c r="AA870" s="5"/>
      <c r="AB870" s="5"/>
      <c r="AC870" s="5"/>
      <c r="AD870" s="5"/>
      <c r="AE870" s="4"/>
      <c r="AF870" s="5"/>
      <c r="AG870" s="5"/>
      <c r="AH870" s="5"/>
      <c r="AI870" s="5"/>
      <c r="AJ870" s="5"/>
      <c r="AK870" s="5"/>
      <c r="AL870" s="5"/>
      <c r="AM870" s="5"/>
      <c r="AN870" s="4"/>
      <c r="AO870" s="5"/>
      <c r="AP870" s="5"/>
      <c r="AQ870" s="5"/>
      <c r="AR870" s="22"/>
      <c r="AS870" s="4"/>
      <c r="AT870" s="5"/>
      <c r="AU870" s="5"/>
      <c r="AV870" s="5"/>
    </row>
    <row r="871" spans="1:48" ht="12.7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4"/>
      <c r="V871" s="22"/>
      <c r="W871" s="5"/>
      <c r="X871" s="5"/>
      <c r="Y871" s="5"/>
      <c r="Z871" s="5"/>
      <c r="AA871" s="5"/>
      <c r="AB871" s="5"/>
      <c r="AC871" s="5"/>
      <c r="AD871" s="5"/>
      <c r="AE871" s="4"/>
      <c r="AF871" s="5"/>
      <c r="AG871" s="5"/>
      <c r="AH871" s="5"/>
      <c r="AI871" s="5"/>
      <c r="AJ871" s="5"/>
      <c r="AK871" s="5"/>
      <c r="AL871" s="5"/>
      <c r="AM871" s="5"/>
      <c r="AN871" s="4"/>
      <c r="AO871" s="5"/>
      <c r="AP871" s="5"/>
      <c r="AQ871" s="5"/>
      <c r="AR871" s="22"/>
      <c r="AS871" s="4"/>
      <c r="AT871" s="5"/>
      <c r="AU871" s="5"/>
      <c r="AV871" s="5"/>
    </row>
    <row r="872" spans="1:48" ht="12.7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4"/>
      <c r="V872" s="22"/>
      <c r="W872" s="5"/>
      <c r="X872" s="5"/>
      <c r="Y872" s="5"/>
      <c r="Z872" s="5"/>
      <c r="AA872" s="5"/>
      <c r="AB872" s="5"/>
      <c r="AC872" s="5"/>
      <c r="AD872" s="5"/>
      <c r="AE872" s="4"/>
      <c r="AF872" s="5"/>
      <c r="AG872" s="5"/>
      <c r="AH872" s="5"/>
      <c r="AI872" s="5"/>
      <c r="AJ872" s="5"/>
      <c r="AK872" s="5"/>
      <c r="AL872" s="5"/>
      <c r="AM872" s="5"/>
      <c r="AN872" s="4"/>
      <c r="AO872" s="5"/>
      <c r="AP872" s="5"/>
      <c r="AQ872" s="5"/>
      <c r="AR872" s="22"/>
      <c r="AS872" s="4"/>
      <c r="AT872" s="5"/>
      <c r="AU872" s="5"/>
      <c r="AV872" s="5"/>
    </row>
    <row r="873" spans="1:48" ht="12.7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4"/>
      <c r="V873" s="22"/>
      <c r="W873" s="5"/>
      <c r="X873" s="5"/>
      <c r="Y873" s="5"/>
      <c r="Z873" s="5"/>
      <c r="AA873" s="5"/>
      <c r="AB873" s="5"/>
      <c r="AC873" s="5"/>
      <c r="AD873" s="5"/>
      <c r="AE873" s="4"/>
      <c r="AF873" s="5"/>
      <c r="AG873" s="5"/>
      <c r="AH873" s="5"/>
      <c r="AI873" s="5"/>
      <c r="AJ873" s="5"/>
      <c r="AK873" s="5"/>
      <c r="AL873" s="5"/>
      <c r="AM873" s="5"/>
      <c r="AN873" s="4"/>
      <c r="AO873" s="5"/>
      <c r="AP873" s="5"/>
      <c r="AQ873" s="5"/>
      <c r="AR873" s="22"/>
      <c r="AS873" s="4"/>
      <c r="AT873" s="5"/>
      <c r="AU873" s="5"/>
      <c r="AV873" s="5"/>
    </row>
    <row r="874" spans="1:48" ht="12.7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4"/>
      <c r="V874" s="22"/>
      <c r="W874" s="5"/>
      <c r="X874" s="5"/>
      <c r="Y874" s="5"/>
      <c r="Z874" s="5"/>
      <c r="AA874" s="5"/>
      <c r="AB874" s="5"/>
      <c r="AC874" s="5"/>
      <c r="AD874" s="5"/>
      <c r="AE874" s="4"/>
      <c r="AF874" s="5"/>
      <c r="AG874" s="5"/>
      <c r="AH874" s="5"/>
      <c r="AI874" s="5"/>
      <c r="AJ874" s="5"/>
      <c r="AK874" s="5"/>
      <c r="AL874" s="5"/>
      <c r="AM874" s="5"/>
      <c r="AN874" s="4"/>
      <c r="AO874" s="5"/>
      <c r="AP874" s="5"/>
      <c r="AQ874" s="5"/>
      <c r="AR874" s="22"/>
      <c r="AS874" s="4"/>
      <c r="AT874" s="5"/>
      <c r="AU874" s="5"/>
      <c r="AV874" s="5"/>
    </row>
    <row r="875" spans="1:48" ht="12.7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4"/>
      <c r="V875" s="22"/>
      <c r="W875" s="5"/>
      <c r="X875" s="5"/>
      <c r="Y875" s="5"/>
      <c r="Z875" s="5"/>
      <c r="AA875" s="5"/>
      <c r="AB875" s="5"/>
      <c r="AC875" s="5"/>
      <c r="AD875" s="5"/>
      <c r="AE875" s="4"/>
      <c r="AF875" s="5"/>
      <c r="AG875" s="5"/>
      <c r="AH875" s="5"/>
      <c r="AI875" s="5"/>
      <c r="AJ875" s="5"/>
      <c r="AK875" s="5"/>
      <c r="AL875" s="5"/>
      <c r="AM875" s="5"/>
      <c r="AN875" s="4"/>
      <c r="AO875" s="5"/>
      <c r="AP875" s="5"/>
      <c r="AQ875" s="5"/>
      <c r="AR875" s="22"/>
      <c r="AS875" s="4"/>
      <c r="AT875" s="5"/>
      <c r="AU875" s="5"/>
      <c r="AV875" s="5"/>
    </row>
    <row r="876" spans="1:48" ht="12.7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4"/>
      <c r="V876" s="22"/>
      <c r="W876" s="5"/>
      <c r="X876" s="5"/>
      <c r="Y876" s="5"/>
      <c r="Z876" s="5"/>
      <c r="AA876" s="5"/>
      <c r="AB876" s="5"/>
      <c r="AC876" s="5"/>
      <c r="AD876" s="5"/>
      <c r="AE876" s="4"/>
      <c r="AF876" s="5"/>
      <c r="AG876" s="5"/>
      <c r="AH876" s="5"/>
      <c r="AI876" s="5"/>
      <c r="AJ876" s="5"/>
      <c r="AK876" s="5"/>
      <c r="AL876" s="5"/>
      <c r="AM876" s="5"/>
      <c r="AN876" s="4"/>
      <c r="AO876" s="5"/>
      <c r="AP876" s="5"/>
      <c r="AQ876" s="5"/>
      <c r="AR876" s="22"/>
      <c r="AS876" s="4"/>
      <c r="AT876" s="5"/>
      <c r="AU876" s="5"/>
      <c r="AV876" s="5"/>
    </row>
    <row r="877" spans="1:48" ht="12.7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4"/>
      <c r="V877" s="22"/>
      <c r="W877" s="5"/>
      <c r="X877" s="5"/>
      <c r="Y877" s="5"/>
      <c r="Z877" s="5"/>
      <c r="AA877" s="5"/>
      <c r="AB877" s="5"/>
      <c r="AC877" s="5"/>
      <c r="AD877" s="5"/>
      <c r="AE877" s="4"/>
      <c r="AF877" s="5"/>
      <c r="AG877" s="5"/>
      <c r="AH877" s="5"/>
      <c r="AI877" s="5"/>
      <c r="AJ877" s="5"/>
      <c r="AK877" s="5"/>
      <c r="AL877" s="5"/>
      <c r="AM877" s="5"/>
      <c r="AN877" s="4"/>
      <c r="AO877" s="5"/>
      <c r="AP877" s="5"/>
      <c r="AQ877" s="5"/>
      <c r="AR877" s="22"/>
      <c r="AS877" s="4"/>
      <c r="AT877" s="5"/>
      <c r="AU877" s="5"/>
      <c r="AV877" s="5"/>
    </row>
    <row r="878" spans="1:48" ht="12.7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4"/>
      <c r="V878" s="22"/>
      <c r="W878" s="5"/>
      <c r="X878" s="5"/>
      <c r="Y878" s="5"/>
      <c r="Z878" s="5"/>
      <c r="AA878" s="5"/>
      <c r="AB878" s="5"/>
      <c r="AC878" s="5"/>
      <c r="AD878" s="5"/>
      <c r="AE878" s="4"/>
      <c r="AF878" s="5"/>
      <c r="AG878" s="5"/>
      <c r="AH878" s="5"/>
      <c r="AI878" s="5"/>
      <c r="AJ878" s="5"/>
      <c r="AK878" s="5"/>
      <c r="AL878" s="5"/>
      <c r="AM878" s="5"/>
      <c r="AN878" s="4"/>
      <c r="AO878" s="5"/>
      <c r="AP878" s="5"/>
      <c r="AQ878" s="5"/>
      <c r="AR878" s="22"/>
      <c r="AS878" s="4"/>
      <c r="AT878" s="5"/>
      <c r="AU878" s="5"/>
      <c r="AV878" s="5"/>
    </row>
    <row r="879" spans="1:48" ht="12.7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4"/>
      <c r="V879" s="22"/>
      <c r="W879" s="5"/>
      <c r="X879" s="5"/>
      <c r="Y879" s="5"/>
      <c r="Z879" s="5"/>
      <c r="AA879" s="5"/>
      <c r="AB879" s="5"/>
      <c r="AC879" s="5"/>
      <c r="AD879" s="5"/>
      <c r="AE879" s="4"/>
      <c r="AF879" s="5"/>
      <c r="AG879" s="5"/>
      <c r="AH879" s="5"/>
      <c r="AI879" s="5"/>
      <c r="AJ879" s="5"/>
      <c r="AK879" s="5"/>
      <c r="AL879" s="5"/>
      <c r="AM879" s="5"/>
      <c r="AN879" s="4"/>
      <c r="AO879" s="5"/>
      <c r="AP879" s="5"/>
      <c r="AQ879" s="5"/>
      <c r="AR879" s="22"/>
      <c r="AS879" s="4"/>
      <c r="AT879" s="5"/>
      <c r="AU879" s="5"/>
      <c r="AV879" s="5"/>
    </row>
    <row r="880" spans="1:48" ht="12.7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4"/>
      <c r="V880" s="22"/>
      <c r="W880" s="5"/>
      <c r="X880" s="5"/>
      <c r="Y880" s="5"/>
      <c r="Z880" s="5"/>
      <c r="AA880" s="5"/>
      <c r="AB880" s="5"/>
      <c r="AC880" s="5"/>
      <c r="AD880" s="5"/>
      <c r="AE880" s="4"/>
      <c r="AF880" s="5"/>
      <c r="AG880" s="5"/>
      <c r="AH880" s="5"/>
      <c r="AI880" s="5"/>
      <c r="AJ880" s="5"/>
      <c r="AK880" s="5"/>
      <c r="AL880" s="5"/>
      <c r="AM880" s="5"/>
      <c r="AN880" s="4"/>
      <c r="AO880" s="5"/>
      <c r="AP880" s="5"/>
      <c r="AQ880" s="5"/>
      <c r="AR880" s="22"/>
      <c r="AS880" s="4"/>
      <c r="AT880" s="5"/>
      <c r="AU880" s="5"/>
      <c r="AV880" s="5"/>
    </row>
    <row r="881" spans="1:48" ht="12.7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4"/>
      <c r="V881" s="22"/>
      <c r="W881" s="5"/>
      <c r="X881" s="5"/>
      <c r="Y881" s="5"/>
      <c r="Z881" s="5"/>
      <c r="AA881" s="5"/>
      <c r="AB881" s="5"/>
      <c r="AC881" s="5"/>
      <c r="AD881" s="5"/>
      <c r="AE881" s="4"/>
      <c r="AF881" s="5"/>
      <c r="AG881" s="5"/>
      <c r="AH881" s="5"/>
      <c r="AI881" s="5"/>
      <c r="AJ881" s="5"/>
      <c r="AK881" s="5"/>
      <c r="AL881" s="5"/>
      <c r="AM881" s="5"/>
      <c r="AN881" s="4"/>
      <c r="AO881" s="5"/>
      <c r="AP881" s="5"/>
      <c r="AQ881" s="5"/>
      <c r="AR881" s="22"/>
      <c r="AS881" s="4"/>
      <c r="AT881" s="5"/>
      <c r="AU881" s="5"/>
      <c r="AV881" s="5"/>
    </row>
    <row r="882" spans="1:48" ht="12.7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4"/>
      <c r="V882" s="22"/>
      <c r="W882" s="5"/>
      <c r="X882" s="5"/>
      <c r="Y882" s="5"/>
      <c r="Z882" s="5"/>
      <c r="AA882" s="5"/>
      <c r="AB882" s="5"/>
      <c r="AC882" s="5"/>
      <c r="AD882" s="5"/>
      <c r="AE882" s="4"/>
      <c r="AF882" s="5"/>
      <c r="AG882" s="5"/>
      <c r="AH882" s="5"/>
      <c r="AI882" s="5"/>
      <c r="AJ882" s="5"/>
      <c r="AK882" s="5"/>
      <c r="AL882" s="5"/>
      <c r="AM882" s="5"/>
      <c r="AN882" s="4"/>
      <c r="AO882" s="5"/>
      <c r="AP882" s="5"/>
      <c r="AQ882" s="5"/>
      <c r="AR882" s="22"/>
      <c r="AS882" s="4"/>
      <c r="AT882" s="5"/>
      <c r="AU882" s="5"/>
      <c r="AV882" s="5"/>
    </row>
    <row r="883" spans="1:48" ht="12.7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4"/>
      <c r="V883" s="22"/>
      <c r="W883" s="5"/>
      <c r="X883" s="5"/>
      <c r="Y883" s="5"/>
      <c r="Z883" s="5"/>
      <c r="AA883" s="5"/>
      <c r="AB883" s="5"/>
      <c r="AC883" s="5"/>
      <c r="AD883" s="5"/>
      <c r="AE883" s="4"/>
      <c r="AF883" s="5"/>
      <c r="AG883" s="5"/>
      <c r="AH883" s="5"/>
      <c r="AI883" s="5"/>
      <c r="AJ883" s="5"/>
      <c r="AK883" s="5"/>
      <c r="AL883" s="5"/>
      <c r="AM883" s="5"/>
      <c r="AN883" s="4"/>
      <c r="AO883" s="5"/>
      <c r="AP883" s="5"/>
      <c r="AQ883" s="5"/>
      <c r="AR883" s="22"/>
      <c r="AS883" s="4"/>
      <c r="AT883" s="5"/>
      <c r="AU883" s="5"/>
      <c r="AV883" s="5"/>
    </row>
    <row r="884" spans="1:48" ht="12.7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4"/>
      <c r="V884" s="22"/>
      <c r="W884" s="5"/>
      <c r="X884" s="5"/>
      <c r="Y884" s="5"/>
      <c r="Z884" s="5"/>
      <c r="AA884" s="5"/>
      <c r="AB884" s="5"/>
      <c r="AC884" s="5"/>
      <c r="AD884" s="5"/>
      <c r="AE884" s="4"/>
      <c r="AF884" s="5"/>
      <c r="AG884" s="5"/>
      <c r="AH884" s="5"/>
      <c r="AI884" s="5"/>
      <c r="AJ884" s="5"/>
      <c r="AK884" s="5"/>
      <c r="AL884" s="5"/>
      <c r="AM884" s="5"/>
      <c r="AN884" s="4"/>
      <c r="AO884" s="5"/>
      <c r="AP884" s="5"/>
      <c r="AQ884" s="5"/>
      <c r="AR884" s="22"/>
      <c r="AS884" s="4"/>
      <c r="AT884" s="5"/>
      <c r="AU884" s="5"/>
      <c r="AV884" s="5"/>
    </row>
    <row r="885" spans="1:48" ht="12.7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4"/>
      <c r="V885" s="22"/>
      <c r="W885" s="5"/>
      <c r="X885" s="5"/>
      <c r="Y885" s="5"/>
      <c r="Z885" s="5"/>
      <c r="AA885" s="5"/>
      <c r="AB885" s="5"/>
      <c r="AC885" s="5"/>
      <c r="AD885" s="5"/>
      <c r="AE885" s="4"/>
      <c r="AF885" s="5"/>
      <c r="AG885" s="5"/>
      <c r="AH885" s="5"/>
      <c r="AI885" s="5"/>
      <c r="AJ885" s="5"/>
      <c r="AK885" s="5"/>
      <c r="AL885" s="5"/>
      <c r="AM885" s="5"/>
      <c r="AN885" s="4"/>
      <c r="AO885" s="5"/>
      <c r="AP885" s="5"/>
      <c r="AQ885" s="5"/>
      <c r="AR885" s="22"/>
      <c r="AS885" s="4"/>
      <c r="AT885" s="5"/>
      <c r="AU885" s="5"/>
      <c r="AV885" s="5"/>
    </row>
    <row r="886" spans="1:48" ht="12.7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4"/>
      <c r="V886" s="22"/>
      <c r="W886" s="5"/>
      <c r="X886" s="5"/>
      <c r="Y886" s="5"/>
      <c r="Z886" s="5"/>
      <c r="AA886" s="5"/>
      <c r="AB886" s="5"/>
      <c r="AC886" s="5"/>
      <c r="AD886" s="5"/>
      <c r="AE886" s="4"/>
      <c r="AF886" s="5"/>
      <c r="AG886" s="5"/>
      <c r="AH886" s="5"/>
      <c r="AI886" s="5"/>
      <c r="AJ886" s="5"/>
      <c r="AK886" s="5"/>
      <c r="AL886" s="5"/>
      <c r="AM886" s="5"/>
      <c r="AN886" s="4"/>
      <c r="AO886" s="5"/>
      <c r="AP886" s="5"/>
      <c r="AQ886" s="5"/>
      <c r="AR886" s="22"/>
      <c r="AS886" s="4"/>
      <c r="AT886" s="5"/>
      <c r="AU886" s="5"/>
      <c r="AV886" s="5"/>
    </row>
    <row r="887" spans="1:48" ht="12.7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4"/>
      <c r="V887" s="22"/>
      <c r="W887" s="5"/>
      <c r="X887" s="5"/>
      <c r="Y887" s="5"/>
      <c r="Z887" s="5"/>
      <c r="AA887" s="5"/>
      <c r="AB887" s="5"/>
      <c r="AC887" s="5"/>
      <c r="AD887" s="5"/>
      <c r="AE887" s="4"/>
      <c r="AF887" s="5"/>
      <c r="AG887" s="5"/>
      <c r="AH887" s="5"/>
      <c r="AI887" s="5"/>
      <c r="AJ887" s="5"/>
      <c r="AK887" s="5"/>
      <c r="AL887" s="5"/>
      <c r="AM887" s="5"/>
      <c r="AN887" s="4"/>
      <c r="AO887" s="5"/>
      <c r="AP887" s="5"/>
      <c r="AQ887" s="5"/>
      <c r="AR887" s="22"/>
      <c r="AS887" s="4"/>
      <c r="AT887" s="5"/>
      <c r="AU887" s="5"/>
      <c r="AV887" s="5"/>
    </row>
    <row r="888" spans="1:48" ht="12.7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4"/>
      <c r="V888" s="22"/>
      <c r="W888" s="5"/>
      <c r="X888" s="5"/>
      <c r="Y888" s="5"/>
      <c r="Z888" s="5"/>
      <c r="AA888" s="5"/>
      <c r="AB888" s="5"/>
      <c r="AC888" s="5"/>
      <c r="AD888" s="5"/>
      <c r="AE888" s="4"/>
      <c r="AF888" s="5"/>
      <c r="AG888" s="5"/>
      <c r="AH888" s="5"/>
      <c r="AI888" s="5"/>
      <c r="AJ888" s="5"/>
      <c r="AK888" s="5"/>
      <c r="AL888" s="5"/>
      <c r="AM888" s="5"/>
      <c r="AN888" s="4"/>
      <c r="AO888" s="5"/>
      <c r="AP888" s="5"/>
      <c r="AQ888" s="5"/>
      <c r="AR888" s="22"/>
      <c r="AS888" s="4"/>
      <c r="AT888" s="5"/>
      <c r="AU888" s="5"/>
      <c r="AV888" s="5"/>
    </row>
    <row r="889" spans="1:48" ht="12.7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4"/>
      <c r="V889" s="22"/>
      <c r="W889" s="5"/>
      <c r="X889" s="5"/>
      <c r="Y889" s="5"/>
      <c r="Z889" s="5"/>
      <c r="AA889" s="5"/>
      <c r="AB889" s="5"/>
      <c r="AC889" s="5"/>
      <c r="AD889" s="5"/>
      <c r="AE889" s="4"/>
      <c r="AF889" s="5"/>
      <c r="AG889" s="5"/>
      <c r="AH889" s="5"/>
      <c r="AI889" s="5"/>
      <c r="AJ889" s="5"/>
      <c r="AK889" s="5"/>
      <c r="AL889" s="5"/>
      <c r="AM889" s="5"/>
      <c r="AN889" s="4"/>
      <c r="AO889" s="5"/>
      <c r="AP889" s="5"/>
      <c r="AQ889" s="5"/>
      <c r="AR889" s="22"/>
      <c r="AS889" s="4"/>
      <c r="AT889" s="5"/>
      <c r="AU889" s="5"/>
      <c r="AV889" s="5"/>
    </row>
    <row r="890" spans="1:48" ht="12.7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4"/>
      <c r="V890" s="22"/>
      <c r="W890" s="5"/>
      <c r="X890" s="5"/>
      <c r="Y890" s="5"/>
      <c r="Z890" s="5"/>
      <c r="AA890" s="5"/>
      <c r="AB890" s="5"/>
      <c r="AC890" s="5"/>
      <c r="AD890" s="5"/>
      <c r="AE890" s="4"/>
      <c r="AF890" s="5"/>
      <c r="AG890" s="5"/>
      <c r="AH890" s="5"/>
      <c r="AI890" s="5"/>
      <c r="AJ890" s="5"/>
      <c r="AK890" s="5"/>
      <c r="AL890" s="5"/>
      <c r="AM890" s="5"/>
      <c r="AN890" s="4"/>
      <c r="AO890" s="5"/>
      <c r="AP890" s="5"/>
      <c r="AQ890" s="5"/>
      <c r="AR890" s="22"/>
      <c r="AS890" s="4"/>
      <c r="AT890" s="5"/>
      <c r="AU890" s="5"/>
      <c r="AV890" s="5"/>
    </row>
    <row r="891" spans="1:48" ht="12.7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4"/>
      <c r="V891" s="22"/>
      <c r="W891" s="5"/>
      <c r="X891" s="5"/>
      <c r="Y891" s="5"/>
      <c r="Z891" s="5"/>
      <c r="AA891" s="5"/>
      <c r="AB891" s="5"/>
      <c r="AC891" s="5"/>
      <c r="AD891" s="5"/>
      <c r="AE891" s="4"/>
      <c r="AF891" s="5"/>
      <c r="AG891" s="5"/>
      <c r="AH891" s="5"/>
      <c r="AI891" s="5"/>
      <c r="AJ891" s="5"/>
      <c r="AK891" s="5"/>
      <c r="AL891" s="5"/>
      <c r="AM891" s="5"/>
      <c r="AN891" s="4"/>
      <c r="AO891" s="5"/>
      <c r="AP891" s="5"/>
      <c r="AQ891" s="5"/>
      <c r="AR891" s="22"/>
      <c r="AS891" s="4"/>
      <c r="AT891" s="5"/>
      <c r="AU891" s="5"/>
      <c r="AV891" s="5"/>
    </row>
    <row r="892" spans="1:48" ht="12.7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4"/>
      <c r="V892" s="22"/>
      <c r="W892" s="5"/>
      <c r="X892" s="5"/>
      <c r="Y892" s="5"/>
      <c r="Z892" s="5"/>
      <c r="AA892" s="5"/>
      <c r="AB892" s="5"/>
      <c r="AC892" s="5"/>
      <c r="AD892" s="5"/>
      <c r="AE892" s="4"/>
      <c r="AF892" s="5"/>
      <c r="AG892" s="5"/>
      <c r="AH892" s="5"/>
      <c r="AI892" s="5"/>
      <c r="AJ892" s="5"/>
      <c r="AK892" s="5"/>
      <c r="AL892" s="5"/>
      <c r="AM892" s="5"/>
      <c r="AN892" s="4"/>
      <c r="AO892" s="5"/>
      <c r="AP892" s="5"/>
      <c r="AQ892" s="5"/>
      <c r="AR892" s="22"/>
      <c r="AS892" s="4"/>
      <c r="AT892" s="5"/>
      <c r="AU892" s="5"/>
      <c r="AV892" s="5"/>
    </row>
    <row r="893" spans="1:48" ht="12.7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4"/>
      <c r="V893" s="22"/>
      <c r="W893" s="5"/>
      <c r="X893" s="5"/>
      <c r="Y893" s="5"/>
      <c r="Z893" s="5"/>
      <c r="AA893" s="5"/>
      <c r="AB893" s="5"/>
      <c r="AC893" s="5"/>
      <c r="AD893" s="5"/>
      <c r="AE893" s="4"/>
      <c r="AF893" s="5"/>
      <c r="AG893" s="5"/>
      <c r="AH893" s="5"/>
      <c r="AI893" s="5"/>
      <c r="AJ893" s="5"/>
      <c r="AK893" s="5"/>
      <c r="AL893" s="5"/>
      <c r="AM893" s="5"/>
      <c r="AN893" s="4"/>
      <c r="AO893" s="5"/>
      <c r="AP893" s="5"/>
      <c r="AQ893" s="5"/>
      <c r="AR893" s="22"/>
      <c r="AS893" s="4"/>
      <c r="AT893" s="5"/>
      <c r="AU893" s="5"/>
      <c r="AV893" s="5"/>
    </row>
    <row r="894" spans="1:48" ht="12.7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4"/>
      <c r="V894" s="22"/>
      <c r="W894" s="5"/>
      <c r="X894" s="5"/>
      <c r="Y894" s="5"/>
      <c r="Z894" s="5"/>
      <c r="AA894" s="5"/>
      <c r="AB894" s="5"/>
      <c r="AC894" s="5"/>
      <c r="AD894" s="5"/>
      <c r="AE894" s="4"/>
      <c r="AF894" s="5"/>
      <c r="AG894" s="5"/>
      <c r="AH894" s="5"/>
      <c r="AI894" s="5"/>
      <c r="AJ894" s="5"/>
      <c r="AK894" s="5"/>
      <c r="AL894" s="5"/>
      <c r="AM894" s="5"/>
      <c r="AN894" s="4"/>
      <c r="AO894" s="5"/>
      <c r="AP894" s="5"/>
      <c r="AQ894" s="5"/>
      <c r="AR894" s="22"/>
      <c r="AS894" s="4"/>
      <c r="AT894" s="5"/>
      <c r="AU894" s="5"/>
      <c r="AV894" s="5"/>
    </row>
    <row r="895" spans="1:48" ht="12.7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4"/>
      <c r="V895" s="22"/>
      <c r="W895" s="5"/>
      <c r="X895" s="5"/>
      <c r="Y895" s="5"/>
      <c r="Z895" s="5"/>
      <c r="AA895" s="5"/>
      <c r="AB895" s="5"/>
      <c r="AC895" s="5"/>
      <c r="AD895" s="5"/>
      <c r="AE895" s="4"/>
      <c r="AF895" s="5"/>
      <c r="AG895" s="5"/>
      <c r="AH895" s="5"/>
      <c r="AI895" s="5"/>
      <c r="AJ895" s="5"/>
      <c r="AK895" s="5"/>
      <c r="AL895" s="5"/>
      <c r="AM895" s="5"/>
      <c r="AN895" s="4"/>
      <c r="AO895" s="5"/>
      <c r="AP895" s="5"/>
      <c r="AQ895" s="5"/>
      <c r="AR895" s="22"/>
      <c r="AS895" s="4"/>
      <c r="AT895" s="5"/>
      <c r="AU895" s="5"/>
      <c r="AV895" s="5"/>
    </row>
    <row r="896" spans="1:48" ht="12.7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4"/>
      <c r="V896" s="22"/>
      <c r="W896" s="5"/>
      <c r="X896" s="5"/>
      <c r="Y896" s="5"/>
      <c r="Z896" s="5"/>
      <c r="AA896" s="5"/>
      <c r="AB896" s="5"/>
      <c r="AC896" s="5"/>
      <c r="AD896" s="5"/>
      <c r="AE896" s="4"/>
      <c r="AF896" s="5"/>
      <c r="AG896" s="5"/>
      <c r="AH896" s="5"/>
      <c r="AI896" s="5"/>
      <c r="AJ896" s="5"/>
      <c r="AK896" s="5"/>
      <c r="AL896" s="5"/>
      <c r="AM896" s="5"/>
      <c r="AN896" s="4"/>
      <c r="AO896" s="5"/>
      <c r="AP896" s="5"/>
      <c r="AQ896" s="5"/>
      <c r="AR896" s="22"/>
      <c r="AS896" s="4"/>
      <c r="AT896" s="5"/>
      <c r="AU896" s="5"/>
      <c r="AV896" s="5"/>
    </row>
    <row r="897" spans="1:48" ht="12.7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4"/>
      <c r="V897" s="22"/>
      <c r="W897" s="5"/>
      <c r="X897" s="5"/>
      <c r="Y897" s="5"/>
      <c r="Z897" s="5"/>
      <c r="AA897" s="5"/>
      <c r="AB897" s="5"/>
      <c r="AC897" s="5"/>
      <c r="AD897" s="5"/>
      <c r="AE897" s="4"/>
      <c r="AF897" s="5"/>
      <c r="AG897" s="5"/>
      <c r="AH897" s="5"/>
      <c r="AI897" s="5"/>
      <c r="AJ897" s="5"/>
      <c r="AK897" s="5"/>
      <c r="AL897" s="5"/>
      <c r="AM897" s="5"/>
      <c r="AN897" s="4"/>
      <c r="AO897" s="5"/>
      <c r="AP897" s="5"/>
      <c r="AQ897" s="5"/>
      <c r="AR897" s="22"/>
      <c r="AS897" s="4"/>
      <c r="AT897" s="5"/>
      <c r="AU897" s="5"/>
      <c r="AV897" s="5"/>
    </row>
    <row r="898" spans="1:48" ht="12.7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4"/>
      <c r="V898" s="22"/>
      <c r="W898" s="5"/>
      <c r="X898" s="5"/>
      <c r="Y898" s="5"/>
      <c r="Z898" s="5"/>
      <c r="AA898" s="5"/>
      <c r="AB898" s="5"/>
      <c r="AC898" s="5"/>
      <c r="AD898" s="5"/>
      <c r="AE898" s="4"/>
      <c r="AF898" s="5"/>
      <c r="AG898" s="5"/>
      <c r="AH898" s="5"/>
      <c r="AI898" s="5"/>
      <c r="AJ898" s="5"/>
      <c r="AK898" s="5"/>
      <c r="AL898" s="5"/>
      <c r="AM898" s="5"/>
      <c r="AN898" s="4"/>
      <c r="AO898" s="5"/>
      <c r="AP898" s="5"/>
      <c r="AQ898" s="5"/>
      <c r="AR898" s="22"/>
      <c r="AS898" s="4"/>
      <c r="AT898" s="5"/>
      <c r="AU898" s="5"/>
      <c r="AV898" s="5"/>
    </row>
    <row r="899" spans="1:48" ht="12.7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4"/>
      <c r="V899" s="22"/>
      <c r="W899" s="5"/>
      <c r="X899" s="5"/>
      <c r="Y899" s="5"/>
      <c r="Z899" s="5"/>
      <c r="AA899" s="5"/>
      <c r="AB899" s="5"/>
      <c r="AC899" s="5"/>
      <c r="AD899" s="5"/>
      <c r="AE899" s="4"/>
      <c r="AF899" s="5"/>
      <c r="AG899" s="5"/>
      <c r="AH899" s="5"/>
      <c r="AI899" s="5"/>
      <c r="AJ899" s="5"/>
      <c r="AK899" s="5"/>
      <c r="AL899" s="5"/>
      <c r="AM899" s="5"/>
      <c r="AN899" s="4"/>
      <c r="AO899" s="5"/>
      <c r="AP899" s="5"/>
      <c r="AQ899" s="5"/>
      <c r="AR899" s="22"/>
      <c r="AS899" s="4"/>
      <c r="AT899" s="5"/>
      <c r="AU899" s="5"/>
      <c r="AV899" s="5"/>
    </row>
    <row r="900" spans="1:48" ht="12.7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4"/>
      <c r="V900" s="22"/>
      <c r="W900" s="5"/>
      <c r="X900" s="5"/>
      <c r="Y900" s="5"/>
      <c r="Z900" s="5"/>
      <c r="AA900" s="5"/>
      <c r="AB900" s="5"/>
      <c r="AC900" s="5"/>
      <c r="AD900" s="5"/>
      <c r="AE900" s="4"/>
      <c r="AF900" s="5"/>
      <c r="AG900" s="5"/>
      <c r="AH900" s="5"/>
      <c r="AI900" s="5"/>
      <c r="AJ900" s="5"/>
      <c r="AK900" s="5"/>
      <c r="AL900" s="5"/>
      <c r="AM900" s="5"/>
      <c r="AN900" s="4"/>
      <c r="AO900" s="5"/>
      <c r="AP900" s="5"/>
      <c r="AQ900" s="5"/>
      <c r="AR900" s="22"/>
      <c r="AS900" s="4"/>
      <c r="AT900" s="5"/>
      <c r="AU900" s="5"/>
      <c r="AV900" s="5"/>
    </row>
    <row r="901" spans="1:48" ht="12.7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4"/>
      <c r="V901" s="22"/>
      <c r="W901" s="5"/>
      <c r="X901" s="5"/>
      <c r="Y901" s="5"/>
      <c r="Z901" s="5"/>
      <c r="AA901" s="5"/>
      <c r="AB901" s="5"/>
      <c r="AC901" s="5"/>
      <c r="AD901" s="5"/>
      <c r="AE901" s="4"/>
      <c r="AF901" s="5"/>
      <c r="AG901" s="5"/>
      <c r="AH901" s="5"/>
      <c r="AI901" s="5"/>
      <c r="AJ901" s="5"/>
      <c r="AK901" s="5"/>
      <c r="AL901" s="5"/>
      <c r="AM901" s="5"/>
      <c r="AN901" s="4"/>
      <c r="AO901" s="5"/>
      <c r="AP901" s="5"/>
      <c r="AQ901" s="5"/>
      <c r="AR901" s="22"/>
      <c r="AS901" s="4"/>
      <c r="AT901" s="5"/>
      <c r="AU901" s="5"/>
      <c r="AV901" s="5"/>
    </row>
    <row r="902" spans="1:48" ht="12.7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4"/>
      <c r="V902" s="22"/>
      <c r="W902" s="5"/>
      <c r="X902" s="5"/>
      <c r="Y902" s="5"/>
      <c r="Z902" s="5"/>
      <c r="AA902" s="5"/>
      <c r="AB902" s="5"/>
      <c r="AC902" s="5"/>
      <c r="AD902" s="5"/>
      <c r="AE902" s="4"/>
      <c r="AF902" s="5"/>
      <c r="AG902" s="5"/>
      <c r="AH902" s="5"/>
      <c r="AI902" s="5"/>
      <c r="AJ902" s="5"/>
      <c r="AK902" s="5"/>
      <c r="AL902" s="5"/>
      <c r="AM902" s="5"/>
      <c r="AN902" s="4"/>
      <c r="AO902" s="5"/>
      <c r="AP902" s="5"/>
      <c r="AQ902" s="5"/>
      <c r="AR902" s="22"/>
      <c r="AS902" s="4"/>
      <c r="AT902" s="5"/>
      <c r="AU902" s="5"/>
      <c r="AV902" s="5"/>
    </row>
    <row r="903" spans="1:48" ht="12.7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4"/>
      <c r="V903" s="22"/>
      <c r="W903" s="5"/>
      <c r="X903" s="5"/>
      <c r="Y903" s="5"/>
      <c r="Z903" s="5"/>
      <c r="AA903" s="5"/>
      <c r="AB903" s="5"/>
      <c r="AC903" s="5"/>
      <c r="AD903" s="5"/>
      <c r="AE903" s="4"/>
      <c r="AF903" s="5"/>
      <c r="AG903" s="5"/>
      <c r="AH903" s="5"/>
      <c r="AI903" s="5"/>
      <c r="AJ903" s="5"/>
      <c r="AK903" s="5"/>
      <c r="AL903" s="5"/>
      <c r="AM903" s="5"/>
      <c r="AN903" s="4"/>
      <c r="AO903" s="5"/>
      <c r="AP903" s="5"/>
      <c r="AQ903" s="5"/>
      <c r="AR903" s="22"/>
      <c r="AS903" s="4"/>
      <c r="AT903" s="5"/>
      <c r="AU903" s="5"/>
      <c r="AV903" s="5"/>
    </row>
    <row r="904" spans="1:48" ht="12.7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4"/>
      <c r="V904" s="22"/>
      <c r="W904" s="5"/>
      <c r="X904" s="5"/>
      <c r="Y904" s="5"/>
      <c r="Z904" s="5"/>
      <c r="AA904" s="5"/>
      <c r="AB904" s="5"/>
      <c r="AC904" s="5"/>
      <c r="AD904" s="5"/>
      <c r="AE904" s="4"/>
      <c r="AF904" s="5"/>
      <c r="AG904" s="5"/>
      <c r="AH904" s="5"/>
      <c r="AI904" s="5"/>
      <c r="AJ904" s="5"/>
      <c r="AK904" s="5"/>
      <c r="AL904" s="5"/>
      <c r="AM904" s="5"/>
      <c r="AN904" s="4"/>
      <c r="AO904" s="5"/>
      <c r="AP904" s="5"/>
      <c r="AQ904" s="5"/>
      <c r="AR904" s="22"/>
      <c r="AS904" s="4"/>
      <c r="AT904" s="5"/>
      <c r="AU904" s="5"/>
      <c r="AV904" s="5"/>
    </row>
    <row r="905" spans="1:48" ht="12.7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4"/>
      <c r="V905" s="22"/>
      <c r="W905" s="5"/>
      <c r="X905" s="5"/>
      <c r="Y905" s="5"/>
      <c r="Z905" s="5"/>
      <c r="AA905" s="5"/>
      <c r="AB905" s="5"/>
      <c r="AC905" s="5"/>
      <c r="AD905" s="5"/>
      <c r="AE905" s="4"/>
      <c r="AF905" s="5"/>
      <c r="AG905" s="5"/>
      <c r="AH905" s="5"/>
      <c r="AI905" s="5"/>
      <c r="AJ905" s="5"/>
      <c r="AK905" s="5"/>
      <c r="AL905" s="5"/>
      <c r="AM905" s="5"/>
      <c r="AN905" s="4"/>
      <c r="AO905" s="5"/>
      <c r="AP905" s="5"/>
      <c r="AQ905" s="5"/>
      <c r="AR905" s="22"/>
      <c r="AS905" s="4"/>
      <c r="AT905" s="5"/>
      <c r="AU905" s="5"/>
      <c r="AV905" s="5"/>
    </row>
    <row r="906" spans="1:48" ht="12.7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4"/>
      <c r="V906" s="22"/>
      <c r="W906" s="5"/>
      <c r="X906" s="5"/>
      <c r="Y906" s="5"/>
      <c r="Z906" s="5"/>
      <c r="AA906" s="5"/>
      <c r="AB906" s="5"/>
      <c r="AC906" s="5"/>
      <c r="AD906" s="5"/>
      <c r="AE906" s="4"/>
      <c r="AF906" s="5"/>
      <c r="AG906" s="5"/>
      <c r="AH906" s="5"/>
      <c r="AI906" s="5"/>
      <c r="AJ906" s="5"/>
      <c r="AK906" s="5"/>
      <c r="AL906" s="5"/>
      <c r="AM906" s="5"/>
      <c r="AN906" s="4"/>
      <c r="AO906" s="5"/>
      <c r="AP906" s="5"/>
      <c r="AQ906" s="5"/>
      <c r="AR906" s="22"/>
      <c r="AS906" s="4"/>
      <c r="AT906" s="5"/>
      <c r="AU906" s="5"/>
      <c r="AV906" s="5"/>
    </row>
    <row r="907" spans="1:48" ht="12.7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4"/>
      <c r="V907" s="22"/>
      <c r="W907" s="5"/>
      <c r="X907" s="5"/>
      <c r="Y907" s="5"/>
      <c r="Z907" s="5"/>
      <c r="AA907" s="5"/>
      <c r="AB907" s="5"/>
      <c r="AC907" s="5"/>
      <c r="AD907" s="5"/>
      <c r="AE907" s="4"/>
      <c r="AF907" s="5"/>
      <c r="AG907" s="5"/>
      <c r="AH907" s="5"/>
      <c r="AI907" s="5"/>
      <c r="AJ907" s="5"/>
      <c r="AK907" s="5"/>
      <c r="AL907" s="5"/>
      <c r="AM907" s="5"/>
      <c r="AN907" s="4"/>
      <c r="AO907" s="5"/>
      <c r="AP907" s="5"/>
      <c r="AQ907" s="5"/>
      <c r="AR907" s="22"/>
      <c r="AS907" s="4"/>
      <c r="AT907" s="5"/>
      <c r="AU907" s="5"/>
      <c r="AV907" s="5"/>
    </row>
    <row r="908" spans="1:48" ht="12.7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4"/>
      <c r="V908" s="22"/>
      <c r="W908" s="5"/>
      <c r="X908" s="5"/>
      <c r="Y908" s="5"/>
      <c r="Z908" s="5"/>
      <c r="AA908" s="5"/>
      <c r="AB908" s="5"/>
      <c r="AC908" s="5"/>
      <c r="AD908" s="5"/>
      <c r="AE908" s="4"/>
      <c r="AF908" s="5"/>
      <c r="AG908" s="5"/>
      <c r="AH908" s="5"/>
      <c r="AI908" s="5"/>
      <c r="AJ908" s="5"/>
      <c r="AK908" s="5"/>
      <c r="AL908" s="5"/>
      <c r="AM908" s="5"/>
      <c r="AN908" s="4"/>
      <c r="AO908" s="5"/>
      <c r="AP908" s="5"/>
      <c r="AQ908" s="5"/>
      <c r="AR908" s="22"/>
      <c r="AS908" s="4"/>
      <c r="AT908" s="5"/>
      <c r="AU908" s="5"/>
      <c r="AV908" s="5"/>
    </row>
    <row r="909" spans="1:48" ht="12.7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4"/>
      <c r="V909" s="22"/>
      <c r="W909" s="5"/>
      <c r="X909" s="5"/>
      <c r="Y909" s="5"/>
      <c r="Z909" s="5"/>
      <c r="AA909" s="5"/>
      <c r="AB909" s="5"/>
      <c r="AC909" s="5"/>
      <c r="AD909" s="5"/>
      <c r="AE909" s="4"/>
      <c r="AF909" s="5"/>
      <c r="AG909" s="5"/>
      <c r="AH909" s="5"/>
      <c r="AI909" s="5"/>
      <c r="AJ909" s="5"/>
      <c r="AK909" s="5"/>
      <c r="AL909" s="5"/>
      <c r="AM909" s="5"/>
      <c r="AN909" s="4"/>
      <c r="AO909" s="5"/>
      <c r="AP909" s="5"/>
      <c r="AQ909" s="5"/>
      <c r="AR909" s="22"/>
      <c r="AS909" s="4"/>
      <c r="AT909" s="5"/>
      <c r="AU909" s="5"/>
      <c r="AV909" s="5"/>
    </row>
    <row r="910" spans="1:48" ht="12.7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4"/>
      <c r="V910" s="22"/>
      <c r="W910" s="5"/>
      <c r="X910" s="5"/>
      <c r="Y910" s="5"/>
      <c r="Z910" s="5"/>
      <c r="AA910" s="5"/>
      <c r="AB910" s="5"/>
      <c r="AC910" s="5"/>
      <c r="AD910" s="5"/>
      <c r="AE910" s="4"/>
      <c r="AF910" s="5"/>
      <c r="AG910" s="5"/>
      <c r="AH910" s="5"/>
      <c r="AI910" s="5"/>
      <c r="AJ910" s="5"/>
      <c r="AK910" s="5"/>
      <c r="AL910" s="5"/>
      <c r="AM910" s="5"/>
      <c r="AN910" s="4"/>
      <c r="AO910" s="5"/>
      <c r="AP910" s="5"/>
      <c r="AQ910" s="5"/>
      <c r="AR910" s="22"/>
      <c r="AS910" s="4"/>
      <c r="AT910" s="5"/>
      <c r="AU910" s="5"/>
      <c r="AV910" s="5"/>
    </row>
    <row r="911" spans="1:48" ht="12.7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4"/>
      <c r="V911" s="22"/>
      <c r="W911" s="5"/>
      <c r="X911" s="5"/>
      <c r="Y911" s="5"/>
      <c r="Z911" s="5"/>
      <c r="AA911" s="5"/>
      <c r="AB911" s="5"/>
      <c r="AC911" s="5"/>
      <c r="AD911" s="5"/>
      <c r="AE911" s="4"/>
      <c r="AF911" s="5"/>
      <c r="AG911" s="5"/>
      <c r="AH911" s="5"/>
      <c r="AI911" s="5"/>
      <c r="AJ911" s="5"/>
      <c r="AK911" s="5"/>
      <c r="AL911" s="5"/>
      <c r="AM911" s="5"/>
      <c r="AN911" s="4"/>
      <c r="AO911" s="5"/>
      <c r="AP911" s="5"/>
      <c r="AQ911" s="5"/>
      <c r="AR911" s="22"/>
      <c r="AS911" s="4"/>
      <c r="AT911" s="5"/>
      <c r="AU911" s="5"/>
      <c r="AV911" s="5"/>
    </row>
    <row r="912" spans="1:48" ht="12.7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4"/>
      <c r="V912" s="22"/>
      <c r="W912" s="5"/>
      <c r="X912" s="5"/>
      <c r="Y912" s="5"/>
      <c r="Z912" s="5"/>
      <c r="AA912" s="5"/>
      <c r="AB912" s="5"/>
      <c r="AC912" s="5"/>
      <c r="AD912" s="5"/>
      <c r="AE912" s="4"/>
      <c r="AF912" s="5"/>
      <c r="AG912" s="5"/>
      <c r="AH912" s="5"/>
      <c r="AI912" s="5"/>
      <c r="AJ912" s="5"/>
      <c r="AK912" s="5"/>
      <c r="AL912" s="5"/>
      <c r="AM912" s="5"/>
      <c r="AN912" s="4"/>
      <c r="AO912" s="5"/>
      <c r="AP912" s="5"/>
      <c r="AQ912" s="5"/>
      <c r="AR912" s="22"/>
      <c r="AS912" s="4"/>
      <c r="AT912" s="5"/>
      <c r="AU912" s="5"/>
      <c r="AV912" s="5"/>
    </row>
    <row r="913" spans="1:48" ht="12.7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4"/>
      <c r="V913" s="22"/>
      <c r="W913" s="5"/>
      <c r="X913" s="5"/>
      <c r="Y913" s="5"/>
      <c r="Z913" s="5"/>
      <c r="AA913" s="5"/>
      <c r="AB913" s="5"/>
      <c r="AC913" s="5"/>
      <c r="AD913" s="5"/>
      <c r="AE913" s="4"/>
      <c r="AF913" s="5"/>
      <c r="AG913" s="5"/>
      <c r="AH913" s="5"/>
      <c r="AI913" s="5"/>
      <c r="AJ913" s="5"/>
      <c r="AK913" s="5"/>
      <c r="AL913" s="5"/>
      <c r="AM913" s="5"/>
      <c r="AN913" s="4"/>
      <c r="AO913" s="5"/>
      <c r="AP913" s="5"/>
      <c r="AQ913" s="5"/>
      <c r="AR913" s="22"/>
      <c r="AS913" s="4"/>
      <c r="AT913" s="5"/>
      <c r="AU913" s="5"/>
      <c r="AV913" s="5"/>
    </row>
    <row r="914" spans="1:48" ht="12.7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4"/>
      <c r="V914" s="22"/>
      <c r="W914" s="5"/>
      <c r="X914" s="5"/>
      <c r="Y914" s="5"/>
      <c r="Z914" s="5"/>
      <c r="AA914" s="5"/>
      <c r="AB914" s="5"/>
      <c r="AC914" s="5"/>
      <c r="AD914" s="5"/>
      <c r="AE914" s="4"/>
      <c r="AF914" s="5"/>
      <c r="AG914" s="5"/>
      <c r="AH914" s="5"/>
      <c r="AI914" s="5"/>
      <c r="AJ914" s="5"/>
      <c r="AK914" s="5"/>
      <c r="AL914" s="5"/>
      <c r="AM914" s="5"/>
      <c r="AN914" s="4"/>
      <c r="AO914" s="5"/>
      <c r="AP914" s="5"/>
      <c r="AQ914" s="5"/>
      <c r="AR914" s="22"/>
      <c r="AS914" s="4"/>
      <c r="AT914" s="5"/>
      <c r="AU914" s="5"/>
      <c r="AV914" s="5"/>
    </row>
    <row r="915" spans="1:48" ht="12.7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4"/>
      <c r="V915" s="22"/>
      <c r="W915" s="5"/>
      <c r="X915" s="5"/>
      <c r="Y915" s="5"/>
      <c r="Z915" s="5"/>
      <c r="AA915" s="5"/>
      <c r="AB915" s="5"/>
      <c r="AC915" s="5"/>
      <c r="AD915" s="5"/>
      <c r="AE915" s="4"/>
      <c r="AF915" s="5"/>
      <c r="AG915" s="5"/>
      <c r="AH915" s="5"/>
      <c r="AI915" s="5"/>
      <c r="AJ915" s="5"/>
      <c r="AK915" s="5"/>
      <c r="AL915" s="5"/>
      <c r="AM915" s="5"/>
      <c r="AN915" s="4"/>
      <c r="AO915" s="5"/>
      <c r="AP915" s="5"/>
      <c r="AQ915" s="5"/>
      <c r="AR915" s="22"/>
      <c r="AS915" s="4"/>
      <c r="AT915" s="5"/>
      <c r="AU915" s="5"/>
      <c r="AV915" s="5"/>
    </row>
    <row r="916" spans="1:48" ht="12.7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4"/>
      <c r="V916" s="22"/>
      <c r="W916" s="5"/>
      <c r="X916" s="5"/>
      <c r="Y916" s="5"/>
      <c r="Z916" s="5"/>
      <c r="AA916" s="5"/>
      <c r="AB916" s="5"/>
      <c r="AC916" s="5"/>
      <c r="AD916" s="5"/>
      <c r="AE916" s="4"/>
      <c r="AF916" s="5"/>
      <c r="AG916" s="5"/>
      <c r="AH916" s="5"/>
      <c r="AI916" s="5"/>
      <c r="AJ916" s="5"/>
      <c r="AK916" s="5"/>
      <c r="AL916" s="5"/>
      <c r="AM916" s="5"/>
      <c r="AN916" s="4"/>
      <c r="AO916" s="5"/>
      <c r="AP916" s="5"/>
      <c r="AQ916" s="5"/>
      <c r="AR916" s="22"/>
      <c r="AS916" s="4"/>
      <c r="AT916" s="5"/>
      <c r="AU916" s="5"/>
      <c r="AV916" s="5"/>
    </row>
    <row r="917" spans="1:48" ht="12.7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4"/>
      <c r="V917" s="22"/>
      <c r="W917" s="5"/>
      <c r="X917" s="5"/>
      <c r="Y917" s="5"/>
      <c r="Z917" s="5"/>
      <c r="AA917" s="5"/>
      <c r="AB917" s="5"/>
      <c r="AC917" s="5"/>
      <c r="AD917" s="5"/>
      <c r="AE917" s="4"/>
      <c r="AF917" s="5"/>
      <c r="AG917" s="5"/>
      <c r="AH917" s="5"/>
      <c r="AI917" s="5"/>
      <c r="AJ917" s="5"/>
      <c r="AK917" s="5"/>
      <c r="AL917" s="5"/>
      <c r="AM917" s="5"/>
      <c r="AN917" s="4"/>
      <c r="AO917" s="5"/>
      <c r="AP917" s="5"/>
      <c r="AQ917" s="5"/>
      <c r="AR917" s="22"/>
      <c r="AS917" s="4"/>
      <c r="AT917" s="5"/>
      <c r="AU917" s="5"/>
      <c r="AV917" s="5"/>
    </row>
    <row r="918" spans="1:48" ht="12.7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4"/>
      <c r="V918" s="22"/>
      <c r="W918" s="5"/>
      <c r="X918" s="5"/>
      <c r="Y918" s="5"/>
      <c r="Z918" s="5"/>
      <c r="AA918" s="5"/>
      <c r="AB918" s="5"/>
      <c r="AC918" s="5"/>
      <c r="AD918" s="5"/>
      <c r="AE918" s="4"/>
      <c r="AF918" s="5"/>
      <c r="AG918" s="5"/>
      <c r="AH918" s="5"/>
      <c r="AI918" s="5"/>
      <c r="AJ918" s="5"/>
      <c r="AK918" s="5"/>
      <c r="AL918" s="5"/>
      <c r="AM918" s="5"/>
      <c r="AN918" s="4"/>
      <c r="AO918" s="5"/>
      <c r="AP918" s="5"/>
      <c r="AQ918" s="5"/>
      <c r="AR918" s="22"/>
      <c r="AS918" s="4"/>
      <c r="AT918" s="5"/>
      <c r="AU918" s="5"/>
      <c r="AV918" s="5"/>
    </row>
    <row r="919" spans="1:48" ht="12.7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4"/>
      <c r="V919" s="22"/>
      <c r="W919" s="5"/>
      <c r="X919" s="5"/>
      <c r="Y919" s="5"/>
      <c r="Z919" s="5"/>
      <c r="AA919" s="5"/>
      <c r="AB919" s="5"/>
      <c r="AC919" s="5"/>
      <c r="AD919" s="5"/>
      <c r="AE919" s="4"/>
      <c r="AF919" s="5"/>
      <c r="AG919" s="5"/>
      <c r="AH919" s="5"/>
      <c r="AI919" s="5"/>
      <c r="AJ919" s="5"/>
      <c r="AK919" s="5"/>
      <c r="AL919" s="5"/>
      <c r="AM919" s="5"/>
      <c r="AN919" s="4"/>
      <c r="AO919" s="5"/>
      <c r="AP919" s="5"/>
      <c r="AQ919" s="5"/>
      <c r="AR919" s="22"/>
      <c r="AS919" s="4"/>
      <c r="AT919" s="5"/>
      <c r="AU919" s="5"/>
      <c r="AV919" s="5"/>
    </row>
    <row r="920" spans="1:48" ht="12.7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4"/>
      <c r="V920" s="22"/>
      <c r="W920" s="5"/>
      <c r="X920" s="5"/>
      <c r="Y920" s="5"/>
      <c r="Z920" s="5"/>
      <c r="AA920" s="5"/>
      <c r="AB920" s="5"/>
      <c r="AC920" s="5"/>
      <c r="AD920" s="5"/>
      <c r="AE920" s="4"/>
      <c r="AF920" s="5"/>
      <c r="AG920" s="5"/>
      <c r="AH920" s="5"/>
      <c r="AI920" s="5"/>
      <c r="AJ920" s="5"/>
      <c r="AK920" s="5"/>
      <c r="AL920" s="5"/>
      <c r="AM920" s="5"/>
      <c r="AN920" s="4"/>
      <c r="AO920" s="5"/>
      <c r="AP920" s="5"/>
      <c r="AQ920" s="5"/>
      <c r="AR920" s="22"/>
      <c r="AS920" s="4"/>
      <c r="AT920" s="5"/>
      <c r="AU920" s="5"/>
      <c r="AV920" s="5"/>
    </row>
    <row r="921" spans="1:48" ht="12.7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4"/>
      <c r="V921" s="22"/>
      <c r="W921" s="5"/>
      <c r="X921" s="5"/>
      <c r="Y921" s="5"/>
      <c r="Z921" s="5"/>
      <c r="AA921" s="5"/>
      <c r="AB921" s="5"/>
      <c r="AC921" s="5"/>
      <c r="AD921" s="5"/>
      <c r="AE921" s="4"/>
      <c r="AF921" s="5"/>
      <c r="AG921" s="5"/>
      <c r="AH921" s="5"/>
      <c r="AI921" s="5"/>
      <c r="AJ921" s="5"/>
      <c r="AK921" s="5"/>
      <c r="AL921" s="5"/>
      <c r="AM921" s="5"/>
      <c r="AN921" s="4"/>
      <c r="AO921" s="5"/>
      <c r="AP921" s="5"/>
      <c r="AQ921" s="5"/>
      <c r="AR921" s="22"/>
      <c r="AS921" s="4"/>
      <c r="AT921" s="5"/>
      <c r="AU921" s="5"/>
      <c r="AV921" s="5"/>
    </row>
    <row r="922" spans="1:48" ht="12.7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4"/>
      <c r="V922" s="22"/>
      <c r="W922" s="5"/>
      <c r="X922" s="5"/>
      <c r="Y922" s="5"/>
      <c r="Z922" s="5"/>
      <c r="AA922" s="5"/>
      <c r="AB922" s="5"/>
      <c r="AC922" s="5"/>
      <c r="AD922" s="5"/>
      <c r="AE922" s="4"/>
      <c r="AF922" s="5"/>
      <c r="AG922" s="5"/>
      <c r="AH922" s="5"/>
      <c r="AI922" s="5"/>
      <c r="AJ922" s="5"/>
      <c r="AK922" s="5"/>
      <c r="AL922" s="5"/>
      <c r="AM922" s="5"/>
      <c r="AN922" s="4"/>
      <c r="AO922" s="5"/>
      <c r="AP922" s="5"/>
      <c r="AQ922" s="5"/>
      <c r="AR922" s="22"/>
      <c r="AS922" s="4"/>
      <c r="AT922" s="5"/>
      <c r="AU922" s="5"/>
      <c r="AV922" s="5"/>
    </row>
    <row r="923" spans="1:48" ht="12.7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4"/>
      <c r="V923" s="22"/>
      <c r="W923" s="5"/>
      <c r="X923" s="5"/>
      <c r="Y923" s="5"/>
      <c r="Z923" s="5"/>
      <c r="AA923" s="5"/>
      <c r="AB923" s="5"/>
      <c r="AC923" s="5"/>
      <c r="AD923" s="5"/>
      <c r="AE923" s="4"/>
      <c r="AF923" s="5"/>
      <c r="AG923" s="5"/>
      <c r="AH923" s="5"/>
      <c r="AI923" s="5"/>
      <c r="AJ923" s="5"/>
      <c r="AK923" s="5"/>
      <c r="AL923" s="5"/>
      <c r="AM923" s="5"/>
      <c r="AN923" s="4"/>
      <c r="AO923" s="5"/>
      <c r="AP923" s="5"/>
      <c r="AQ923" s="5"/>
      <c r="AR923" s="22"/>
      <c r="AS923" s="4"/>
      <c r="AT923" s="5"/>
      <c r="AU923" s="5"/>
      <c r="AV923" s="5"/>
    </row>
    <row r="924" spans="1:48" ht="12.7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4"/>
      <c r="V924" s="22"/>
      <c r="W924" s="5"/>
      <c r="X924" s="5"/>
      <c r="Y924" s="5"/>
      <c r="Z924" s="5"/>
      <c r="AA924" s="5"/>
      <c r="AB924" s="5"/>
      <c r="AC924" s="5"/>
      <c r="AD924" s="5"/>
      <c r="AE924" s="4"/>
      <c r="AF924" s="5"/>
      <c r="AG924" s="5"/>
      <c r="AH924" s="5"/>
      <c r="AI924" s="5"/>
      <c r="AJ924" s="5"/>
      <c r="AK924" s="5"/>
      <c r="AL924" s="5"/>
      <c r="AM924" s="5"/>
      <c r="AN924" s="4"/>
      <c r="AO924" s="5"/>
      <c r="AP924" s="5"/>
      <c r="AQ924" s="5"/>
      <c r="AR924" s="22"/>
      <c r="AS924" s="4"/>
      <c r="AT924" s="5"/>
      <c r="AU924" s="5"/>
      <c r="AV924" s="5"/>
    </row>
    <row r="925" spans="1:48" ht="12.7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4"/>
      <c r="V925" s="22"/>
      <c r="W925" s="5"/>
      <c r="X925" s="5"/>
      <c r="Y925" s="5"/>
      <c r="Z925" s="5"/>
      <c r="AA925" s="5"/>
      <c r="AB925" s="5"/>
      <c r="AC925" s="5"/>
      <c r="AD925" s="5"/>
      <c r="AE925" s="4"/>
      <c r="AF925" s="5"/>
      <c r="AG925" s="5"/>
      <c r="AH925" s="5"/>
      <c r="AI925" s="5"/>
      <c r="AJ925" s="5"/>
      <c r="AK925" s="5"/>
      <c r="AL925" s="5"/>
      <c r="AM925" s="5"/>
      <c r="AN925" s="4"/>
      <c r="AO925" s="5"/>
      <c r="AP925" s="5"/>
      <c r="AQ925" s="5"/>
      <c r="AR925" s="22"/>
      <c r="AS925" s="4"/>
      <c r="AT925" s="5"/>
      <c r="AU925" s="5"/>
      <c r="AV925" s="5"/>
    </row>
    <row r="926" spans="1:48" ht="12.7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4"/>
      <c r="V926" s="22"/>
      <c r="W926" s="5"/>
      <c r="X926" s="5"/>
      <c r="Y926" s="5"/>
      <c r="Z926" s="5"/>
      <c r="AA926" s="5"/>
      <c r="AB926" s="5"/>
      <c r="AC926" s="5"/>
      <c r="AD926" s="5"/>
      <c r="AE926" s="4"/>
      <c r="AF926" s="5"/>
      <c r="AG926" s="5"/>
      <c r="AH926" s="5"/>
      <c r="AI926" s="5"/>
      <c r="AJ926" s="5"/>
      <c r="AK926" s="5"/>
      <c r="AL926" s="5"/>
      <c r="AM926" s="5"/>
      <c r="AN926" s="4"/>
      <c r="AO926" s="5"/>
      <c r="AP926" s="5"/>
      <c r="AQ926" s="5"/>
      <c r="AR926" s="22"/>
      <c r="AS926" s="4"/>
      <c r="AT926" s="5"/>
      <c r="AU926" s="5"/>
      <c r="AV926" s="5"/>
    </row>
    <row r="927" spans="1:48" ht="12.7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4"/>
      <c r="V927" s="22"/>
      <c r="W927" s="5"/>
      <c r="X927" s="5"/>
      <c r="Y927" s="5"/>
      <c r="Z927" s="5"/>
      <c r="AA927" s="5"/>
      <c r="AB927" s="5"/>
      <c r="AC927" s="5"/>
      <c r="AD927" s="5"/>
      <c r="AE927" s="4"/>
      <c r="AF927" s="5"/>
      <c r="AG927" s="5"/>
      <c r="AH927" s="5"/>
      <c r="AI927" s="5"/>
      <c r="AJ927" s="5"/>
      <c r="AK927" s="5"/>
      <c r="AL927" s="5"/>
      <c r="AM927" s="5"/>
      <c r="AN927" s="4"/>
      <c r="AO927" s="5"/>
      <c r="AP927" s="5"/>
      <c r="AQ927" s="5"/>
      <c r="AR927" s="22"/>
      <c r="AS927" s="4"/>
      <c r="AT927" s="5"/>
      <c r="AU927" s="5"/>
      <c r="AV927" s="5"/>
    </row>
    <row r="928" spans="1:48" ht="12.7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4"/>
      <c r="V928" s="22"/>
      <c r="W928" s="5"/>
      <c r="X928" s="5"/>
      <c r="Y928" s="5"/>
      <c r="Z928" s="5"/>
      <c r="AA928" s="5"/>
      <c r="AB928" s="5"/>
      <c r="AC928" s="5"/>
      <c r="AD928" s="5"/>
      <c r="AE928" s="4"/>
      <c r="AF928" s="5"/>
      <c r="AG928" s="5"/>
      <c r="AH928" s="5"/>
      <c r="AI928" s="5"/>
      <c r="AJ928" s="5"/>
      <c r="AK928" s="5"/>
      <c r="AL928" s="5"/>
      <c r="AM928" s="5"/>
      <c r="AN928" s="4"/>
      <c r="AO928" s="5"/>
      <c r="AP928" s="5"/>
      <c r="AQ928" s="5"/>
      <c r="AR928" s="22"/>
      <c r="AS928" s="4"/>
      <c r="AT928" s="5"/>
      <c r="AU928" s="5"/>
      <c r="AV928" s="5"/>
    </row>
    <row r="929" spans="1:48" ht="12.7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4"/>
      <c r="V929" s="22"/>
      <c r="W929" s="5"/>
      <c r="X929" s="5"/>
      <c r="Y929" s="5"/>
      <c r="Z929" s="5"/>
      <c r="AA929" s="5"/>
      <c r="AB929" s="5"/>
      <c r="AC929" s="5"/>
      <c r="AD929" s="5"/>
      <c r="AE929" s="4"/>
      <c r="AF929" s="5"/>
      <c r="AG929" s="5"/>
      <c r="AH929" s="5"/>
      <c r="AI929" s="5"/>
      <c r="AJ929" s="5"/>
      <c r="AK929" s="5"/>
      <c r="AL929" s="5"/>
      <c r="AM929" s="5"/>
      <c r="AN929" s="4"/>
      <c r="AO929" s="5"/>
      <c r="AP929" s="5"/>
      <c r="AQ929" s="5"/>
      <c r="AR929" s="22"/>
      <c r="AS929" s="4"/>
      <c r="AT929" s="5"/>
      <c r="AU929" s="5"/>
      <c r="AV929" s="5"/>
    </row>
    <row r="930" spans="1:48" ht="12.7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4"/>
      <c r="V930" s="22"/>
      <c r="W930" s="5"/>
      <c r="X930" s="5"/>
      <c r="Y930" s="5"/>
      <c r="Z930" s="5"/>
      <c r="AA930" s="5"/>
      <c r="AB930" s="5"/>
      <c r="AC930" s="5"/>
      <c r="AD930" s="5"/>
      <c r="AE930" s="4"/>
      <c r="AF930" s="5"/>
      <c r="AG930" s="5"/>
      <c r="AH930" s="5"/>
      <c r="AI930" s="5"/>
      <c r="AJ930" s="5"/>
      <c r="AK930" s="5"/>
      <c r="AL930" s="5"/>
      <c r="AM930" s="5"/>
      <c r="AN930" s="4"/>
      <c r="AO930" s="5"/>
      <c r="AP930" s="5"/>
      <c r="AQ930" s="5"/>
      <c r="AR930" s="22"/>
      <c r="AS930" s="4"/>
      <c r="AT930" s="5"/>
      <c r="AU930" s="5"/>
      <c r="AV930" s="5"/>
    </row>
    <row r="931" spans="1:48" ht="12.7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4"/>
      <c r="V931" s="22"/>
      <c r="W931" s="5"/>
      <c r="X931" s="5"/>
      <c r="Y931" s="5"/>
      <c r="Z931" s="5"/>
      <c r="AA931" s="5"/>
      <c r="AB931" s="5"/>
      <c r="AC931" s="5"/>
      <c r="AD931" s="5"/>
      <c r="AE931" s="4"/>
      <c r="AF931" s="5"/>
      <c r="AG931" s="5"/>
      <c r="AH931" s="5"/>
      <c r="AI931" s="5"/>
      <c r="AJ931" s="5"/>
      <c r="AK931" s="5"/>
      <c r="AL931" s="5"/>
      <c r="AM931" s="5"/>
      <c r="AN931" s="4"/>
      <c r="AO931" s="5"/>
      <c r="AP931" s="5"/>
      <c r="AQ931" s="5"/>
      <c r="AR931" s="22"/>
      <c r="AS931" s="4"/>
      <c r="AT931" s="5"/>
      <c r="AU931" s="5"/>
      <c r="AV931" s="5"/>
    </row>
    <row r="932" spans="1:48" ht="12.7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4"/>
      <c r="V932" s="22"/>
      <c r="W932" s="5"/>
      <c r="X932" s="5"/>
      <c r="Y932" s="5"/>
      <c r="Z932" s="5"/>
      <c r="AA932" s="5"/>
      <c r="AB932" s="5"/>
      <c r="AC932" s="5"/>
      <c r="AD932" s="5"/>
      <c r="AE932" s="4"/>
      <c r="AF932" s="5"/>
      <c r="AG932" s="5"/>
      <c r="AH932" s="5"/>
      <c r="AI932" s="5"/>
      <c r="AJ932" s="5"/>
      <c r="AK932" s="5"/>
      <c r="AL932" s="5"/>
      <c r="AM932" s="5"/>
      <c r="AN932" s="4"/>
      <c r="AO932" s="5"/>
      <c r="AP932" s="5"/>
      <c r="AQ932" s="5"/>
      <c r="AR932" s="22"/>
      <c r="AS932" s="4"/>
      <c r="AT932" s="5"/>
      <c r="AU932" s="5"/>
      <c r="AV932" s="5"/>
    </row>
    <row r="933" spans="1:48" ht="12.7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4"/>
      <c r="V933" s="22"/>
      <c r="W933" s="5"/>
      <c r="X933" s="5"/>
      <c r="Y933" s="5"/>
      <c r="Z933" s="5"/>
      <c r="AA933" s="5"/>
      <c r="AB933" s="5"/>
      <c r="AC933" s="5"/>
      <c r="AD933" s="5"/>
      <c r="AE933" s="4"/>
      <c r="AF933" s="5"/>
      <c r="AG933" s="5"/>
      <c r="AH933" s="5"/>
      <c r="AI933" s="5"/>
      <c r="AJ933" s="5"/>
      <c r="AK933" s="5"/>
      <c r="AL933" s="5"/>
      <c r="AM933" s="5"/>
      <c r="AN933" s="4"/>
      <c r="AO933" s="5"/>
      <c r="AP933" s="5"/>
      <c r="AQ933" s="5"/>
      <c r="AR933" s="22"/>
      <c r="AS933" s="4"/>
      <c r="AT933" s="5"/>
      <c r="AU933" s="5"/>
      <c r="AV933" s="5"/>
    </row>
    <row r="934" spans="1:48" ht="12.7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4"/>
      <c r="V934" s="22"/>
      <c r="W934" s="5"/>
      <c r="X934" s="5"/>
      <c r="Y934" s="5"/>
      <c r="Z934" s="5"/>
      <c r="AA934" s="5"/>
      <c r="AB934" s="5"/>
      <c r="AC934" s="5"/>
      <c r="AD934" s="5"/>
      <c r="AE934" s="4"/>
      <c r="AF934" s="5"/>
      <c r="AG934" s="5"/>
      <c r="AH934" s="5"/>
      <c r="AI934" s="5"/>
      <c r="AJ934" s="5"/>
      <c r="AK934" s="5"/>
      <c r="AL934" s="5"/>
      <c r="AM934" s="5"/>
      <c r="AN934" s="4"/>
      <c r="AO934" s="5"/>
      <c r="AP934" s="5"/>
      <c r="AQ934" s="5"/>
      <c r="AR934" s="22"/>
      <c r="AS934" s="4"/>
      <c r="AT934" s="5"/>
      <c r="AU934" s="5"/>
      <c r="AV934" s="5"/>
    </row>
    <row r="935" spans="1:48" ht="12.7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4"/>
      <c r="V935" s="22"/>
      <c r="W935" s="5"/>
      <c r="X935" s="5"/>
      <c r="Y935" s="5"/>
      <c r="Z935" s="5"/>
      <c r="AA935" s="5"/>
      <c r="AB935" s="5"/>
      <c r="AC935" s="5"/>
      <c r="AD935" s="5"/>
      <c r="AE935" s="4"/>
      <c r="AF935" s="5"/>
      <c r="AG935" s="5"/>
      <c r="AH935" s="5"/>
      <c r="AI935" s="5"/>
      <c r="AJ935" s="5"/>
      <c r="AK935" s="5"/>
      <c r="AL935" s="5"/>
      <c r="AM935" s="5"/>
      <c r="AN935" s="4"/>
      <c r="AO935" s="5"/>
      <c r="AP935" s="5"/>
      <c r="AQ935" s="5"/>
      <c r="AR935" s="22"/>
      <c r="AS935" s="4"/>
      <c r="AT935" s="5"/>
      <c r="AU935" s="5"/>
      <c r="AV935" s="5"/>
    </row>
    <row r="936" spans="1:48" ht="12.7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4"/>
      <c r="V936" s="22"/>
      <c r="W936" s="5"/>
      <c r="X936" s="5"/>
      <c r="Y936" s="5"/>
      <c r="Z936" s="5"/>
      <c r="AA936" s="5"/>
      <c r="AB936" s="5"/>
      <c r="AC936" s="5"/>
      <c r="AD936" s="5"/>
      <c r="AE936" s="4"/>
      <c r="AF936" s="5"/>
      <c r="AG936" s="5"/>
      <c r="AH936" s="5"/>
      <c r="AI936" s="5"/>
      <c r="AJ936" s="5"/>
      <c r="AK936" s="5"/>
      <c r="AL936" s="5"/>
      <c r="AM936" s="5"/>
      <c r="AN936" s="4"/>
      <c r="AO936" s="5"/>
      <c r="AP936" s="5"/>
      <c r="AQ936" s="5"/>
      <c r="AR936" s="22"/>
      <c r="AS936" s="4"/>
      <c r="AT936" s="5"/>
      <c r="AU936" s="5"/>
      <c r="AV936" s="5"/>
    </row>
    <row r="937" spans="1:48" ht="12.7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4"/>
      <c r="V937" s="22"/>
      <c r="W937" s="5"/>
      <c r="X937" s="5"/>
      <c r="Y937" s="5"/>
      <c r="Z937" s="5"/>
      <c r="AA937" s="5"/>
      <c r="AB937" s="5"/>
      <c r="AC937" s="5"/>
      <c r="AD937" s="5"/>
      <c r="AE937" s="4"/>
      <c r="AF937" s="5"/>
      <c r="AG937" s="5"/>
      <c r="AH937" s="5"/>
      <c r="AI937" s="5"/>
      <c r="AJ937" s="5"/>
      <c r="AK937" s="5"/>
      <c r="AL937" s="5"/>
      <c r="AM937" s="5"/>
      <c r="AN937" s="4"/>
      <c r="AO937" s="5"/>
      <c r="AP937" s="5"/>
      <c r="AQ937" s="5"/>
      <c r="AR937" s="22"/>
      <c r="AS937" s="4"/>
      <c r="AT937" s="5"/>
      <c r="AU937" s="5"/>
      <c r="AV937" s="5"/>
    </row>
    <row r="938" spans="1:48" ht="12.7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4"/>
      <c r="V938" s="22"/>
      <c r="W938" s="5"/>
      <c r="X938" s="5"/>
      <c r="Y938" s="5"/>
      <c r="Z938" s="5"/>
      <c r="AA938" s="5"/>
      <c r="AB938" s="5"/>
      <c r="AC938" s="5"/>
      <c r="AD938" s="5"/>
      <c r="AE938" s="4"/>
      <c r="AF938" s="5"/>
      <c r="AG938" s="5"/>
      <c r="AH938" s="5"/>
      <c r="AI938" s="5"/>
      <c r="AJ938" s="5"/>
      <c r="AK938" s="5"/>
      <c r="AL938" s="5"/>
      <c r="AM938" s="5"/>
      <c r="AN938" s="4"/>
      <c r="AO938" s="5"/>
      <c r="AP938" s="5"/>
      <c r="AQ938" s="5"/>
      <c r="AR938" s="22"/>
      <c r="AS938" s="4"/>
      <c r="AT938" s="5"/>
      <c r="AU938" s="5"/>
      <c r="AV938" s="5"/>
    </row>
    <row r="939" spans="1:48" ht="12.7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4"/>
      <c r="V939" s="22"/>
      <c r="W939" s="5"/>
      <c r="X939" s="5"/>
      <c r="Y939" s="5"/>
      <c r="Z939" s="5"/>
      <c r="AA939" s="5"/>
      <c r="AB939" s="5"/>
      <c r="AC939" s="5"/>
      <c r="AD939" s="5"/>
      <c r="AE939" s="4"/>
      <c r="AF939" s="5"/>
      <c r="AG939" s="5"/>
      <c r="AH939" s="5"/>
      <c r="AI939" s="5"/>
      <c r="AJ939" s="5"/>
      <c r="AK939" s="5"/>
      <c r="AL939" s="5"/>
      <c r="AM939" s="5"/>
      <c r="AN939" s="4"/>
      <c r="AO939" s="5"/>
      <c r="AP939" s="5"/>
      <c r="AQ939" s="5"/>
      <c r="AR939" s="22"/>
      <c r="AS939" s="4"/>
      <c r="AT939" s="5"/>
      <c r="AU939" s="5"/>
      <c r="AV939" s="5"/>
    </row>
    <row r="940" spans="1:48" ht="12.7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4"/>
      <c r="V940" s="22"/>
      <c r="W940" s="5"/>
      <c r="X940" s="5"/>
      <c r="Y940" s="5"/>
      <c r="Z940" s="5"/>
      <c r="AA940" s="5"/>
      <c r="AB940" s="5"/>
      <c r="AC940" s="5"/>
      <c r="AD940" s="5"/>
      <c r="AE940" s="4"/>
      <c r="AF940" s="5"/>
      <c r="AG940" s="5"/>
      <c r="AH940" s="5"/>
      <c r="AI940" s="5"/>
      <c r="AJ940" s="5"/>
      <c r="AK940" s="5"/>
      <c r="AL940" s="5"/>
      <c r="AM940" s="5"/>
      <c r="AN940" s="4"/>
      <c r="AO940" s="5"/>
      <c r="AP940" s="5"/>
      <c r="AQ940" s="5"/>
      <c r="AR940" s="22"/>
      <c r="AS940" s="4"/>
      <c r="AT940" s="5"/>
      <c r="AU940" s="5"/>
      <c r="AV940" s="5"/>
    </row>
    <row r="941" spans="1:48" ht="12.7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4"/>
      <c r="V941" s="22"/>
      <c r="W941" s="5"/>
      <c r="X941" s="5"/>
      <c r="Y941" s="5"/>
      <c r="Z941" s="5"/>
      <c r="AA941" s="5"/>
      <c r="AB941" s="5"/>
      <c r="AC941" s="5"/>
      <c r="AD941" s="5"/>
      <c r="AE941" s="4"/>
      <c r="AF941" s="5"/>
      <c r="AG941" s="5"/>
      <c r="AH941" s="5"/>
      <c r="AI941" s="5"/>
      <c r="AJ941" s="5"/>
      <c r="AK941" s="5"/>
      <c r="AL941" s="5"/>
      <c r="AM941" s="5"/>
      <c r="AN941" s="4"/>
      <c r="AO941" s="5"/>
      <c r="AP941" s="5"/>
      <c r="AQ941" s="5"/>
      <c r="AR941" s="22"/>
      <c r="AS941" s="4"/>
      <c r="AT941" s="5"/>
      <c r="AU941" s="5"/>
      <c r="AV941" s="5"/>
    </row>
    <row r="942" spans="1:48" ht="12.7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4"/>
      <c r="V942" s="22"/>
      <c r="W942" s="5"/>
      <c r="X942" s="5"/>
      <c r="Y942" s="5"/>
      <c r="Z942" s="5"/>
      <c r="AA942" s="5"/>
      <c r="AB942" s="5"/>
      <c r="AC942" s="5"/>
      <c r="AD942" s="5"/>
      <c r="AE942" s="4"/>
      <c r="AF942" s="5"/>
      <c r="AG942" s="5"/>
      <c r="AH942" s="5"/>
      <c r="AI942" s="5"/>
      <c r="AJ942" s="5"/>
      <c r="AK942" s="5"/>
      <c r="AL942" s="5"/>
      <c r="AM942" s="5"/>
      <c r="AN942" s="4"/>
      <c r="AO942" s="5"/>
      <c r="AP942" s="5"/>
      <c r="AQ942" s="5"/>
      <c r="AR942" s="22"/>
      <c r="AS942" s="4"/>
      <c r="AT942" s="5"/>
      <c r="AU942" s="5"/>
      <c r="AV942" s="5"/>
    </row>
    <row r="943" spans="1:48" ht="12.7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4"/>
      <c r="V943" s="22"/>
      <c r="W943" s="5"/>
      <c r="X943" s="5"/>
      <c r="Y943" s="5"/>
      <c r="Z943" s="5"/>
      <c r="AA943" s="5"/>
      <c r="AB943" s="5"/>
      <c r="AC943" s="5"/>
      <c r="AD943" s="5"/>
      <c r="AE943" s="4"/>
      <c r="AF943" s="5"/>
      <c r="AG943" s="5"/>
      <c r="AH943" s="5"/>
      <c r="AI943" s="5"/>
      <c r="AJ943" s="5"/>
      <c r="AK943" s="5"/>
      <c r="AL943" s="5"/>
      <c r="AM943" s="5"/>
      <c r="AN943" s="4"/>
      <c r="AO943" s="5"/>
      <c r="AP943" s="5"/>
      <c r="AQ943" s="5"/>
      <c r="AR943" s="22"/>
      <c r="AS943" s="4"/>
      <c r="AT943" s="5"/>
      <c r="AU943" s="5"/>
      <c r="AV943" s="5"/>
    </row>
    <row r="944" spans="1:48" ht="12.7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4"/>
      <c r="V944" s="22"/>
      <c r="W944" s="5"/>
      <c r="X944" s="5"/>
      <c r="Y944" s="5"/>
      <c r="Z944" s="5"/>
      <c r="AA944" s="5"/>
      <c r="AB944" s="5"/>
      <c r="AC944" s="5"/>
      <c r="AD944" s="5"/>
      <c r="AE944" s="4"/>
      <c r="AF944" s="5"/>
      <c r="AG944" s="5"/>
      <c r="AH944" s="5"/>
      <c r="AI944" s="5"/>
      <c r="AJ944" s="5"/>
      <c r="AK944" s="5"/>
      <c r="AL944" s="5"/>
      <c r="AM944" s="5"/>
      <c r="AN944" s="4"/>
      <c r="AO944" s="5"/>
      <c r="AP944" s="5"/>
      <c r="AQ944" s="5"/>
      <c r="AR944" s="22"/>
      <c r="AS944" s="4"/>
      <c r="AT944" s="5"/>
      <c r="AU944" s="5"/>
      <c r="AV944" s="5"/>
    </row>
    <row r="945" spans="1:48" ht="12.7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4"/>
      <c r="V945" s="22"/>
      <c r="W945" s="5"/>
      <c r="X945" s="5"/>
      <c r="Y945" s="5"/>
      <c r="Z945" s="5"/>
      <c r="AA945" s="5"/>
      <c r="AB945" s="5"/>
      <c r="AC945" s="5"/>
      <c r="AD945" s="5"/>
      <c r="AE945" s="4"/>
      <c r="AF945" s="5"/>
      <c r="AG945" s="5"/>
      <c r="AH945" s="5"/>
      <c r="AI945" s="5"/>
      <c r="AJ945" s="5"/>
      <c r="AK945" s="5"/>
      <c r="AL945" s="5"/>
      <c r="AM945" s="5"/>
      <c r="AN945" s="4"/>
      <c r="AO945" s="5"/>
      <c r="AP945" s="5"/>
      <c r="AQ945" s="5"/>
      <c r="AR945" s="22"/>
      <c r="AS945" s="4"/>
      <c r="AT945" s="5"/>
      <c r="AU945" s="5"/>
      <c r="AV945" s="5"/>
    </row>
    <row r="946" spans="1:48" ht="12.7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4"/>
      <c r="V946" s="22"/>
      <c r="W946" s="5"/>
      <c r="X946" s="5"/>
      <c r="Y946" s="5"/>
      <c r="Z946" s="5"/>
      <c r="AA946" s="5"/>
      <c r="AB946" s="5"/>
      <c r="AC946" s="5"/>
      <c r="AD946" s="5"/>
      <c r="AE946" s="4"/>
      <c r="AF946" s="5"/>
      <c r="AG946" s="5"/>
      <c r="AH946" s="5"/>
      <c r="AI946" s="5"/>
      <c r="AJ946" s="5"/>
      <c r="AK946" s="5"/>
      <c r="AL946" s="5"/>
      <c r="AM946" s="5"/>
      <c r="AN946" s="4"/>
      <c r="AO946" s="5"/>
      <c r="AP946" s="5"/>
      <c r="AQ946" s="5"/>
      <c r="AR946" s="22"/>
      <c r="AS946" s="4"/>
      <c r="AT946" s="5"/>
      <c r="AU946" s="5"/>
      <c r="AV946" s="5"/>
    </row>
    <row r="947" spans="1:48" ht="12.7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4"/>
      <c r="V947" s="22"/>
      <c r="W947" s="5"/>
      <c r="X947" s="5"/>
      <c r="Y947" s="5"/>
      <c r="Z947" s="5"/>
      <c r="AA947" s="5"/>
      <c r="AB947" s="5"/>
      <c r="AC947" s="5"/>
      <c r="AD947" s="5"/>
      <c r="AE947" s="4"/>
      <c r="AF947" s="5"/>
      <c r="AG947" s="5"/>
      <c r="AH947" s="5"/>
      <c r="AI947" s="5"/>
      <c r="AJ947" s="5"/>
      <c r="AK947" s="5"/>
      <c r="AL947" s="5"/>
      <c r="AM947" s="5"/>
      <c r="AN947" s="4"/>
      <c r="AO947" s="5"/>
      <c r="AP947" s="5"/>
      <c r="AQ947" s="5"/>
      <c r="AR947" s="22"/>
      <c r="AS947" s="4"/>
      <c r="AT947" s="5"/>
      <c r="AU947" s="5"/>
      <c r="AV947" s="5"/>
    </row>
    <row r="948" spans="1:48" ht="12.7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4"/>
      <c r="V948" s="22"/>
      <c r="W948" s="5"/>
      <c r="X948" s="5"/>
      <c r="Y948" s="5"/>
      <c r="Z948" s="5"/>
      <c r="AA948" s="5"/>
      <c r="AB948" s="5"/>
      <c r="AC948" s="5"/>
      <c r="AD948" s="5"/>
      <c r="AE948" s="4"/>
      <c r="AF948" s="5"/>
      <c r="AG948" s="5"/>
      <c r="AH948" s="5"/>
      <c r="AI948" s="5"/>
      <c r="AJ948" s="5"/>
      <c r="AK948" s="5"/>
      <c r="AL948" s="5"/>
      <c r="AM948" s="5"/>
      <c r="AN948" s="4"/>
      <c r="AO948" s="5"/>
      <c r="AP948" s="5"/>
      <c r="AQ948" s="5"/>
      <c r="AR948" s="22"/>
      <c r="AS948" s="4"/>
      <c r="AT948" s="5"/>
      <c r="AU948" s="5"/>
      <c r="AV948" s="5"/>
    </row>
    <row r="949" spans="1:48" ht="12.7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4"/>
      <c r="V949" s="22"/>
      <c r="W949" s="5"/>
      <c r="X949" s="5"/>
      <c r="Y949" s="5"/>
      <c r="Z949" s="5"/>
      <c r="AA949" s="5"/>
      <c r="AB949" s="5"/>
      <c r="AC949" s="5"/>
      <c r="AD949" s="5"/>
      <c r="AE949" s="4"/>
      <c r="AF949" s="5"/>
      <c r="AG949" s="5"/>
      <c r="AH949" s="5"/>
      <c r="AI949" s="5"/>
      <c r="AJ949" s="5"/>
      <c r="AK949" s="5"/>
      <c r="AL949" s="5"/>
      <c r="AM949" s="5"/>
      <c r="AN949" s="4"/>
      <c r="AO949" s="5"/>
      <c r="AP949" s="5"/>
      <c r="AQ949" s="5"/>
      <c r="AR949" s="22"/>
      <c r="AS949" s="4"/>
      <c r="AT949" s="5"/>
      <c r="AU949" s="5"/>
      <c r="AV949" s="5"/>
    </row>
    <row r="950" spans="1:48" ht="12.7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4"/>
      <c r="V950" s="22"/>
      <c r="W950" s="5"/>
      <c r="X950" s="5"/>
      <c r="Y950" s="5"/>
      <c r="Z950" s="5"/>
      <c r="AA950" s="5"/>
      <c r="AB950" s="5"/>
      <c r="AC950" s="5"/>
      <c r="AD950" s="5"/>
      <c r="AE950" s="4"/>
      <c r="AF950" s="5"/>
      <c r="AG950" s="5"/>
      <c r="AH950" s="5"/>
      <c r="AI950" s="5"/>
      <c r="AJ950" s="5"/>
      <c r="AK950" s="5"/>
      <c r="AL950" s="5"/>
      <c r="AM950" s="5"/>
      <c r="AN950" s="4"/>
      <c r="AO950" s="5"/>
      <c r="AP950" s="5"/>
      <c r="AQ950" s="5"/>
      <c r="AR950" s="22"/>
      <c r="AS950" s="4"/>
      <c r="AT950" s="5"/>
      <c r="AU950" s="5"/>
      <c r="AV950" s="5"/>
    </row>
    <row r="951" spans="1:48" ht="12.7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4"/>
      <c r="V951" s="22"/>
      <c r="W951" s="5"/>
      <c r="X951" s="5"/>
      <c r="Y951" s="5"/>
      <c r="Z951" s="5"/>
      <c r="AA951" s="5"/>
      <c r="AB951" s="5"/>
      <c r="AC951" s="5"/>
      <c r="AD951" s="5"/>
      <c r="AE951" s="4"/>
      <c r="AF951" s="5"/>
      <c r="AG951" s="5"/>
      <c r="AH951" s="5"/>
      <c r="AI951" s="5"/>
      <c r="AJ951" s="5"/>
      <c r="AK951" s="5"/>
      <c r="AL951" s="5"/>
      <c r="AM951" s="5"/>
      <c r="AN951" s="4"/>
      <c r="AO951" s="5"/>
      <c r="AP951" s="5"/>
      <c r="AQ951" s="5"/>
      <c r="AR951" s="22"/>
      <c r="AS951" s="4"/>
      <c r="AT951" s="5"/>
      <c r="AU951" s="5"/>
      <c r="AV951" s="5"/>
    </row>
    <row r="952" spans="1:48" ht="12.7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4"/>
      <c r="V952" s="22"/>
      <c r="W952" s="5"/>
      <c r="X952" s="5"/>
      <c r="Y952" s="5"/>
      <c r="Z952" s="5"/>
      <c r="AA952" s="5"/>
      <c r="AB952" s="5"/>
      <c r="AC952" s="5"/>
      <c r="AD952" s="5"/>
      <c r="AE952" s="4"/>
      <c r="AF952" s="5"/>
      <c r="AG952" s="5"/>
      <c r="AH952" s="5"/>
      <c r="AI952" s="5"/>
      <c r="AJ952" s="5"/>
      <c r="AK952" s="5"/>
      <c r="AL952" s="5"/>
      <c r="AM952" s="5"/>
      <c r="AN952" s="4"/>
      <c r="AO952" s="5"/>
      <c r="AP952" s="5"/>
      <c r="AQ952" s="5"/>
      <c r="AR952" s="22"/>
      <c r="AS952" s="4"/>
      <c r="AT952" s="5"/>
      <c r="AU952" s="5"/>
      <c r="AV952" s="5"/>
    </row>
    <row r="953" spans="1:48" ht="12.7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4"/>
      <c r="V953" s="22"/>
      <c r="W953" s="5"/>
      <c r="X953" s="5"/>
      <c r="Y953" s="5"/>
      <c r="Z953" s="5"/>
      <c r="AA953" s="5"/>
      <c r="AB953" s="5"/>
      <c r="AC953" s="5"/>
      <c r="AD953" s="5"/>
      <c r="AE953" s="4"/>
      <c r="AF953" s="5"/>
      <c r="AG953" s="5"/>
      <c r="AH953" s="5"/>
      <c r="AI953" s="5"/>
      <c r="AJ953" s="5"/>
      <c r="AK953" s="5"/>
      <c r="AL953" s="5"/>
      <c r="AM953" s="5"/>
      <c r="AN953" s="4"/>
      <c r="AO953" s="5"/>
      <c r="AP953" s="5"/>
      <c r="AQ953" s="5"/>
      <c r="AR953" s="22"/>
      <c r="AS953" s="4"/>
      <c r="AT953" s="5"/>
      <c r="AU953" s="5"/>
      <c r="AV953" s="5"/>
    </row>
    <row r="954" spans="1:48" ht="12.7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4"/>
      <c r="V954" s="22"/>
      <c r="W954" s="5"/>
      <c r="X954" s="5"/>
      <c r="Y954" s="5"/>
      <c r="Z954" s="5"/>
      <c r="AA954" s="5"/>
      <c r="AB954" s="5"/>
      <c r="AC954" s="5"/>
      <c r="AD954" s="5"/>
      <c r="AE954" s="4"/>
      <c r="AF954" s="5"/>
      <c r="AG954" s="5"/>
      <c r="AH954" s="5"/>
      <c r="AI954" s="5"/>
      <c r="AJ954" s="5"/>
      <c r="AK954" s="5"/>
      <c r="AL954" s="5"/>
      <c r="AM954" s="5"/>
      <c r="AN954" s="4"/>
      <c r="AO954" s="5"/>
      <c r="AP954" s="5"/>
      <c r="AQ954" s="5"/>
      <c r="AR954" s="22"/>
      <c r="AS954" s="4"/>
      <c r="AT954" s="5"/>
      <c r="AU954" s="5"/>
      <c r="AV954" s="5"/>
    </row>
    <row r="955" spans="1:48" ht="12.7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4"/>
      <c r="V955" s="22"/>
      <c r="W955" s="5"/>
      <c r="X955" s="5"/>
      <c r="Y955" s="5"/>
      <c r="Z955" s="5"/>
      <c r="AA955" s="5"/>
      <c r="AB955" s="5"/>
      <c r="AC955" s="5"/>
      <c r="AD955" s="5"/>
      <c r="AE955" s="4"/>
      <c r="AF955" s="5"/>
      <c r="AG955" s="5"/>
      <c r="AH955" s="5"/>
      <c r="AI955" s="5"/>
      <c r="AJ955" s="5"/>
      <c r="AK955" s="5"/>
      <c r="AL955" s="5"/>
      <c r="AM955" s="5"/>
      <c r="AN955" s="4"/>
      <c r="AO955" s="5"/>
      <c r="AP955" s="5"/>
      <c r="AQ955" s="5"/>
      <c r="AR955" s="22"/>
      <c r="AS955" s="4"/>
      <c r="AT955" s="5"/>
      <c r="AU955" s="5"/>
      <c r="AV955" s="5"/>
    </row>
    <row r="956" spans="1:48" ht="12.7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4"/>
      <c r="V956" s="22"/>
      <c r="W956" s="5"/>
      <c r="X956" s="5"/>
      <c r="Y956" s="5"/>
      <c r="Z956" s="5"/>
      <c r="AA956" s="5"/>
      <c r="AB956" s="5"/>
      <c r="AC956" s="5"/>
      <c r="AD956" s="5"/>
      <c r="AE956" s="4"/>
      <c r="AF956" s="5"/>
      <c r="AG956" s="5"/>
      <c r="AH956" s="5"/>
      <c r="AI956" s="5"/>
      <c r="AJ956" s="5"/>
      <c r="AK956" s="5"/>
      <c r="AL956" s="5"/>
      <c r="AM956" s="5"/>
      <c r="AN956" s="4"/>
      <c r="AO956" s="5"/>
      <c r="AP956" s="5"/>
      <c r="AQ956" s="5"/>
      <c r="AR956" s="22"/>
      <c r="AS956" s="4"/>
      <c r="AT956" s="5"/>
      <c r="AU956" s="5"/>
      <c r="AV956" s="5"/>
    </row>
    <row r="957" spans="1:48" ht="12.7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4"/>
      <c r="V957" s="22"/>
      <c r="W957" s="5"/>
      <c r="X957" s="5"/>
      <c r="Y957" s="5"/>
      <c r="Z957" s="5"/>
      <c r="AA957" s="5"/>
      <c r="AB957" s="5"/>
      <c r="AC957" s="5"/>
      <c r="AD957" s="5"/>
      <c r="AE957" s="4"/>
      <c r="AF957" s="5"/>
      <c r="AG957" s="5"/>
      <c r="AH957" s="5"/>
      <c r="AI957" s="5"/>
      <c r="AJ957" s="5"/>
      <c r="AK957" s="5"/>
      <c r="AL957" s="5"/>
      <c r="AM957" s="5"/>
      <c r="AN957" s="4"/>
      <c r="AO957" s="5"/>
      <c r="AP957" s="5"/>
      <c r="AQ957" s="5"/>
      <c r="AR957" s="22"/>
      <c r="AS957" s="4"/>
      <c r="AT957" s="5"/>
      <c r="AU957" s="5"/>
      <c r="AV957" s="5"/>
    </row>
    <row r="958" spans="1:48" ht="12.7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4"/>
      <c r="V958" s="22"/>
      <c r="W958" s="5"/>
      <c r="X958" s="5"/>
      <c r="Y958" s="5"/>
      <c r="Z958" s="5"/>
      <c r="AA958" s="5"/>
      <c r="AB958" s="5"/>
      <c r="AC958" s="5"/>
      <c r="AD958" s="5"/>
      <c r="AE958" s="4"/>
      <c r="AF958" s="5"/>
      <c r="AG958" s="5"/>
      <c r="AH958" s="5"/>
      <c r="AI958" s="5"/>
      <c r="AJ958" s="5"/>
      <c r="AK958" s="5"/>
      <c r="AL958" s="5"/>
      <c r="AM958" s="5"/>
      <c r="AN958" s="4"/>
      <c r="AO958" s="5"/>
      <c r="AP958" s="5"/>
      <c r="AQ958" s="5"/>
      <c r="AR958" s="22"/>
      <c r="AS958" s="4"/>
      <c r="AT958" s="5"/>
      <c r="AU958" s="5"/>
      <c r="AV958" s="5"/>
    </row>
    <row r="959" spans="1:48" ht="12.7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4"/>
      <c r="V959" s="22"/>
      <c r="W959" s="5"/>
      <c r="X959" s="5"/>
      <c r="Y959" s="5"/>
      <c r="Z959" s="5"/>
      <c r="AA959" s="5"/>
      <c r="AB959" s="5"/>
      <c r="AC959" s="5"/>
      <c r="AD959" s="5"/>
      <c r="AE959" s="4"/>
      <c r="AF959" s="5"/>
      <c r="AG959" s="5"/>
      <c r="AH959" s="5"/>
      <c r="AI959" s="5"/>
      <c r="AJ959" s="5"/>
      <c r="AK959" s="5"/>
      <c r="AL959" s="5"/>
      <c r="AM959" s="5"/>
      <c r="AN959" s="4"/>
      <c r="AO959" s="5"/>
      <c r="AP959" s="5"/>
      <c r="AQ959" s="5"/>
      <c r="AR959" s="22"/>
      <c r="AS959" s="4"/>
      <c r="AT959" s="5"/>
      <c r="AU959" s="5"/>
      <c r="AV959" s="5"/>
    </row>
    <row r="960" spans="1:48" ht="12.7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4"/>
      <c r="V960" s="22"/>
      <c r="W960" s="5"/>
      <c r="X960" s="5"/>
      <c r="Y960" s="5"/>
      <c r="Z960" s="5"/>
      <c r="AA960" s="5"/>
      <c r="AB960" s="5"/>
      <c r="AC960" s="5"/>
      <c r="AD960" s="5"/>
      <c r="AE960" s="4"/>
      <c r="AF960" s="5"/>
      <c r="AG960" s="5"/>
      <c r="AH960" s="5"/>
      <c r="AI960" s="5"/>
      <c r="AJ960" s="5"/>
      <c r="AK960" s="5"/>
      <c r="AL960" s="5"/>
      <c r="AM960" s="5"/>
      <c r="AN960" s="4"/>
      <c r="AO960" s="5"/>
      <c r="AP960" s="5"/>
      <c r="AQ960" s="5"/>
      <c r="AR960" s="22"/>
      <c r="AS960" s="4"/>
      <c r="AT960" s="5"/>
      <c r="AU960" s="5"/>
      <c r="AV960" s="5"/>
    </row>
    <row r="961" spans="1:48" ht="12.7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4"/>
      <c r="V961" s="22"/>
      <c r="W961" s="5"/>
      <c r="X961" s="5"/>
      <c r="Y961" s="5"/>
      <c r="Z961" s="5"/>
      <c r="AA961" s="5"/>
      <c r="AB961" s="5"/>
      <c r="AC961" s="5"/>
      <c r="AD961" s="5"/>
      <c r="AE961" s="4"/>
      <c r="AF961" s="5"/>
      <c r="AG961" s="5"/>
      <c r="AH961" s="5"/>
      <c r="AI961" s="5"/>
      <c r="AJ961" s="5"/>
      <c r="AK961" s="5"/>
      <c r="AL961" s="5"/>
      <c r="AM961" s="5"/>
      <c r="AN961" s="4"/>
      <c r="AO961" s="5"/>
      <c r="AP961" s="5"/>
      <c r="AQ961" s="5"/>
      <c r="AR961" s="22"/>
      <c r="AS961" s="4"/>
      <c r="AT961" s="5"/>
      <c r="AU961" s="5"/>
      <c r="AV961" s="5"/>
    </row>
    <row r="962" spans="1:48" ht="12.7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4"/>
      <c r="V962" s="22"/>
      <c r="W962" s="5"/>
      <c r="X962" s="5"/>
      <c r="Y962" s="5"/>
      <c r="Z962" s="5"/>
      <c r="AA962" s="5"/>
      <c r="AB962" s="5"/>
      <c r="AC962" s="5"/>
      <c r="AD962" s="5"/>
      <c r="AE962" s="4"/>
      <c r="AF962" s="5"/>
      <c r="AG962" s="5"/>
      <c r="AH962" s="5"/>
      <c r="AI962" s="5"/>
      <c r="AJ962" s="5"/>
      <c r="AK962" s="5"/>
      <c r="AL962" s="5"/>
      <c r="AM962" s="5"/>
      <c r="AN962" s="4"/>
      <c r="AO962" s="5"/>
      <c r="AP962" s="5"/>
      <c r="AQ962" s="5"/>
      <c r="AR962" s="22"/>
      <c r="AS962" s="4"/>
      <c r="AT962" s="5"/>
      <c r="AU962" s="5"/>
      <c r="AV962" s="5"/>
    </row>
    <row r="963" spans="1:48" ht="12.7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4"/>
      <c r="V963" s="22"/>
      <c r="W963" s="5"/>
      <c r="X963" s="5"/>
      <c r="Y963" s="5"/>
      <c r="Z963" s="5"/>
      <c r="AA963" s="5"/>
      <c r="AB963" s="5"/>
      <c r="AC963" s="5"/>
      <c r="AD963" s="5"/>
      <c r="AE963" s="4"/>
      <c r="AF963" s="5"/>
      <c r="AG963" s="5"/>
      <c r="AH963" s="5"/>
      <c r="AI963" s="5"/>
      <c r="AJ963" s="5"/>
      <c r="AK963" s="5"/>
      <c r="AL963" s="5"/>
      <c r="AM963" s="5"/>
      <c r="AN963" s="4"/>
      <c r="AO963" s="5"/>
      <c r="AP963" s="5"/>
      <c r="AQ963" s="5"/>
      <c r="AR963" s="22"/>
      <c r="AS963" s="4"/>
      <c r="AT963" s="5"/>
      <c r="AU963" s="5"/>
      <c r="AV963" s="5"/>
    </row>
    <row r="964" spans="1:48" ht="12.7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4"/>
      <c r="V964" s="22"/>
      <c r="W964" s="5"/>
      <c r="X964" s="5"/>
      <c r="Y964" s="5"/>
      <c r="Z964" s="5"/>
      <c r="AA964" s="5"/>
      <c r="AB964" s="5"/>
      <c r="AC964" s="5"/>
      <c r="AD964" s="5"/>
      <c r="AE964" s="4"/>
      <c r="AF964" s="5"/>
      <c r="AG964" s="5"/>
      <c r="AH964" s="5"/>
      <c r="AI964" s="5"/>
      <c r="AJ964" s="5"/>
      <c r="AK964" s="5"/>
      <c r="AL964" s="5"/>
      <c r="AM964" s="5"/>
      <c r="AN964" s="4"/>
      <c r="AO964" s="5"/>
      <c r="AP964" s="5"/>
      <c r="AQ964" s="5"/>
      <c r="AR964" s="22"/>
      <c r="AS964" s="4"/>
      <c r="AT964" s="5"/>
      <c r="AU964" s="5"/>
      <c r="AV964" s="5"/>
    </row>
    <row r="965" spans="1:48" ht="12.7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4"/>
      <c r="V965" s="22"/>
      <c r="W965" s="5"/>
      <c r="X965" s="5"/>
      <c r="Y965" s="5"/>
      <c r="Z965" s="5"/>
      <c r="AA965" s="5"/>
      <c r="AB965" s="5"/>
      <c r="AC965" s="5"/>
      <c r="AD965" s="5"/>
      <c r="AE965" s="4"/>
      <c r="AF965" s="5"/>
      <c r="AG965" s="5"/>
      <c r="AH965" s="5"/>
      <c r="AI965" s="5"/>
      <c r="AJ965" s="5"/>
      <c r="AK965" s="5"/>
      <c r="AL965" s="5"/>
      <c r="AM965" s="5"/>
      <c r="AN965" s="4"/>
      <c r="AO965" s="5"/>
      <c r="AP965" s="5"/>
      <c r="AQ965" s="5"/>
      <c r="AR965" s="22"/>
      <c r="AS965" s="4"/>
      <c r="AT965" s="5"/>
      <c r="AU965" s="5"/>
      <c r="AV965" s="5"/>
    </row>
    <row r="966" spans="1:48" ht="12.7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4"/>
      <c r="V966" s="22"/>
      <c r="W966" s="5"/>
      <c r="X966" s="5"/>
      <c r="Y966" s="5"/>
      <c r="Z966" s="5"/>
      <c r="AA966" s="5"/>
      <c r="AB966" s="5"/>
      <c r="AC966" s="5"/>
      <c r="AD966" s="5"/>
      <c r="AE966" s="4"/>
      <c r="AF966" s="5"/>
      <c r="AG966" s="5"/>
      <c r="AH966" s="5"/>
      <c r="AI966" s="5"/>
      <c r="AJ966" s="5"/>
      <c r="AK966" s="5"/>
      <c r="AL966" s="5"/>
      <c r="AM966" s="5"/>
      <c r="AN966" s="4"/>
      <c r="AO966" s="5"/>
      <c r="AP966" s="5"/>
      <c r="AQ966" s="5"/>
      <c r="AR966" s="22"/>
      <c r="AS966" s="4"/>
      <c r="AT966" s="5"/>
      <c r="AU966" s="5"/>
      <c r="AV966" s="5"/>
    </row>
    <row r="967" spans="1:48" ht="12.7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4"/>
      <c r="V967" s="22"/>
      <c r="W967" s="5"/>
      <c r="X967" s="5"/>
      <c r="Y967" s="5"/>
      <c r="Z967" s="5"/>
      <c r="AA967" s="5"/>
      <c r="AB967" s="5"/>
      <c r="AC967" s="5"/>
      <c r="AD967" s="5"/>
      <c r="AE967" s="4"/>
      <c r="AF967" s="5"/>
      <c r="AG967" s="5"/>
      <c r="AH967" s="5"/>
      <c r="AI967" s="5"/>
      <c r="AJ967" s="5"/>
      <c r="AK967" s="5"/>
      <c r="AL967" s="5"/>
      <c r="AM967" s="5"/>
      <c r="AN967" s="4"/>
      <c r="AO967" s="5"/>
      <c r="AP967" s="5"/>
      <c r="AQ967" s="5"/>
      <c r="AR967" s="22"/>
      <c r="AS967" s="4"/>
      <c r="AT967" s="5"/>
      <c r="AU967" s="5"/>
      <c r="AV967" s="5"/>
    </row>
    <row r="968" spans="1:48" ht="12.7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4"/>
      <c r="V968" s="22"/>
      <c r="W968" s="5"/>
      <c r="X968" s="5"/>
      <c r="Y968" s="5"/>
      <c r="Z968" s="5"/>
      <c r="AA968" s="5"/>
      <c r="AB968" s="5"/>
      <c r="AC968" s="5"/>
      <c r="AD968" s="5"/>
      <c r="AE968" s="4"/>
      <c r="AF968" s="5"/>
      <c r="AG968" s="5"/>
      <c r="AH968" s="5"/>
      <c r="AI968" s="5"/>
      <c r="AJ968" s="5"/>
      <c r="AK968" s="5"/>
      <c r="AL968" s="5"/>
      <c r="AM968" s="5"/>
      <c r="AN968" s="4"/>
      <c r="AO968" s="5"/>
      <c r="AP968" s="5"/>
      <c r="AQ968" s="5"/>
      <c r="AR968" s="22"/>
      <c r="AS968" s="4"/>
      <c r="AT968" s="5"/>
      <c r="AU968" s="5"/>
      <c r="AV968" s="5"/>
    </row>
    <row r="969" spans="1:48" ht="12.7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4"/>
      <c r="V969" s="22"/>
      <c r="W969" s="5"/>
      <c r="X969" s="5"/>
      <c r="Y969" s="5"/>
      <c r="Z969" s="5"/>
      <c r="AA969" s="5"/>
      <c r="AB969" s="5"/>
      <c r="AC969" s="5"/>
      <c r="AD969" s="5"/>
      <c r="AE969" s="4"/>
      <c r="AF969" s="5"/>
      <c r="AG969" s="5"/>
      <c r="AH969" s="5"/>
      <c r="AI969" s="5"/>
      <c r="AJ969" s="5"/>
      <c r="AK969" s="5"/>
      <c r="AL969" s="5"/>
      <c r="AM969" s="5"/>
      <c r="AN969" s="4"/>
      <c r="AO969" s="5"/>
      <c r="AP969" s="5"/>
      <c r="AQ969" s="5"/>
      <c r="AR969" s="22"/>
      <c r="AS969" s="4"/>
      <c r="AT969" s="5"/>
      <c r="AU969" s="5"/>
      <c r="AV969" s="5"/>
    </row>
    <row r="970" spans="1:48" ht="12.7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4"/>
      <c r="V970" s="22"/>
      <c r="W970" s="5"/>
      <c r="X970" s="5"/>
      <c r="Y970" s="5"/>
      <c r="Z970" s="5"/>
      <c r="AA970" s="5"/>
      <c r="AB970" s="5"/>
      <c r="AC970" s="5"/>
      <c r="AD970" s="5"/>
      <c r="AE970" s="4"/>
      <c r="AF970" s="5"/>
      <c r="AG970" s="5"/>
      <c r="AH970" s="5"/>
      <c r="AI970" s="5"/>
      <c r="AJ970" s="5"/>
      <c r="AK970" s="5"/>
      <c r="AL970" s="5"/>
      <c r="AM970" s="5"/>
      <c r="AN970" s="4"/>
      <c r="AO970" s="5"/>
      <c r="AP970" s="5"/>
      <c r="AQ970" s="5"/>
      <c r="AR970" s="22"/>
      <c r="AS970" s="4"/>
      <c r="AT970" s="5"/>
      <c r="AU970" s="5"/>
      <c r="AV970" s="5"/>
    </row>
    <row r="971" spans="1:48" ht="12.7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4"/>
      <c r="V971" s="22"/>
      <c r="W971" s="5"/>
      <c r="X971" s="5"/>
      <c r="Y971" s="5"/>
      <c r="Z971" s="5"/>
      <c r="AA971" s="5"/>
      <c r="AB971" s="5"/>
      <c r="AC971" s="5"/>
      <c r="AD971" s="5"/>
      <c r="AE971" s="4"/>
      <c r="AF971" s="5"/>
      <c r="AG971" s="5"/>
      <c r="AH971" s="5"/>
      <c r="AI971" s="5"/>
      <c r="AJ971" s="5"/>
      <c r="AK971" s="5"/>
      <c r="AL971" s="5"/>
      <c r="AM971" s="5"/>
      <c r="AN971" s="4"/>
      <c r="AO971" s="5"/>
      <c r="AP971" s="5"/>
      <c r="AQ971" s="5"/>
      <c r="AR971" s="22"/>
      <c r="AS971" s="4"/>
      <c r="AT971" s="5"/>
      <c r="AU971" s="5"/>
      <c r="AV971" s="5"/>
    </row>
    <row r="972" spans="1:48" ht="12.7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4"/>
      <c r="V972" s="22"/>
      <c r="W972" s="5"/>
      <c r="X972" s="5"/>
      <c r="Y972" s="5"/>
      <c r="Z972" s="5"/>
      <c r="AA972" s="5"/>
      <c r="AB972" s="5"/>
      <c r="AC972" s="5"/>
      <c r="AD972" s="5"/>
      <c r="AE972" s="4"/>
      <c r="AF972" s="5"/>
      <c r="AG972" s="5"/>
      <c r="AH972" s="5"/>
      <c r="AI972" s="5"/>
      <c r="AJ972" s="5"/>
      <c r="AK972" s="5"/>
      <c r="AL972" s="5"/>
      <c r="AM972" s="5"/>
      <c r="AN972" s="4"/>
      <c r="AO972" s="5"/>
      <c r="AP972" s="5"/>
      <c r="AQ972" s="5"/>
      <c r="AR972" s="22"/>
      <c r="AS972" s="4"/>
      <c r="AT972" s="5"/>
      <c r="AU972" s="5"/>
      <c r="AV972" s="5"/>
    </row>
    <row r="973" spans="1:48" ht="12.7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4"/>
      <c r="V973" s="22"/>
      <c r="W973" s="5"/>
      <c r="X973" s="5"/>
      <c r="Y973" s="5"/>
      <c r="Z973" s="5"/>
      <c r="AA973" s="5"/>
      <c r="AB973" s="5"/>
      <c r="AC973" s="5"/>
      <c r="AD973" s="5"/>
      <c r="AE973" s="4"/>
      <c r="AF973" s="5"/>
      <c r="AG973" s="5"/>
      <c r="AH973" s="5"/>
      <c r="AI973" s="5"/>
      <c r="AJ973" s="5"/>
      <c r="AK973" s="5"/>
      <c r="AL973" s="5"/>
      <c r="AM973" s="5"/>
      <c r="AN973" s="4"/>
      <c r="AO973" s="5"/>
      <c r="AP973" s="5"/>
      <c r="AQ973" s="5"/>
      <c r="AR973" s="22"/>
      <c r="AS973" s="4"/>
      <c r="AT973" s="5"/>
      <c r="AU973" s="5"/>
      <c r="AV973" s="5"/>
    </row>
    <row r="974" spans="1:48" ht="12.7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4"/>
      <c r="V974" s="22"/>
      <c r="W974" s="5"/>
      <c r="X974" s="5"/>
      <c r="Y974" s="5"/>
      <c r="Z974" s="5"/>
      <c r="AA974" s="5"/>
      <c r="AB974" s="5"/>
      <c r="AC974" s="5"/>
      <c r="AD974" s="5"/>
      <c r="AE974" s="4"/>
      <c r="AF974" s="5"/>
      <c r="AG974" s="5"/>
      <c r="AH974" s="5"/>
      <c r="AI974" s="5"/>
      <c r="AJ974" s="5"/>
      <c r="AK974" s="5"/>
      <c r="AL974" s="5"/>
      <c r="AM974" s="5"/>
      <c r="AN974" s="4"/>
      <c r="AO974" s="5"/>
      <c r="AP974" s="5"/>
      <c r="AQ974" s="5"/>
      <c r="AR974" s="22"/>
      <c r="AS974" s="4"/>
      <c r="AT974" s="5"/>
      <c r="AU974" s="5"/>
      <c r="AV974" s="5"/>
    </row>
    <row r="975" spans="1:48" ht="12.7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4"/>
      <c r="V975" s="22"/>
      <c r="W975" s="5"/>
      <c r="X975" s="5"/>
      <c r="Y975" s="5"/>
      <c r="Z975" s="5"/>
      <c r="AA975" s="5"/>
      <c r="AB975" s="5"/>
      <c r="AC975" s="5"/>
      <c r="AD975" s="5"/>
      <c r="AE975" s="4"/>
      <c r="AF975" s="5"/>
      <c r="AG975" s="5"/>
      <c r="AH975" s="5"/>
      <c r="AI975" s="5"/>
      <c r="AJ975" s="5"/>
      <c r="AK975" s="5"/>
      <c r="AL975" s="5"/>
      <c r="AM975" s="5"/>
      <c r="AN975" s="4"/>
      <c r="AO975" s="5"/>
      <c r="AP975" s="5"/>
      <c r="AQ975" s="5"/>
      <c r="AR975" s="22"/>
      <c r="AS975" s="4"/>
      <c r="AT975" s="5"/>
      <c r="AU975" s="5"/>
      <c r="AV975" s="5"/>
    </row>
    <row r="976" spans="1:48" ht="12.7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4"/>
      <c r="V976" s="22"/>
      <c r="W976" s="5"/>
      <c r="X976" s="5"/>
      <c r="Y976" s="5"/>
      <c r="Z976" s="5"/>
      <c r="AA976" s="5"/>
      <c r="AB976" s="5"/>
      <c r="AC976" s="5"/>
      <c r="AD976" s="5"/>
      <c r="AE976" s="4"/>
      <c r="AF976" s="5"/>
      <c r="AG976" s="5"/>
      <c r="AH976" s="5"/>
      <c r="AI976" s="5"/>
      <c r="AJ976" s="5"/>
      <c r="AK976" s="5"/>
      <c r="AL976" s="5"/>
      <c r="AM976" s="5"/>
      <c r="AN976" s="4"/>
      <c r="AO976" s="5"/>
      <c r="AP976" s="5"/>
      <c r="AQ976" s="5"/>
      <c r="AR976" s="22"/>
      <c r="AS976" s="4"/>
      <c r="AT976" s="5"/>
      <c r="AU976" s="5"/>
      <c r="AV976" s="5"/>
    </row>
    <row r="977" spans="1:48" ht="12.7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4"/>
      <c r="V977" s="22"/>
      <c r="W977" s="5"/>
      <c r="X977" s="5"/>
      <c r="Y977" s="5"/>
      <c r="Z977" s="5"/>
      <c r="AA977" s="5"/>
      <c r="AB977" s="5"/>
      <c r="AC977" s="5"/>
      <c r="AD977" s="5"/>
      <c r="AE977" s="4"/>
      <c r="AF977" s="5"/>
      <c r="AG977" s="5"/>
      <c r="AH977" s="5"/>
      <c r="AI977" s="5"/>
      <c r="AJ977" s="5"/>
      <c r="AK977" s="5"/>
      <c r="AL977" s="5"/>
      <c r="AM977" s="5"/>
      <c r="AN977" s="4"/>
      <c r="AO977" s="5"/>
      <c r="AP977" s="5"/>
      <c r="AQ977" s="5"/>
      <c r="AR977" s="22"/>
      <c r="AS977" s="4"/>
      <c r="AT977" s="5"/>
      <c r="AU977" s="5"/>
      <c r="AV977" s="5"/>
    </row>
    <row r="978" spans="1:48" ht="12.7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4"/>
      <c r="V978" s="22"/>
      <c r="W978" s="5"/>
      <c r="X978" s="5"/>
      <c r="Y978" s="5"/>
      <c r="Z978" s="5"/>
      <c r="AA978" s="5"/>
      <c r="AB978" s="5"/>
      <c r="AC978" s="5"/>
      <c r="AD978" s="5"/>
      <c r="AE978" s="4"/>
      <c r="AF978" s="5"/>
      <c r="AG978" s="5"/>
      <c r="AH978" s="5"/>
      <c r="AI978" s="5"/>
      <c r="AJ978" s="5"/>
      <c r="AK978" s="5"/>
      <c r="AL978" s="5"/>
      <c r="AM978" s="5"/>
      <c r="AN978" s="4"/>
      <c r="AO978" s="5"/>
      <c r="AP978" s="5"/>
      <c r="AQ978" s="5"/>
      <c r="AR978" s="22"/>
      <c r="AS978" s="4"/>
      <c r="AT978" s="5"/>
      <c r="AU978" s="5"/>
      <c r="AV978" s="5"/>
    </row>
    <row r="979" spans="1:48" ht="12.7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4"/>
      <c r="V979" s="22"/>
      <c r="W979" s="5"/>
      <c r="X979" s="5"/>
      <c r="Y979" s="5"/>
      <c r="Z979" s="5"/>
      <c r="AA979" s="5"/>
      <c r="AB979" s="5"/>
      <c r="AC979" s="5"/>
      <c r="AD979" s="5"/>
      <c r="AE979" s="4"/>
      <c r="AF979" s="5"/>
      <c r="AG979" s="5"/>
      <c r="AH979" s="5"/>
      <c r="AI979" s="5"/>
      <c r="AJ979" s="5"/>
      <c r="AK979" s="5"/>
      <c r="AL979" s="5"/>
      <c r="AM979" s="5"/>
      <c r="AN979" s="4"/>
      <c r="AO979" s="5"/>
      <c r="AP979" s="5"/>
      <c r="AQ979" s="5"/>
      <c r="AR979" s="22"/>
      <c r="AS979" s="4"/>
      <c r="AT979" s="5"/>
      <c r="AU979" s="5"/>
      <c r="AV979" s="5"/>
    </row>
    <row r="980" spans="1:48" ht="12.7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4"/>
      <c r="V980" s="22"/>
      <c r="W980" s="5"/>
      <c r="X980" s="5"/>
      <c r="Y980" s="5"/>
      <c r="Z980" s="5"/>
      <c r="AA980" s="5"/>
      <c r="AB980" s="5"/>
      <c r="AC980" s="5"/>
      <c r="AD980" s="5"/>
      <c r="AE980" s="4"/>
      <c r="AF980" s="5"/>
      <c r="AG980" s="5"/>
      <c r="AH980" s="5"/>
      <c r="AI980" s="5"/>
      <c r="AJ980" s="5"/>
      <c r="AK980" s="5"/>
      <c r="AL980" s="5"/>
      <c r="AM980" s="5"/>
      <c r="AN980" s="4"/>
      <c r="AO980" s="5"/>
      <c r="AP980" s="5"/>
      <c r="AQ980" s="5"/>
      <c r="AR980" s="22"/>
      <c r="AS980" s="4"/>
      <c r="AT980" s="5"/>
      <c r="AU980" s="5"/>
      <c r="AV980" s="5"/>
    </row>
    <row r="981" spans="1:48" ht="12.7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4"/>
      <c r="V981" s="22"/>
      <c r="W981" s="5"/>
      <c r="X981" s="5"/>
      <c r="Y981" s="5"/>
      <c r="Z981" s="5"/>
      <c r="AA981" s="5"/>
      <c r="AB981" s="5"/>
      <c r="AC981" s="5"/>
      <c r="AD981" s="5"/>
      <c r="AE981" s="4"/>
      <c r="AF981" s="5"/>
      <c r="AG981" s="5"/>
      <c r="AH981" s="5"/>
      <c r="AI981" s="5"/>
      <c r="AJ981" s="5"/>
      <c r="AK981" s="5"/>
      <c r="AL981" s="5"/>
      <c r="AM981" s="5"/>
      <c r="AN981" s="4"/>
      <c r="AO981" s="5"/>
      <c r="AP981" s="5"/>
      <c r="AQ981" s="5"/>
      <c r="AR981" s="22"/>
      <c r="AS981" s="4"/>
      <c r="AT981" s="5"/>
      <c r="AU981" s="5"/>
      <c r="AV981" s="5"/>
    </row>
    <row r="982" spans="1:48" ht="12.7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4"/>
      <c r="V982" s="22"/>
      <c r="W982" s="5"/>
      <c r="X982" s="5"/>
      <c r="Y982" s="5"/>
      <c r="Z982" s="5"/>
      <c r="AA982" s="5"/>
      <c r="AB982" s="5"/>
      <c r="AC982" s="5"/>
      <c r="AD982" s="5"/>
      <c r="AE982" s="4"/>
      <c r="AF982" s="5"/>
      <c r="AG982" s="5"/>
      <c r="AH982" s="5"/>
      <c r="AI982" s="5"/>
      <c r="AJ982" s="5"/>
      <c r="AK982" s="5"/>
      <c r="AL982" s="5"/>
      <c r="AM982" s="5"/>
      <c r="AN982" s="4"/>
      <c r="AO982" s="5"/>
      <c r="AP982" s="5"/>
      <c r="AQ982" s="5"/>
      <c r="AR982" s="22"/>
      <c r="AS982" s="4"/>
      <c r="AT982" s="5"/>
      <c r="AU982" s="5"/>
      <c r="AV982" s="5"/>
    </row>
    <row r="983" spans="1:48" ht="12.7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4"/>
      <c r="V983" s="22"/>
      <c r="W983" s="5"/>
      <c r="X983" s="5"/>
      <c r="Y983" s="5"/>
      <c r="Z983" s="5"/>
      <c r="AA983" s="5"/>
      <c r="AB983" s="5"/>
      <c r="AC983" s="5"/>
      <c r="AD983" s="5"/>
      <c r="AE983" s="4"/>
      <c r="AF983" s="5"/>
      <c r="AG983" s="5"/>
      <c r="AH983" s="5"/>
      <c r="AI983" s="5"/>
      <c r="AJ983" s="5"/>
      <c r="AK983" s="5"/>
      <c r="AL983" s="5"/>
      <c r="AM983" s="5"/>
      <c r="AN983" s="4"/>
      <c r="AO983" s="5"/>
      <c r="AP983" s="5"/>
      <c r="AQ983" s="5"/>
      <c r="AR983" s="22"/>
      <c r="AS983" s="4"/>
      <c r="AT983" s="5"/>
      <c r="AU983" s="5"/>
      <c r="AV983" s="5"/>
    </row>
    <row r="984" spans="1:48" ht="12.7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4"/>
      <c r="V984" s="22"/>
      <c r="W984" s="5"/>
      <c r="X984" s="5"/>
      <c r="Y984" s="5"/>
      <c r="Z984" s="5"/>
      <c r="AA984" s="5"/>
      <c r="AB984" s="5"/>
      <c r="AC984" s="5"/>
      <c r="AD984" s="5"/>
      <c r="AE984" s="4"/>
      <c r="AF984" s="5"/>
      <c r="AG984" s="5"/>
      <c r="AH984" s="5"/>
      <c r="AI984" s="5"/>
      <c r="AJ984" s="5"/>
      <c r="AK984" s="5"/>
      <c r="AL984" s="5"/>
      <c r="AM984" s="5"/>
      <c r="AN984" s="4"/>
      <c r="AO984" s="5"/>
      <c r="AP984" s="5"/>
      <c r="AQ984" s="5"/>
      <c r="AR984" s="22"/>
      <c r="AS984" s="4"/>
      <c r="AT984" s="5"/>
      <c r="AU984" s="5"/>
      <c r="AV984" s="5"/>
    </row>
    <row r="985" spans="1:48" ht="12.7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4"/>
      <c r="V985" s="22"/>
      <c r="W985" s="5"/>
      <c r="X985" s="5"/>
      <c r="Y985" s="5"/>
      <c r="Z985" s="5"/>
      <c r="AA985" s="5"/>
      <c r="AB985" s="5"/>
      <c r="AC985" s="5"/>
      <c r="AD985" s="5"/>
      <c r="AE985" s="4"/>
      <c r="AF985" s="5"/>
      <c r="AG985" s="5"/>
      <c r="AH985" s="5"/>
      <c r="AI985" s="5"/>
      <c r="AJ985" s="5"/>
      <c r="AK985" s="5"/>
      <c r="AL985" s="5"/>
      <c r="AM985" s="5"/>
      <c r="AN985" s="4"/>
      <c r="AO985" s="5"/>
      <c r="AP985" s="5"/>
      <c r="AQ985" s="5"/>
      <c r="AR985" s="22"/>
      <c r="AS985" s="4"/>
      <c r="AT985" s="5"/>
      <c r="AU985" s="5"/>
      <c r="AV985" s="5"/>
    </row>
    <row r="986" spans="1:48" ht="12.7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4"/>
      <c r="V986" s="22"/>
      <c r="W986" s="5"/>
      <c r="X986" s="5"/>
      <c r="Y986" s="5"/>
      <c r="Z986" s="5"/>
      <c r="AA986" s="5"/>
      <c r="AB986" s="5"/>
      <c r="AC986" s="5"/>
      <c r="AD986" s="5"/>
      <c r="AE986" s="4"/>
      <c r="AF986" s="5"/>
      <c r="AG986" s="5"/>
      <c r="AH986" s="5"/>
      <c r="AI986" s="5"/>
      <c r="AJ986" s="5"/>
      <c r="AK986" s="5"/>
      <c r="AL986" s="5"/>
      <c r="AM986" s="5"/>
      <c r="AN986" s="4"/>
      <c r="AO986" s="5"/>
      <c r="AP986" s="5"/>
      <c r="AQ986" s="5"/>
      <c r="AR986" s="22"/>
      <c r="AS986" s="4"/>
      <c r="AT986" s="5"/>
      <c r="AU986" s="5"/>
      <c r="AV986" s="5"/>
    </row>
    <row r="987" spans="1:48" ht="12.7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4"/>
      <c r="V987" s="22"/>
      <c r="W987" s="5"/>
      <c r="X987" s="5"/>
      <c r="Y987" s="5"/>
      <c r="Z987" s="5"/>
      <c r="AA987" s="5"/>
      <c r="AB987" s="5"/>
      <c r="AC987" s="5"/>
      <c r="AD987" s="5"/>
      <c r="AE987" s="4"/>
      <c r="AF987" s="5"/>
      <c r="AG987" s="5"/>
      <c r="AH987" s="5"/>
      <c r="AI987" s="5"/>
      <c r="AJ987" s="5"/>
      <c r="AK987" s="5"/>
      <c r="AL987" s="5"/>
      <c r="AM987" s="5"/>
      <c r="AN987" s="4"/>
      <c r="AO987" s="5"/>
      <c r="AP987" s="5"/>
      <c r="AQ987" s="5"/>
      <c r="AR987" s="22"/>
      <c r="AS987" s="4"/>
      <c r="AT987" s="5"/>
      <c r="AU987" s="5"/>
      <c r="AV987" s="5"/>
    </row>
    <row r="988" spans="1:48" ht="12.7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4"/>
      <c r="V988" s="22"/>
      <c r="W988" s="5"/>
      <c r="X988" s="5"/>
      <c r="Y988" s="5"/>
      <c r="Z988" s="5"/>
      <c r="AA988" s="5"/>
      <c r="AB988" s="5"/>
      <c r="AC988" s="5"/>
      <c r="AD988" s="5"/>
      <c r="AE988" s="4"/>
      <c r="AF988" s="5"/>
      <c r="AG988" s="5"/>
      <c r="AH988" s="5"/>
      <c r="AI988" s="5"/>
      <c r="AJ988" s="5"/>
      <c r="AK988" s="5"/>
      <c r="AL988" s="5"/>
      <c r="AM988" s="5"/>
      <c r="AN988" s="4"/>
      <c r="AO988" s="5"/>
      <c r="AP988" s="5"/>
      <c r="AQ988" s="5"/>
      <c r="AR988" s="22"/>
      <c r="AS988" s="4"/>
      <c r="AT988" s="5"/>
      <c r="AU988" s="5"/>
      <c r="AV988" s="5"/>
    </row>
    <row r="989" spans="1:48" ht="12.7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4"/>
      <c r="V989" s="22"/>
      <c r="W989" s="5"/>
      <c r="X989" s="5"/>
      <c r="Y989" s="5"/>
      <c r="Z989" s="5"/>
      <c r="AA989" s="5"/>
      <c r="AB989" s="5"/>
      <c r="AC989" s="5"/>
      <c r="AD989" s="5"/>
      <c r="AE989" s="4"/>
      <c r="AF989" s="5"/>
      <c r="AG989" s="5"/>
      <c r="AH989" s="5"/>
      <c r="AI989" s="5"/>
      <c r="AJ989" s="5"/>
      <c r="AK989" s="5"/>
      <c r="AL989" s="5"/>
      <c r="AM989" s="5"/>
      <c r="AN989" s="4"/>
      <c r="AO989" s="5"/>
      <c r="AP989" s="5"/>
      <c r="AQ989" s="5"/>
      <c r="AR989" s="22"/>
      <c r="AS989" s="4"/>
      <c r="AT989" s="5"/>
      <c r="AU989" s="5"/>
      <c r="AV989" s="5"/>
    </row>
    <row r="990" spans="1:48" ht="12.7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4"/>
      <c r="V990" s="22"/>
      <c r="W990" s="5"/>
      <c r="X990" s="5"/>
      <c r="Y990" s="5"/>
      <c r="Z990" s="5"/>
      <c r="AA990" s="5"/>
      <c r="AB990" s="5"/>
      <c r="AC990" s="5"/>
      <c r="AD990" s="5"/>
      <c r="AE990" s="4"/>
      <c r="AF990" s="5"/>
      <c r="AG990" s="5"/>
      <c r="AH990" s="5"/>
      <c r="AI990" s="5"/>
      <c r="AJ990" s="5"/>
      <c r="AK990" s="5"/>
      <c r="AL990" s="5"/>
      <c r="AM990" s="5"/>
      <c r="AN990" s="4"/>
      <c r="AO990" s="5"/>
      <c r="AP990" s="5"/>
      <c r="AQ990" s="5"/>
      <c r="AR990" s="22"/>
      <c r="AS990" s="4"/>
      <c r="AT990" s="5"/>
      <c r="AU990" s="5"/>
      <c r="AV990" s="5"/>
    </row>
    <row r="991" spans="1:48" ht="12.7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4"/>
      <c r="V991" s="22"/>
      <c r="W991" s="5"/>
      <c r="X991" s="5"/>
      <c r="Y991" s="5"/>
      <c r="Z991" s="5"/>
      <c r="AA991" s="5"/>
      <c r="AB991" s="5"/>
      <c r="AC991" s="5"/>
      <c r="AD991" s="5"/>
      <c r="AE991" s="4"/>
      <c r="AF991" s="5"/>
      <c r="AG991" s="5"/>
      <c r="AH991" s="5"/>
      <c r="AI991" s="5"/>
      <c r="AJ991" s="5"/>
      <c r="AK991" s="5"/>
      <c r="AL991" s="5"/>
      <c r="AM991" s="5"/>
      <c r="AN991" s="4"/>
      <c r="AO991" s="5"/>
      <c r="AP991" s="5"/>
      <c r="AQ991" s="5"/>
      <c r="AR991" s="22"/>
      <c r="AS991" s="4"/>
      <c r="AT991" s="5"/>
      <c r="AU991" s="5"/>
      <c r="AV991" s="5"/>
    </row>
    <row r="992" spans="1:48" ht="12.7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4"/>
      <c r="V992" s="22"/>
      <c r="W992" s="5"/>
      <c r="X992" s="5"/>
      <c r="Y992" s="5"/>
      <c r="Z992" s="5"/>
      <c r="AA992" s="5"/>
      <c r="AB992" s="5"/>
      <c r="AC992" s="5"/>
      <c r="AD992" s="5"/>
      <c r="AE992" s="4"/>
      <c r="AF992" s="5"/>
      <c r="AG992" s="5"/>
      <c r="AH992" s="5"/>
      <c r="AI992" s="5"/>
      <c r="AJ992" s="5"/>
      <c r="AK992" s="5"/>
      <c r="AL992" s="5"/>
      <c r="AM992" s="5"/>
      <c r="AN992" s="4"/>
      <c r="AO992" s="5"/>
      <c r="AP992" s="5"/>
      <c r="AQ992" s="5"/>
      <c r="AR992" s="22"/>
      <c r="AS992" s="4"/>
      <c r="AT992" s="5"/>
      <c r="AU992" s="5"/>
      <c r="AV992" s="5"/>
    </row>
    <row r="993" spans="1:48" ht="12.7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4"/>
      <c r="V993" s="22"/>
      <c r="W993" s="5"/>
      <c r="X993" s="5"/>
      <c r="Y993" s="5"/>
      <c r="Z993" s="5"/>
      <c r="AA993" s="5"/>
      <c r="AB993" s="5"/>
      <c r="AC993" s="5"/>
      <c r="AD993" s="5"/>
      <c r="AE993" s="4"/>
      <c r="AF993" s="5"/>
      <c r="AG993" s="5"/>
      <c r="AH993" s="5"/>
      <c r="AI993" s="5"/>
      <c r="AJ993" s="5"/>
      <c r="AK993" s="5"/>
      <c r="AL993" s="5"/>
      <c r="AM993" s="5"/>
      <c r="AN993" s="4"/>
      <c r="AO993" s="5"/>
      <c r="AP993" s="5"/>
      <c r="AQ993" s="5"/>
      <c r="AR993" s="22"/>
      <c r="AS993" s="4"/>
      <c r="AT993" s="5"/>
      <c r="AU993" s="5"/>
      <c r="AV993" s="5"/>
    </row>
    <row r="994" spans="1:48" ht="12.7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4"/>
      <c r="V994" s="22"/>
      <c r="W994" s="5"/>
      <c r="X994" s="5"/>
      <c r="Y994" s="5"/>
      <c r="Z994" s="5"/>
      <c r="AA994" s="5"/>
      <c r="AB994" s="5"/>
      <c r="AC994" s="5"/>
      <c r="AD994" s="5"/>
      <c r="AE994" s="4"/>
      <c r="AF994" s="5"/>
      <c r="AG994" s="5"/>
      <c r="AH994" s="5"/>
      <c r="AI994" s="5"/>
      <c r="AJ994" s="5"/>
      <c r="AK994" s="5"/>
      <c r="AL994" s="5"/>
      <c r="AM994" s="5"/>
      <c r="AN994" s="4"/>
      <c r="AO994" s="5"/>
      <c r="AP994" s="5"/>
      <c r="AQ994" s="5"/>
      <c r="AR994" s="22"/>
      <c r="AS994" s="4"/>
      <c r="AT994" s="5"/>
      <c r="AU994" s="5"/>
      <c r="AV994" s="5"/>
    </row>
    <row r="995" spans="1:48" ht="12.7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4"/>
      <c r="V995" s="22"/>
      <c r="W995" s="5"/>
      <c r="X995" s="5"/>
      <c r="Y995" s="5"/>
      <c r="Z995" s="5"/>
      <c r="AA995" s="5"/>
      <c r="AB995" s="5"/>
      <c r="AC995" s="5"/>
      <c r="AD995" s="5"/>
      <c r="AE995" s="4"/>
      <c r="AF995" s="5"/>
      <c r="AG995" s="5"/>
      <c r="AH995" s="5"/>
      <c r="AI995" s="5"/>
      <c r="AJ995" s="5"/>
      <c r="AK995" s="5"/>
      <c r="AL995" s="5"/>
      <c r="AM995" s="5"/>
      <c r="AN995" s="4"/>
      <c r="AO995" s="5"/>
      <c r="AP995" s="5"/>
      <c r="AQ995" s="5"/>
      <c r="AR995" s="22"/>
      <c r="AS995" s="4"/>
      <c r="AT995" s="5"/>
      <c r="AU995" s="5"/>
      <c r="AV995" s="5"/>
    </row>
    <row r="996" spans="1:48" ht="12.7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4"/>
      <c r="V996" s="22"/>
      <c r="W996" s="5"/>
      <c r="X996" s="5"/>
      <c r="Y996" s="5"/>
      <c r="Z996" s="5"/>
      <c r="AA996" s="5"/>
      <c r="AB996" s="5"/>
      <c r="AC996" s="5"/>
      <c r="AD996" s="5"/>
      <c r="AE996" s="4"/>
      <c r="AF996" s="5"/>
      <c r="AG996" s="5"/>
      <c r="AH996" s="5"/>
      <c r="AI996" s="5"/>
      <c r="AJ996" s="5"/>
      <c r="AK996" s="5"/>
      <c r="AL996" s="5"/>
      <c r="AM996" s="5"/>
      <c r="AN996" s="4"/>
      <c r="AO996" s="5"/>
      <c r="AP996" s="5"/>
      <c r="AQ996" s="5"/>
      <c r="AR996" s="22"/>
      <c r="AS996" s="4"/>
      <c r="AT996" s="5"/>
      <c r="AU996" s="5"/>
      <c r="AV996" s="5"/>
    </row>
    <row r="997" spans="1:48" ht="12.7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4"/>
      <c r="V997" s="22"/>
      <c r="W997" s="5"/>
      <c r="X997" s="5"/>
      <c r="Y997" s="5"/>
      <c r="Z997" s="5"/>
      <c r="AA997" s="5"/>
      <c r="AB997" s="5"/>
      <c r="AC997" s="5"/>
      <c r="AD997" s="5"/>
      <c r="AE997" s="4"/>
      <c r="AF997" s="5"/>
      <c r="AG997" s="5"/>
      <c r="AH997" s="5"/>
      <c r="AI997" s="5"/>
      <c r="AJ997" s="5"/>
      <c r="AK997" s="5"/>
      <c r="AL997" s="5"/>
      <c r="AM997" s="5"/>
      <c r="AN997" s="4"/>
      <c r="AO997" s="5"/>
      <c r="AP997" s="5"/>
      <c r="AQ997" s="5"/>
      <c r="AR997" s="22"/>
      <c r="AS997" s="4"/>
      <c r="AT997" s="5"/>
      <c r="AU997" s="5"/>
      <c r="AV997" s="5"/>
    </row>
    <row r="998" spans="1:48" ht="12.7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4"/>
      <c r="V998" s="22"/>
      <c r="W998" s="5"/>
      <c r="X998" s="5"/>
      <c r="Y998" s="5"/>
      <c r="Z998" s="5"/>
      <c r="AA998" s="5"/>
      <c r="AB998" s="5"/>
      <c r="AC998" s="5"/>
      <c r="AD998" s="5"/>
      <c r="AE998" s="4"/>
      <c r="AF998" s="5"/>
      <c r="AG998" s="5"/>
      <c r="AH998" s="5"/>
      <c r="AI998" s="5"/>
      <c r="AJ998" s="5"/>
      <c r="AK998" s="5"/>
      <c r="AL998" s="5"/>
      <c r="AM998" s="5"/>
      <c r="AN998" s="4"/>
      <c r="AO998" s="5"/>
      <c r="AP998" s="5"/>
      <c r="AQ998" s="5"/>
      <c r="AR998" s="22"/>
      <c r="AS998" s="4"/>
      <c r="AT998" s="5"/>
      <c r="AU998" s="5"/>
      <c r="AV998" s="5"/>
    </row>
    <row r="999" spans="1:48" ht="12.7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4"/>
      <c r="V999" s="22"/>
      <c r="W999" s="5"/>
      <c r="X999" s="5"/>
      <c r="Y999" s="5"/>
      <c r="Z999" s="5"/>
      <c r="AA999" s="5"/>
      <c r="AB999" s="5"/>
      <c r="AC999" s="5"/>
      <c r="AD999" s="5"/>
      <c r="AE999" s="4"/>
      <c r="AF999" s="5"/>
      <c r="AG999" s="5"/>
      <c r="AH999" s="5"/>
      <c r="AI999" s="5"/>
      <c r="AJ999" s="5"/>
      <c r="AK999" s="5"/>
      <c r="AL999" s="5"/>
      <c r="AM999" s="5"/>
      <c r="AN999" s="4"/>
      <c r="AO999" s="5"/>
      <c r="AP999" s="5"/>
      <c r="AQ999" s="5"/>
      <c r="AR999" s="22"/>
      <c r="AS999" s="4"/>
      <c r="AT999" s="5"/>
      <c r="AU999" s="5"/>
      <c r="AV999" s="5"/>
    </row>
    <row r="1000" spans="1:48" ht="12.7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4"/>
      <c r="V1000" s="22"/>
      <c r="W1000" s="5"/>
      <c r="X1000" s="5"/>
      <c r="Y1000" s="5"/>
      <c r="Z1000" s="5"/>
      <c r="AA1000" s="5"/>
      <c r="AB1000" s="5"/>
      <c r="AC1000" s="5"/>
      <c r="AD1000" s="5"/>
      <c r="AE1000" s="4"/>
      <c r="AF1000" s="5"/>
      <c r="AG1000" s="5"/>
      <c r="AH1000" s="5"/>
      <c r="AI1000" s="5"/>
      <c r="AJ1000" s="5"/>
      <c r="AK1000" s="5"/>
      <c r="AL1000" s="5"/>
      <c r="AM1000" s="5"/>
      <c r="AN1000" s="4"/>
      <c r="AO1000" s="5"/>
      <c r="AP1000" s="5"/>
      <c r="AQ1000" s="5"/>
      <c r="AR1000" s="22"/>
      <c r="AS1000" s="4"/>
      <c r="AT1000" s="5"/>
      <c r="AU1000" s="5"/>
      <c r="AV1000" s="5"/>
    </row>
    <row r="1001" spans="1:48" ht="12.7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4"/>
      <c r="V1001" s="22"/>
      <c r="W1001" s="5"/>
      <c r="X1001" s="5"/>
      <c r="Y1001" s="5"/>
      <c r="Z1001" s="5"/>
      <c r="AA1001" s="5"/>
      <c r="AB1001" s="5"/>
      <c r="AC1001" s="5"/>
      <c r="AD1001" s="5"/>
      <c r="AE1001" s="4"/>
      <c r="AF1001" s="5"/>
      <c r="AG1001" s="5"/>
      <c r="AH1001" s="5"/>
      <c r="AI1001" s="5"/>
      <c r="AJ1001" s="5"/>
      <c r="AK1001" s="5"/>
      <c r="AL1001" s="5"/>
      <c r="AM1001" s="5"/>
      <c r="AN1001" s="4"/>
      <c r="AO1001" s="5"/>
      <c r="AP1001" s="5"/>
      <c r="AQ1001" s="5"/>
      <c r="AR1001" s="22"/>
      <c r="AS1001" s="4"/>
      <c r="AT1001" s="5"/>
      <c r="AU1001" s="5"/>
      <c r="AV1001" s="5"/>
    </row>
    <row r="1002" spans="1:48" ht="1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4"/>
      <c r="V1002" s="22"/>
      <c r="W1002" s="5"/>
      <c r="X1002" s="5"/>
      <c r="Y1002" s="5"/>
      <c r="Z1002" s="5"/>
      <c r="AA1002" s="5"/>
      <c r="AB1002" s="5"/>
      <c r="AC1002" s="5"/>
      <c r="AD1002" s="5"/>
      <c r="AE1002" s="4"/>
      <c r="AF1002" s="5"/>
      <c r="AG1002" s="5"/>
      <c r="AH1002" s="5"/>
      <c r="AI1002" s="5"/>
      <c r="AJ1002" s="5"/>
      <c r="AK1002" s="5"/>
      <c r="AL1002" s="5"/>
      <c r="AM1002" s="5"/>
      <c r="AN1002" s="4"/>
      <c r="AO1002" s="5"/>
      <c r="AP1002" s="5"/>
      <c r="AQ1002" s="5"/>
      <c r="AR1002" s="22"/>
      <c r="AS1002" s="5"/>
      <c r="AT1002" s="5"/>
      <c r="AU1002" s="5"/>
      <c r="AV1002" s="5"/>
    </row>
    <row r="1003" spans="1:48" ht="15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4"/>
      <c r="V1003" s="22"/>
      <c r="W1003" s="5"/>
      <c r="X1003" s="5"/>
      <c r="Y1003" s="5"/>
      <c r="Z1003" s="5"/>
      <c r="AA1003" s="5"/>
      <c r="AB1003" s="5"/>
      <c r="AC1003" s="5"/>
      <c r="AD1003" s="5"/>
      <c r="AE1003" s="4"/>
      <c r="AF1003" s="5"/>
      <c r="AG1003" s="5"/>
      <c r="AH1003" s="5"/>
      <c r="AI1003" s="5"/>
      <c r="AJ1003" s="5"/>
      <c r="AK1003" s="5"/>
      <c r="AL1003" s="5"/>
      <c r="AM1003" s="5"/>
      <c r="AN1003" s="4"/>
      <c r="AO1003" s="5"/>
      <c r="AP1003" s="5"/>
      <c r="AQ1003" s="5"/>
      <c r="AR1003" s="22"/>
      <c r="AS1003" s="5"/>
      <c r="AT1003" s="5"/>
      <c r="AU1003" s="5"/>
      <c r="AV1003" s="5"/>
    </row>
    <row r="1004" spans="1:48" ht="15" customHeight="1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4"/>
      <c r="V1004" s="22"/>
      <c r="W1004" s="5"/>
      <c r="X1004" s="5"/>
      <c r="Y1004" s="5"/>
      <c r="Z1004" s="5"/>
      <c r="AA1004" s="5"/>
      <c r="AB1004" s="5"/>
      <c r="AC1004" s="5"/>
      <c r="AD1004" s="5"/>
      <c r="AE1004" s="4"/>
      <c r="AF1004" s="5"/>
      <c r="AG1004" s="5"/>
      <c r="AH1004" s="5"/>
      <c r="AI1004" s="5"/>
      <c r="AJ1004" s="5"/>
      <c r="AK1004" s="5"/>
      <c r="AL1004" s="5"/>
      <c r="AM1004" s="5"/>
      <c r="AN1004" s="4"/>
      <c r="AO1004" s="5"/>
      <c r="AP1004" s="5"/>
      <c r="AQ1004" s="5"/>
      <c r="AR1004" s="22"/>
      <c r="AS1004" s="5"/>
      <c r="AT1004" s="5"/>
      <c r="AU1004" s="5"/>
      <c r="AV1004" s="5"/>
    </row>
    <row r="1005" spans="1:48" ht="15" customHeight="1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4"/>
      <c r="V1005" s="22"/>
      <c r="W1005" s="5"/>
      <c r="X1005" s="5"/>
      <c r="Y1005" s="5"/>
      <c r="Z1005" s="5"/>
      <c r="AA1005" s="5"/>
      <c r="AB1005" s="5"/>
      <c r="AC1005" s="5"/>
      <c r="AD1005" s="5"/>
      <c r="AE1005" s="4"/>
      <c r="AF1005" s="5"/>
      <c r="AG1005" s="5"/>
      <c r="AH1005" s="5"/>
      <c r="AI1005" s="5"/>
      <c r="AJ1005" s="5"/>
      <c r="AK1005" s="5"/>
      <c r="AL1005" s="5"/>
      <c r="AM1005" s="5"/>
      <c r="AN1005" s="4"/>
      <c r="AO1005" s="5"/>
      <c r="AP1005" s="5"/>
      <c r="AQ1005" s="5"/>
      <c r="AR1005" s="22"/>
      <c r="AS1005" s="5"/>
      <c r="AT1005" s="5"/>
      <c r="AU1005" s="5"/>
      <c r="AV1005" s="5"/>
    </row>
    <row r="1006" spans="1:48" ht="15" customHeight="1" x14ac:dyDescent="0.3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4"/>
      <c r="V1006" s="22"/>
      <c r="W1006" s="5"/>
      <c r="X1006" s="5"/>
      <c r="Y1006" s="5"/>
      <c r="Z1006" s="5"/>
      <c r="AA1006" s="5"/>
      <c r="AB1006" s="5"/>
      <c r="AC1006" s="5"/>
      <c r="AD1006" s="5"/>
      <c r="AE1006" s="4"/>
      <c r="AF1006" s="5"/>
      <c r="AG1006" s="5"/>
      <c r="AH1006" s="5"/>
      <c r="AI1006" s="5"/>
      <c r="AJ1006" s="5"/>
      <c r="AK1006" s="5"/>
      <c r="AL1006" s="5"/>
      <c r="AM1006" s="5"/>
      <c r="AN1006" s="4"/>
      <c r="AO1006" s="5"/>
      <c r="AP1006" s="5"/>
      <c r="AQ1006" s="5"/>
      <c r="AR1006" s="22"/>
      <c r="AS1006" s="5"/>
      <c r="AT1006" s="5"/>
      <c r="AU1006" s="5"/>
      <c r="AV1006" s="5"/>
    </row>
    <row r="1007" spans="1:48" ht="15" customHeight="1" x14ac:dyDescent="0.3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4"/>
      <c r="V1007" s="22"/>
      <c r="W1007" s="5"/>
      <c r="X1007" s="5"/>
      <c r="Y1007" s="5"/>
      <c r="Z1007" s="5"/>
      <c r="AA1007" s="5"/>
      <c r="AB1007" s="5"/>
      <c r="AC1007" s="5"/>
      <c r="AD1007" s="5"/>
      <c r="AE1007" s="4"/>
      <c r="AF1007" s="5"/>
      <c r="AG1007" s="5"/>
      <c r="AH1007" s="5"/>
      <c r="AI1007" s="5"/>
      <c r="AJ1007" s="5"/>
      <c r="AK1007" s="5"/>
      <c r="AL1007" s="5"/>
      <c r="AM1007" s="5"/>
      <c r="AN1007" s="4"/>
      <c r="AO1007" s="5"/>
      <c r="AP1007" s="5"/>
      <c r="AQ1007" s="5"/>
      <c r="AR1007" s="22"/>
      <c r="AS1007" s="5"/>
      <c r="AT1007" s="5"/>
      <c r="AU1007" s="5"/>
      <c r="AV1007" s="5"/>
    </row>
    <row r="1008" spans="1:48" ht="15" customHeight="1" x14ac:dyDescent="0.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4"/>
      <c r="V1008" s="22"/>
      <c r="W1008" s="5"/>
      <c r="X1008" s="5"/>
      <c r="Y1008" s="5"/>
      <c r="Z1008" s="5"/>
      <c r="AA1008" s="5"/>
      <c r="AB1008" s="5"/>
      <c r="AC1008" s="5"/>
      <c r="AD1008" s="5"/>
      <c r="AE1008" s="4"/>
      <c r="AF1008" s="5"/>
      <c r="AG1008" s="5"/>
      <c r="AH1008" s="5"/>
      <c r="AI1008" s="5"/>
      <c r="AJ1008" s="5"/>
      <c r="AK1008" s="5"/>
      <c r="AL1008" s="5"/>
      <c r="AM1008" s="5"/>
      <c r="AN1008" s="4"/>
      <c r="AO1008" s="5"/>
      <c r="AP1008" s="5"/>
      <c r="AQ1008" s="5"/>
      <c r="AR1008" s="22"/>
      <c r="AS1008" s="5"/>
      <c r="AT1008" s="5"/>
      <c r="AU1008" s="5"/>
      <c r="AV1008" s="5"/>
    </row>
    <row r="1009" spans="1:48" ht="15" customHeight="1" x14ac:dyDescent="0.3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4"/>
      <c r="V1009" s="22"/>
      <c r="W1009" s="5"/>
      <c r="X1009" s="5"/>
      <c r="Y1009" s="5"/>
      <c r="Z1009" s="5"/>
      <c r="AA1009" s="5"/>
      <c r="AB1009" s="5"/>
      <c r="AC1009" s="5"/>
      <c r="AD1009" s="5"/>
      <c r="AE1009" s="4"/>
      <c r="AF1009" s="5"/>
      <c r="AG1009" s="5"/>
      <c r="AH1009" s="5"/>
      <c r="AI1009" s="5"/>
      <c r="AJ1009" s="5"/>
      <c r="AK1009" s="5"/>
      <c r="AL1009" s="5"/>
      <c r="AM1009" s="5"/>
      <c r="AN1009" s="4"/>
      <c r="AO1009" s="5"/>
      <c r="AP1009" s="5"/>
      <c r="AQ1009" s="5"/>
      <c r="AR1009" s="22"/>
      <c r="AS1009" s="5"/>
      <c r="AT1009" s="5"/>
      <c r="AU1009" s="5"/>
      <c r="AV1009" s="5"/>
    </row>
    <row r="1010" spans="1:48" ht="15" customHeight="1" x14ac:dyDescent="0.3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4"/>
      <c r="V1010" s="22"/>
      <c r="W1010" s="5"/>
      <c r="X1010" s="5"/>
      <c r="Y1010" s="5"/>
      <c r="Z1010" s="5"/>
      <c r="AA1010" s="5"/>
      <c r="AB1010" s="5"/>
      <c r="AC1010" s="5"/>
      <c r="AD1010" s="5"/>
      <c r="AE1010" s="4"/>
      <c r="AF1010" s="5"/>
      <c r="AG1010" s="5"/>
      <c r="AH1010" s="5"/>
      <c r="AI1010" s="5"/>
      <c r="AJ1010" s="5"/>
      <c r="AK1010" s="5"/>
      <c r="AL1010" s="5"/>
      <c r="AM1010" s="5"/>
      <c r="AN1010" s="4"/>
      <c r="AO1010" s="5"/>
      <c r="AP1010" s="5"/>
      <c r="AQ1010" s="5"/>
      <c r="AR1010" s="22"/>
      <c r="AS1010" s="5"/>
      <c r="AT1010" s="5"/>
      <c r="AU1010" s="5"/>
      <c r="AV1010" s="5"/>
    </row>
    <row r="1011" spans="1:48" ht="15" customHeight="1" x14ac:dyDescent="0.3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4"/>
      <c r="V1011" s="22"/>
      <c r="W1011" s="5"/>
      <c r="X1011" s="5"/>
      <c r="Y1011" s="5"/>
      <c r="Z1011" s="5"/>
      <c r="AA1011" s="5"/>
      <c r="AB1011" s="5"/>
      <c r="AC1011" s="5"/>
      <c r="AD1011" s="5"/>
      <c r="AE1011" s="4"/>
      <c r="AF1011" s="5"/>
      <c r="AG1011" s="5"/>
      <c r="AH1011" s="5"/>
      <c r="AI1011" s="5"/>
      <c r="AJ1011" s="5"/>
      <c r="AK1011" s="5"/>
      <c r="AL1011" s="5"/>
      <c r="AM1011" s="5"/>
      <c r="AN1011" s="4"/>
      <c r="AO1011" s="5"/>
      <c r="AP1011" s="5"/>
      <c r="AQ1011" s="5"/>
      <c r="AR1011" s="22"/>
      <c r="AS1011" s="5"/>
      <c r="AT1011" s="5"/>
      <c r="AU1011" s="5"/>
      <c r="AV1011" s="5"/>
    </row>
    <row r="1012" spans="1:48" ht="15" customHeight="1" x14ac:dyDescent="0.3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4"/>
      <c r="V1012" s="22"/>
      <c r="W1012" s="5"/>
      <c r="X1012" s="5"/>
      <c r="Y1012" s="5"/>
      <c r="Z1012" s="5"/>
      <c r="AA1012" s="5"/>
      <c r="AB1012" s="5"/>
      <c r="AC1012" s="5"/>
      <c r="AD1012" s="5"/>
      <c r="AE1012" s="4"/>
      <c r="AF1012" s="5"/>
      <c r="AG1012" s="5"/>
      <c r="AH1012" s="5"/>
      <c r="AI1012" s="5"/>
      <c r="AJ1012" s="5"/>
      <c r="AK1012" s="5"/>
      <c r="AL1012" s="5"/>
      <c r="AM1012" s="5"/>
      <c r="AN1012" s="4"/>
      <c r="AO1012" s="5"/>
      <c r="AP1012" s="5"/>
      <c r="AQ1012" s="5"/>
      <c r="AR1012" s="22"/>
      <c r="AS1012" s="5"/>
      <c r="AT1012" s="5"/>
      <c r="AU1012" s="5"/>
      <c r="AV1012" s="5"/>
    </row>
    <row r="1013" spans="1:48" ht="15" customHeight="1" x14ac:dyDescent="0.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4"/>
      <c r="V1013" s="22"/>
      <c r="W1013" s="5"/>
      <c r="X1013" s="5"/>
      <c r="Y1013" s="5"/>
      <c r="Z1013" s="5"/>
      <c r="AA1013" s="5"/>
      <c r="AB1013" s="5"/>
      <c r="AC1013" s="5"/>
      <c r="AD1013" s="5"/>
      <c r="AE1013" s="4"/>
      <c r="AF1013" s="5"/>
      <c r="AG1013" s="5"/>
      <c r="AH1013" s="5"/>
      <c r="AI1013" s="5"/>
      <c r="AJ1013" s="5"/>
      <c r="AK1013" s="5"/>
      <c r="AL1013" s="5"/>
      <c r="AM1013" s="5"/>
      <c r="AN1013" s="4"/>
      <c r="AO1013" s="5"/>
      <c r="AP1013" s="5"/>
      <c r="AQ1013" s="5"/>
      <c r="AR1013" s="22"/>
      <c r="AS1013" s="5"/>
      <c r="AT1013" s="5"/>
      <c r="AU1013" s="5"/>
      <c r="AV1013" s="5"/>
    </row>
    <row r="1014" spans="1:48" ht="15" customHeight="1" x14ac:dyDescent="0.3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4"/>
      <c r="V1014" s="22"/>
      <c r="W1014" s="5"/>
      <c r="X1014" s="5"/>
      <c r="Y1014" s="5"/>
      <c r="Z1014" s="5"/>
      <c r="AA1014" s="5"/>
      <c r="AB1014" s="5"/>
      <c r="AC1014" s="5"/>
      <c r="AD1014" s="5"/>
      <c r="AE1014" s="4"/>
      <c r="AF1014" s="5"/>
      <c r="AG1014" s="5"/>
      <c r="AH1014" s="5"/>
      <c r="AI1014" s="5"/>
      <c r="AJ1014" s="5"/>
      <c r="AK1014" s="5"/>
      <c r="AL1014" s="5"/>
      <c r="AM1014" s="5"/>
      <c r="AN1014" s="4"/>
      <c r="AO1014" s="5"/>
      <c r="AP1014" s="5"/>
      <c r="AQ1014" s="5"/>
      <c r="AR1014" s="22"/>
      <c r="AS1014" s="5"/>
      <c r="AT1014" s="5"/>
      <c r="AU1014" s="5"/>
      <c r="AV1014" s="5"/>
    </row>
    <row r="1015" spans="1:48" ht="15" customHeight="1" x14ac:dyDescent="0.3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4"/>
      <c r="V1015" s="22"/>
      <c r="W1015" s="5"/>
      <c r="X1015" s="5"/>
      <c r="Y1015" s="5"/>
      <c r="Z1015" s="5"/>
      <c r="AA1015" s="5"/>
      <c r="AB1015" s="5"/>
      <c r="AC1015" s="5"/>
      <c r="AD1015" s="5"/>
      <c r="AE1015" s="4"/>
      <c r="AF1015" s="5"/>
      <c r="AG1015" s="5"/>
      <c r="AH1015" s="5"/>
      <c r="AI1015" s="5"/>
      <c r="AJ1015" s="5"/>
      <c r="AK1015" s="5"/>
      <c r="AL1015" s="5"/>
      <c r="AM1015" s="5"/>
      <c r="AN1015" s="4"/>
      <c r="AO1015" s="5"/>
      <c r="AP1015" s="5"/>
      <c r="AQ1015" s="5"/>
      <c r="AR1015" s="22"/>
      <c r="AS1015" s="5"/>
      <c r="AT1015" s="5"/>
      <c r="AU1015" s="5"/>
      <c r="AV1015" s="5"/>
    </row>
    <row r="1016" spans="1:48" ht="15" customHeight="1" x14ac:dyDescent="0.3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4"/>
      <c r="V1016" s="22"/>
      <c r="W1016" s="5"/>
      <c r="X1016" s="5"/>
      <c r="Y1016" s="5"/>
      <c r="Z1016" s="5"/>
      <c r="AA1016" s="5"/>
      <c r="AB1016" s="5"/>
      <c r="AC1016" s="5"/>
      <c r="AD1016" s="5"/>
      <c r="AE1016" s="4"/>
      <c r="AF1016" s="5"/>
      <c r="AG1016" s="5"/>
      <c r="AH1016" s="5"/>
      <c r="AI1016" s="5"/>
      <c r="AJ1016" s="5"/>
      <c r="AK1016" s="5"/>
      <c r="AL1016" s="5"/>
      <c r="AM1016" s="5"/>
      <c r="AN1016" s="4"/>
      <c r="AO1016" s="5"/>
      <c r="AP1016" s="5"/>
      <c r="AQ1016" s="5"/>
      <c r="AR1016" s="22"/>
      <c r="AS1016" s="5"/>
      <c r="AT1016" s="5"/>
      <c r="AU1016" s="5"/>
      <c r="AV1016" s="5"/>
    </row>
    <row r="1017" spans="1:48" ht="15" customHeight="1" x14ac:dyDescent="0.3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4"/>
      <c r="V1017" s="22"/>
      <c r="W1017" s="5"/>
      <c r="X1017" s="5"/>
      <c r="Y1017" s="5"/>
      <c r="Z1017" s="5"/>
      <c r="AA1017" s="5"/>
      <c r="AB1017" s="5"/>
      <c r="AC1017" s="5"/>
      <c r="AD1017" s="5"/>
      <c r="AE1017" s="4"/>
      <c r="AF1017" s="5"/>
      <c r="AG1017" s="5"/>
      <c r="AH1017" s="5"/>
      <c r="AI1017" s="5"/>
      <c r="AJ1017" s="5"/>
      <c r="AK1017" s="5"/>
      <c r="AL1017" s="5"/>
      <c r="AM1017" s="5"/>
      <c r="AN1017" s="4"/>
      <c r="AO1017" s="5"/>
      <c r="AP1017" s="5"/>
      <c r="AQ1017" s="5"/>
      <c r="AR1017" s="22"/>
      <c r="AS1017" s="5"/>
      <c r="AT1017" s="5"/>
      <c r="AU1017" s="5"/>
      <c r="AV1017" s="5"/>
    </row>
    <row r="1018" spans="1:48" ht="15" customHeight="1" x14ac:dyDescent="0.3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4"/>
      <c r="V1018" s="22"/>
      <c r="W1018" s="5"/>
      <c r="X1018" s="5"/>
      <c r="Y1018" s="5"/>
      <c r="Z1018" s="5"/>
      <c r="AA1018" s="5"/>
      <c r="AB1018" s="5"/>
      <c r="AC1018" s="5"/>
      <c r="AD1018" s="5"/>
      <c r="AE1018" s="4"/>
      <c r="AF1018" s="5"/>
      <c r="AG1018" s="5"/>
      <c r="AH1018" s="5"/>
      <c r="AI1018" s="5"/>
      <c r="AJ1018" s="5"/>
      <c r="AK1018" s="5"/>
      <c r="AL1018" s="5"/>
      <c r="AM1018" s="5"/>
      <c r="AN1018" s="4"/>
      <c r="AO1018" s="5"/>
      <c r="AP1018" s="5"/>
      <c r="AQ1018" s="5"/>
      <c r="AR1018" s="22"/>
      <c r="AS1018" s="5"/>
      <c r="AT1018" s="5"/>
      <c r="AU1018" s="5"/>
      <c r="AV1018" s="5"/>
    </row>
    <row r="1019" spans="1:48" ht="15" customHeight="1" x14ac:dyDescent="0.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4"/>
      <c r="V1019" s="22"/>
      <c r="W1019" s="5"/>
      <c r="X1019" s="5"/>
      <c r="Y1019" s="5"/>
      <c r="Z1019" s="5"/>
      <c r="AA1019" s="5"/>
      <c r="AB1019" s="5"/>
      <c r="AC1019" s="5"/>
      <c r="AD1019" s="5"/>
      <c r="AE1019" s="4"/>
      <c r="AF1019" s="5"/>
      <c r="AG1019" s="5"/>
      <c r="AH1019" s="5"/>
      <c r="AI1019" s="5"/>
      <c r="AJ1019" s="5"/>
      <c r="AK1019" s="5"/>
      <c r="AL1019" s="5"/>
      <c r="AM1019" s="5"/>
      <c r="AN1019" s="4"/>
      <c r="AO1019" s="5"/>
      <c r="AP1019" s="5"/>
      <c r="AQ1019" s="5"/>
      <c r="AR1019" s="22"/>
      <c r="AS1019" s="5"/>
      <c r="AT1019" s="5"/>
      <c r="AU1019" s="5"/>
      <c r="AV1019" s="5"/>
    </row>
    <row r="1020" spans="1:48" ht="15" customHeight="1" x14ac:dyDescent="0.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4"/>
      <c r="V1020" s="22"/>
      <c r="W1020" s="5"/>
      <c r="X1020" s="5"/>
      <c r="Y1020" s="5"/>
      <c r="Z1020" s="5"/>
      <c r="AA1020" s="5"/>
      <c r="AB1020" s="5"/>
      <c r="AC1020" s="5"/>
      <c r="AD1020" s="5"/>
      <c r="AE1020" s="4"/>
      <c r="AF1020" s="5"/>
      <c r="AG1020" s="5"/>
      <c r="AH1020" s="5"/>
      <c r="AI1020" s="5"/>
      <c r="AJ1020" s="5"/>
      <c r="AK1020" s="5"/>
      <c r="AL1020" s="5"/>
      <c r="AM1020" s="5"/>
      <c r="AN1020" s="4"/>
      <c r="AO1020" s="5"/>
      <c r="AP1020" s="5"/>
      <c r="AQ1020" s="5"/>
      <c r="AR1020" s="22"/>
      <c r="AS1020" s="5"/>
      <c r="AT1020" s="5"/>
      <c r="AU1020" s="5"/>
      <c r="AV1020" s="5"/>
    </row>
    <row r="1021" spans="1:48" ht="15" customHeight="1" x14ac:dyDescent="0.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4"/>
      <c r="V1021" s="22"/>
      <c r="W1021" s="5"/>
      <c r="X1021" s="5"/>
      <c r="Y1021" s="5"/>
      <c r="Z1021" s="5"/>
      <c r="AA1021" s="5"/>
      <c r="AB1021" s="5"/>
      <c r="AC1021" s="5"/>
      <c r="AD1021" s="5"/>
      <c r="AE1021" s="4"/>
      <c r="AF1021" s="5"/>
      <c r="AG1021" s="5"/>
      <c r="AH1021" s="5"/>
      <c r="AI1021" s="5"/>
      <c r="AJ1021" s="5"/>
      <c r="AK1021" s="5"/>
      <c r="AL1021" s="5"/>
      <c r="AM1021" s="5"/>
      <c r="AN1021" s="4"/>
      <c r="AO1021" s="5"/>
      <c r="AP1021" s="5"/>
      <c r="AQ1021" s="5"/>
      <c r="AR1021" s="22"/>
      <c r="AS1021" s="5"/>
      <c r="AT1021" s="5"/>
      <c r="AU1021" s="5"/>
      <c r="AV1021" s="5"/>
    </row>
    <row r="1022" spans="1:48" ht="15" customHeight="1" x14ac:dyDescent="0.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4"/>
      <c r="V1022" s="22"/>
      <c r="W1022" s="5"/>
      <c r="X1022" s="5"/>
      <c r="Y1022" s="5"/>
      <c r="Z1022" s="5"/>
      <c r="AA1022" s="5"/>
      <c r="AB1022" s="5"/>
      <c r="AC1022" s="5"/>
      <c r="AD1022" s="5"/>
      <c r="AE1022" s="4"/>
      <c r="AF1022" s="5"/>
      <c r="AG1022" s="5"/>
      <c r="AH1022" s="5"/>
      <c r="AI1022" s="5"/>
      <c r="AJ1022" s="5"/>
      <c r="AK1022" s="5"/>
      <c r="AL1022" s="5"/>
      <c r="AM1022" s="5"/>
      <c r="AN1022" s="4"/>
      <c r="AO1022" s="5"/>
      <c r="AP1022" s="5"/>
      <c r="AQ1022" s="5"/>
      <c r="AR1022" s="22"/>
      <c r="AS1022" s="5"/>
      <c r="AT1022" s="5"/>
      <c r="AU1022" s="5"/>
      <c r="AV1022" s="5"/>
    </row>
    <row r="1023" spans="1:48" ht="15" customHeight="1" x14ac:dyDescent="0.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4"/>
      <c r="V1023" s="22"/>
      <c r="W1023" s="5"/>
      <c r="X1023" s="5"/>
      <c r="Y1023" s="5"/>
      <c r="Z1023" s="5"/>
      <c r="AA1023" s="5"/>
      <c r="AB1023" s="5"/>
      <c r="AC1023" s="5"/>
      <c r="AD1023" s="5"/>
      <c r="AE1023" s="4"/>
      <c r="AF1023" s="5"/>
      <c r="AG1023" s="5"/>
      <c r="AH1023" s="5"/>
      <c r="AI1023" s="5"/>
      <c r="AJ1023" s="5"/>
      <c r="AK1023" s="5"/>
      <c r="AL1023" s="5"/>
      <c r="AM1023" s="5"/>
      <c r="AN1023" s="4"/>
      <c r="AO1023" s="5"/>
      <c r="AP1023" s="5"/>
      <c r="AQ1023" s="5"/>
      <c r="AR1023" s="22"/>
      <c r="AS1023" s="5"/>
      <c r="AT1023" s="5"/>
      <c r="AU1023" s="5"/>
      <c r="AV1023" s="5"/>
    </row>
    <row r="1024" spans="1:48" ht="15" customHeight="1" x14ac:dyDescent="0.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4"/>
      <c r="V1024" s="22"/>
      <c r="W1024" s="5"/>
      <c r="X1024" s="5"/>
      <c r="Y1024" s="5"/>
      <c r="Z1024" s="5"/>
      <c r="AA1024" s="5"/>
      <c r="AB1024" s="5"/>
      <c r="AC1024" s="5"/>
      <c r="AD1024" s="5"/>
      <c r="AE1024" s="4"/>
      <c r="AF1024" s="5"/>
      <c r="AG1024" s="5"/>
      <c r="AH1024" s="5"/>
      <c r="AI1024" s="5"/>
      <c r="AJ1024" s="5"/>
      <c r="AK1024" s="5"/>
      <c r="AL1024" s="5"/>
      <c r="AM1024" s="5"/>
      <c r="AN1024" s="4"/>
      <c r="AO1024" s="5"/>
      <c r="AP1024" s="5"/>
      <c r="AQ1024" s="5"/>
      <c r="AR1024" s="22"/>
      <c r="AS1024" s="5"/>
      <c r="AT1024" s="5"/>
      <c r="AU1024" s="5"/>
      <c r="AV1024" s="5"/>
    </row>
    <row r="1025" spans="1:48" ht="15" customHeight="1" x14ac:dyDescent="0.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4"/>
      <c r="V1025" s="22"/>
      <c r="W1025" s="5"/>
      <c r="X1025" s="5"/>
      <c r="Y1025" s="5"/>
      <c r="Z1025" s="5"/>
      <c r="AA1025" s="5"/>
      <c r="AB1025" s="5"/>
      <c r="AC1025" s="5"/>
      <c r="AD1025" s="5"/>
      <c r="AE1025" s="4"/>
      <c r="AF1025" s="5"/>
      <c r="AG1025" s="5"/>
      <c r="AH1025" s="5"/>
      <c r="AI1025" s="5"/>
      <c r="AJ1025" s="5"/>
      <c r="AK1025" s="5"/>
      <c r="AL1025" s="5"/>
      <c r="AM1025" s="5"/>
      <c r="AN1025" s="4"/>
      <c r="AO1025" s="5"/>
      <c r="AP1025" s="5"/>
      <c r="AQ1025" s="5"/>
      <c r="AR1025" s="22"/>
      <c r="AS1025" s="5"/>
      <c r="AT1025" s="5"/>
      <c r="AU1025" s="5"/>
      <c r="AV1025" s="5"/>
    </row>
    <row r="1026" spans="1:48" ht="15" customHeight="1" x14ac:dyDescent="0.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4"/>
      <c r="V1026" s="22"/>
      <c r="W1026" s="5"/>
      <c r="X1026" s="5"/>
      <c r="Y1026" s="5"/>
      <c r="Z1026" s="5"/>
      <c r="AA1026" s="5"/>
      <c r="AB1026" s="5"/>
      <c r="AC1026" s="5"/>
      <c r="AD1026" s="5"/>
      <c r="AE1026" s="4"/>
      <c r="AF1026" s="5"/>
      <c r="AG1026" s="5"/>
      <c r="AH1026" s="5"/>
      <c r="AI1026" s="5"/>
      <c r="AJ1026" s="5"/>
      <c r="AK1026" s="5"/>
      <c r="AL1026" s="5"/>
      <c r="AM1026" s="5"/>
      <c r="AN1026" s="4"/>
      <c r="AO1026" s="5"/>
      <c r="AP1026" s="5"/>
      <c r="AQ1026" s="5"/>
      <c r="AR1026" s="22"/>
      <c r="AS1026" s="5"/>
      <c r="AT1026" s="5"/>
      <c r="AU1026" s="5"/>
      <c r="AV1026" s="5"/>
    </row>
    <row r="1027" spans="1:48" ht="15" customHeight="1" x14ac:dyDescent="0.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4"/>
      <c r="V1027" s="22"/>
      <c r="W1027" s="5"/>
      <c r="X1027" s="5"/>
      <c r="Y1027" s="5"/>
      <c r="Z1027" s="5"/>
      <c r="AA1027" s="5"/>
      <c r="AB1027" s="5"/>
      <c r="AC1027" s="5"/>
      <c r="AD1027" s="5"/>
      <c r="AE1027" s="4"/>
      <c r="AF1027" s="5"/>
      <c r="AG1027" s="5"/>
      <c r="AH1027" s="5"/>
      <c r="AI1027" s="5"/>
      <c r="AJ1027" s="5"/>
      <c r="AK1027" s="5"/>
      <c r="AL1027" s="5"/>
      <c r="AM1027" s="5"/>
      <c r="AN1027" s="4"/>
      <c r="AO1027" s="5"/>
      <c r="AP1027" s="5"/>
      <c r="AQ1027" s="5"/>
      <c r="AR1027" s="22"/>
      <c r="AS1027" s="5"/>
      <c r="AT1027" s="5"/>
      <c r="AU1027" s="5"/>
      <c r="AV1027" s="5"/>
    </row>
    <row r="1028" spans="1:48" ht="15" customHeight="1" x14ac:dyDescent="0.3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4"/>
      <c r="V1028" s="22"/>
      <c r="W1028" s="5"/>
      <c r="X1028" s="5"/>
      <c r="Y1028" s="5"/>
      <c r="Z1028" s="5"/>
      <c r="AA1028" s="5"/>
      <c r="AB1028" s="5"/>
      <c r="AC1028" s="5"/>
      <c r="AD1028" s="5"/>
      <c r="AE1028" s="4"/>
      <c r="AF1028" s="5"/>
      <c r="AG1028" s="5"/>
      <c r="AH1028" s="5"/>
      <c r="AI1028" s="5"/>
      <c r="AJ1028" s="5"/>
      <c r="AK1028" s="5"/>
      <c r="AL1028" s="5"/>
      <c r="AM1028" s="5"/>
      <c r="AN1028" s="4"/>
      <c r="AO1028" s="5"/>
      <c r="AP1028" s="5"/>
      <c r="AQ1028" s="5"/>
      <c r="AR1028" s="22"/>
      <c r="AS1028" s="5"/>
      <c r="AT1028" s="5"/>
      <c r="AU1028" s="5"/>
      <c r="AV1028" s="5"/>
    </row>
    <row r="1029" spans="1:48" ht="15" customHeight="1" x14ac:dyDescent="0.3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4"/>
      <c r="V1029" s="22"/>
      <c r="W1029" s="5"/>
      <c r="X1029" s="5"/>
      <c r="Y1029" s="5"/>
      <c r="Z1029" s="5"/>
      <c r="AA1029" s="5"/>
      <c r="AB1029" s="5"/>
      <c r="AC1029" s="5"/>
      <c r="AD1029" s="5"/>
      <c r="AE1029" s="4"/>
      <c r="AF1029" s="5"/>
      <c r="AG1029" s="5"/>
      <c r="AH1029" s="5"/>
      <c r="AI1029" s="5"/>
      <c r="AJ1029" s="5"/>
      <c r="AK1029" s="5"/>
      <c r="AL1029" s="5"/>
      <c r="AM1029" s="5"/>
      <c r="AN1029" s="4"/>
      <c r="AO1029" s="5"/>
      <c r="AP1029" s="5"/>
      <c r="AQ1029" s="5"/>
      <c r="AR1029" s="22"/>
      <c r="AS1029" s="5"/>
      <c r="AT1029" s="5"/>
      <c r="AU1029" s="5"/>
      <c r="AV1029" s="5"/>
    </row>
    <row r="1030" spans="1:48" ht="15" customHeight="1" x14ac:dyDescent="0.3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4"/>
      <c r="V1030" s="22"/>
      <c r="W1030" s="5"/>
      <c r="X1030" s="5"/>
      <c r="Y1030" s="5"/>
      <c r="Z1030" s="5"/>
      <c r="AA1030" s="5"/>
      <c r="AB1030" s="5"/>
      <c r="AC1030" s="5"/>
      <c r="AD1030" s="5"/>
      <c r="AE1030" s="4"/>
      <c r="AF1030" s="5"/>
      <c r="AG1030" s="5"/>
      <c r="AH1030" s="5"/>
      <c r="AI1030" s="5"/>
      <c r="AJ1030" s="5"/>
      <c r="AK1030" s="5"/>
      <c r="AL1030" s="5"/>
      <c r="AM1030" s="5"/>
      <c r="AN1030" s="4"/>
      <c r="AO1030" s="5"/>
      <c r="AP1030" s="5"/>
      <c r="AQ1030" s="5"/>
      <c r="AR1030" s="22"/>
      <c r="AS1030" s="5"/>
      <c r="AT1030" s="5"/>
      <c r="AU1030" s="5"/>
      <c r="AV1030" s="5"/>
    </row>
    <row r="1031" spans="1:48" ht="15" customHeight="1" x14ac:dyDescent="0.3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4"/>
      <c r="V1031" s="22"/>
      <c r="W1031" s="5"/>
      <c r="X1031" s="5"/>
      <c r="Y1031" s="5"/>
      <c r="Z1031" s="5"/>
      <c r="AA1031" s="5"/>
      <c r="AB1031" s="5"/>
      <c r="AC1031" s="5"/>
      <c r="AD1031" s="5"/>
      <c r="AE1031" s="4"/>
      <c r="AF1031" s="5"/>
      <c r="AG1031" s="5"/>
      <c r="AH1031" s="5"/>
      <c r="AI1031" s="5"/>
      <c r="AJ1031" s="5"/>
      <c r="AK1031" s="5"/>
      <c r="AL1031" s="5"/>
      <c r="AM1031" s="5"/>
      <c r="AN1031" s="4"/>
      <c r="AO1031" s="5"/>
      <c r="AP1031" s="5"/>
      <c r="AQ1031" s="5"/>
      <c r="AR1031" s="22"/>
      <c r="AS1031" s="5"/>
      <c r="AT1031" s="5"/>
      <c r="AU1031" s="5"/>
      <c r="AV1031" s="5"/>
    </row>
    <row r="1032" spans="1:48" ht="15" customHeight="1" x14ac:dyDescent="0.3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4"/>
      <c r="V1032" s="22"/>
      <c r="W1032" s="5"/>
      <c r="X1032" s="5"/>
      <c r="Y1032" s="5"/>
      <c r="Z1032" s="5"/>
      <c r="AA1032" s="5"/>
      <c r="AB1032" s="5"/>
      <c r="AC1032" s="5"/>
      <c r="AD1032" s="5"/>
      <c r="AE1032" s="4"/>
      <c r="AF1032" s="5"/>
      <c r="AG1032" s="5"/>
      <c r="AH1032" s="5"/>
      <c r="AI1032" s="5"/>
      <c r="AJ1032" s="5"/>
      <c r="AK1032" s="5"/>
      <c r="AL1032" s="5"/>
      <c r="AM1032" s="5"/>
      <c r="AN1032" s="4"/>
      <c r="AO1032" s="5"/>
      <c r="AP1032" s="5"/>
      <c r="AQ1032" s="5"/>
      <c r="AR1032" s="22"/>
      <c r="AS1032" s="5"/>
      <c r="AT1032" s="5"/>
      <c r="AU1032" s="5"/>
      <c r="AV1032" s="5"/>
    </row>
    <row r="1033" spans="1:48" ht="15" customHeight="1" x14ac:dyDescent="0.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4"/>
      <c r="V1033" s="22"/>
      <c r="W1033" s="5"/>
      <c r="X1033" s="5"/>
      <c r="Y1033" s="5"/>
      <c r="Z1033" s="5"/>
      <c r="AA1033" s="5"/>
      <c r="AB1033" s="5"/>
      <c r="AC1033" s="5"/>
      <c r="AD1033" s="5"/>
      <c r="AE1033" s="4"/>
      <c r="AF1033" s="5"/>
      <c r="AG1033" s="5"/>
      <c r="AH1033" s="5"/>
      <c r="AI1033" s="5"/>
      <c r="AJ1033" s="5"/>
      <c r="AK1033" s="5"/>
      <c r="AL1033" s="5"/>
      <c r="AM1033" s="5"/>
      <c r="AN1033" s="4"/>
      <c r="AO1033" s="5"/>
      <c r="AP1033" s="5"/>
      <c r="AQ1033" s="5"/>
      <c r="AR1033" s="22"/>
      <c r="AS1033" s="5"/>
      <c r="AT1033" s="5"/>
      <c r="AU1033" s="5"/>
      <c r="AV1033" s="5"/>
    </row>
    <row r="1034" spans="1:48" ht="15" customHeight="1" x14ac:dyDescent="0.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4"/>
      <c r="V1034" s="22"/>
      <c r="W1034" s="5"/>
      <c r="X1034" s="5"/>
      <c r="Y1034" s="5"/>
      <c r="Z1034" s="5"/>
      <c r="AA1034" s="5"/>
      <c r="AB1034" s="5"/>
      <c r="AC1034" s="5"/>
      <c r="AD1034" s="5"/>
      <c r="AE1034" s="4"/>
      <c r="AF1034" s="5"/>
      <c r="AG1034" s="5"/>
      <c r="AH1034" s="5"/>
      <c r="AI1034" s="5"/>
      <c r="AJ1034" s="5"/>
      <c r="AK1034" s="5"/>
      <c r="AL1034" s="5"/>
      <c r="AM1034" s="5"/>
      <c r="AN1034" s="4"/>
      <c r="AO1034" s="5"/>
      <c r="AP1034" s="5"/>
      <c r="AQ1034" s="5"/>
      <c r="AR1034" s="22"/>
      <c r="AS1034" s="5"/>
      <c r="AT1034" s="5"/>
      <c r="AU1034" s="5"/>
      <c r="AV1034" s="5"/>
    </row>
    <row r="1035" spans="1:48" ht="15" customHeight="1" x14ac:dyDescent="0.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4"/>
      <c r="V1035" s="22"/>
      <c r="W1035" s="5"/>
      <c r="X1035" s="5"/>
      <c r="Y1035" s="5"/>
      <c r="Z1035" s="5"/>
      <c r="AA1035" s="5"/>
      <c r="AB1035" s="5"/>
      <c r="AC1035" s="5"/>
      <c r="AD1035" s="5"/>
      <c r="AE1035" s="4"/>
      <c r="AF1035" s="5"/>
      <c r="AG1035" s="5"/>
      <c r="AH1035" s="5"/>
      <c r="AI1035" s="5"/>
      <c r="AJ1035" s="5"/>
      <c r="AK1035" s="5"/>
      <c r="AL1035" s="5"/>
      <c r="AM1035" s="5"/>
      <c r="AN1035" s="4"/>
      <c r="AO1035" s="5"/>
      <c r="AP1035" s="5"/>
      <c r="AQ1035" s="5"/>
      <c r="AR1035" s="22"/>
      <c r="AS1035" s="5"/>
      <c r="AT1035" s="5"/>
      <c r="AU1035" s="5"/>
      <c r="AV1035" s="5"/>
    </row>
    <row r="1036" spans="1:48" ht="15" customHeight="1" x14ac:dyDescent="0.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4"/>
      <c r="V1036" s="22"/>
      <c r="W1036" s="5"/>
      <c r="X1036" s="5"/>
      <c r="Y1036" s="5"/>
      <c r="Z1036" s="5"/>
      <c r="AA1036" s="5"/>
      <c r="AB1036" s="5"/>
      <c r="AC1036" s="5"/>
      <c r="AD1036" s="5"/>
      <c r="AE1036" s="4"/>
      <c r="AF1036" s="5"/>
      <c r="AG1036" s="5"/>
      <c r="AH1036" s="5"/>
      <c r="AI1036" s="5"/>
      <c r="AJ1036" s="5"/>
      <c r="AK1036" s="5"/>
      <c r="AL1036" s="5"/>
      <c r="AM1036" s="5"/>
      <c r="AN1036" s="4"/>
      <c r="AO1036" s="5"/>
      <c r="AP1036" s="5"/>
      <c r="AQ1036" s="5"/>
      <c r="AR1036" s="22"/>
      <c r="AS1036" s="5"/>
      <c r="AT1036" s="5"/>
      <c r="AU1036" s="5"/>
      <c r="AV1036" s="5"/>
    </row>
    <row r="1037" spans="1:48" ht="15" customHeight="1" x14ac:dyDescent="0.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4"/>
      <c r="V1037" s="22"/>
      <c r="W1037" s="5"/>
      <c r="X1037" s="5"/>
      <c r="Y1037" s="5"/>
      <c r="Z1037" s="5"/>
      <c r="AA1037" s="5"/>
      <c r="AB1037" s="5"/>
      <c r="AC1037" s="5"/>
      <c r="AD1037" s="5"/>
      <c r="AE1037" s="4"/>
      <c r="AF1037" s="5"/>
      <c r="AG1037" s="5"/>
      <c r="AH1037" s="5"/>
      <c r="AI1037" s="5"/>
      <c r="AJ1037" s="5"/>
      <c r="AK1037" s="5"/>
      <c r="AL1037" s="5"/>
      <c r="AM1037" s="5"/>
      <c r="AN1037" s="4"/>
      <c r="AO1037" s="5"/>
      <c r="AP1037" s="5"/>
      <c r="AQ1037" s="5"/>
      <c r="AR1037" s="22"/>
      <c r="AS1037" s="5"/>
      <c r="AT1037" s="5"/>
      <c r="AU1037" s="5"/>
      <c r="AV1037" s="5"/>
    </row>
    <row r="1038" spans="1:48" ht="15" customHeight="1" x14ac:dyDescent="0.3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4"/>
      <c r="V1038" s="22"/>
      <c r="W1038" s="5"/>
      <c r="X1038" s="5"/>
      <c r="Y1038" s="5"/>
      <c r="Z1038" s="5"/>
      <c r="AA1038" s="5"/>
      <c r="AB1038" s="5"/>
      <c r="AC1038" s="5"/>
      <c r="AD1038" s="5"/>
      <c r="AE1038" s="4"/>
      <c r="AF1038" s="5"/>
      <c r="AG1038" s="5"/>
      <c r="AH1038" s="5"/>
      <c r="AI1038" s="5"/>
      <c r="AJ1038" s="5"/>
      <c r="AK1038" s="5"/>
      <c r="AL1038" s="5"/>
      <c r="AM1038" s="5"/>
      <c r="AN1038" s="4"/>
      <c r="AO1038" s="5"/>
      <c r="AP1038" s="5"/>
      <c r="AQ1038" s="5"/>
      <c r="AR1038" s="22"/>
      <c r="AS1038" s="5"/>
      <c r="AT1038" s="5"/>
      <c r="AU1038" s="5"/>
      <c r="AV1038" s="5"/>
    </row>
    <row r="1039" spans="1:48" ht="15" customHeight="1" x14ac:dyDescent="0.3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4"/>
      <c r="V1039" s="22"/>
      <c r="W1039" s="5"/>
      <c r="X1039" s="5"/>
      <c r="Y1039" s="5"/>
      <c r="Z1039" s="5"/>
      <c r="AA1039" s="5"/>
      <c r="AB1039" s="5"/>
      <c r="AC1039" s="5"/>
      <c r="AD1039" s="5"/>
      <c r="AE1039" s="4"/>
      <c r="AF1039" s="5"/>
      <c r="AG1039" s="5"/>
      <c r="AH1039" s="5"/>
      <c r="AI1039" s="5"/>
      <c r="AJ1039" s="5"/>
      <c r="AK1039" s="5"/>
      <c r="AL1039" s="5"/>
      <c r="AM1039" s="5"/>
      <c r="AN1039" s="4"/>
      <c r="AO1039" s="5"/>
      <c r="AP1039" s="5"/>
      <c r="AQ1039" s="5"/>
      <c r="AR1039" s="22"/>
      <c r="AS1039" s="5"/>
      <c r="AT1039" s="5"/>
      <c r="AU1039" s="5"/>
      <c r="AV1039" s="5"/>
    </row>
    <row r="1040" spans="1:48" ht="15" customHeight="1" x14ac:dyDescent="0.3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4"/>
      <c r="V1040" s="22"/>
      <c r="W1040" s="5"/>
      <c r="X1040" s="5"/>
      <c r="Y1040" s="5"/>
      <c r="Z1040" s="5"/>
      <c r="AA1040" s="5"/>
      <c r="AB1040" s="5"/>
      <c r="AC1040" s="5"/>
      <c r="AD1040" s="5"/>
      <c r="AE1040" s="4"/>
      <c r="AF1040" s="5"/>
      <c r="AG1040" s="5"/>
      <c r="AH1040" s="5"/>
      <c r="AI1040" s="5"/>
      <c r="AJ1040" s="5"/>
      <c r="AK1040" s="5"/>
      <c r="AL1040" s="5"/>
      <c r="AM1040" s="5"/>
      <c r="AN1040" s="4"/>
      <c r="AO1040" s="5"/>
      <c r="AP1040" s="5"/>
      <c r="AQ1040" s="5"/>
      <c r="AR1040" s="22"/>
      <c r="AS1040" s="5"/>
      <c r="AT1040" s="5"/>
      <c r="AU1040" s="5"/>
      <c r="AV1040" s="5"/>
    </row>
    <row r="1041" spans="1:48" ht="15" customHeight="1" x14ac:dyDescent="0.3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4"/>
      <c r="V1041" s="22"/>
      <c r="W1041" s="5"/>
      <c r="X1041" s="5"/>
      <c r="Y1041" s="5"/>
      <c r="Z1041" s="5"/>
      <c r="AA1041" s="5"/>
      <c r="AB1041" s="5"/>
      <c r="AC1041" s="5"/>
      <c r="AD1041" s="5"/>
      <c r="AE1041" s="4"/>
      <c r="AF1041" s="5"/>
      <c r="AG1041" s="5"/>
      <c r="AH1041" s="5"/>
      <c r="AI1041" s="5"/>
      <c r="AJ1041" s="5"/>
      <c r="AK1041" s="5"/>
      <c r="AL1041" s="5"/>
      <c r="AM1041" s="5"/>
      <c r="AN1041" s="4"/>
      <c r="AO1041" s="5"/>
      <c r="AP1041" s="5"/>
      <c r="AQ1041" s="5"/>
      <c r="AR1041" s="22"/>
      <c r="AS1041" s="5"/>
      <c r="AT1041" s="5"/>
      <c r="AU1041" s="5"/>
      <c r="AV1041" s="5"/>
    </row>
    <row r="1042" spans="1:48" ht="15" customHeight="1" x14ac:dyDescent="0.3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4"/>
      <c r="V1042" s="22"/>
      <c r="W1042" s="5"/>
      <c r="X1042" s="5"/>
      <c r="Y1042" s="5"/>
      <c r="Z1042" s="5"/>
      <c r="AA1042" s="5"/>
      <c r="AB1042" s="5"/>
      <c r="AC1042" s="5"/>
      <c r="AD1042" s="5"/>
      <c r="AE1042" s="4"/>
      <c r="AF1042" s="5"/>
      <c r="AG1042" s="5"/>
      <c r="AH1042" s="5"/>
      <c r="AI1042" s="5"/>
      <c r="AJ1042" s="5"/>
      <c r="AK1042" s="5"/>
      <c r="AL1042" s="5"/>
      <c r="AM1042" s="5"/>
      <c r="AN1042" s="4"/>
      <c r="AO1042" s="5"/>
      <c r="AP1042" s="5"/>
      <c r="AQ1042" s="5"/>
      <c r="AR1042" s="22"/>
      <c r="AS1042" s="5"/>
      <c r="AT1042" s="5"/>
      <c r="AU1042" s="5"/>
      <c r="AV1042" s="5"/>
    </row>
    <row r="1043" spans="1:48" ht="15" customHeight="1" x14ac:dyDescent="0.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4"/>
      <c r="V1043" s="22"/>
      <c r="W1043" s="5"/>
      <c r="X1043" s="5"/>
      <c r="Y1043" s="5"/>
      <c r="Z1043" s="5"/>
      <c r="AA1043" s="5"/>
      <c r="AB1043" s="5"/>
      <c r="AC1043" s="5"/>
      <c r="AD1043" s="5"/>
      <c r="AE1043" s="4"/>
      <c r="AF1043" s="5"/>
      <c r="AG1043" s="5"/>
      <c r="AH1043" s="5"/>
      <c r="AI1043" s="5"/>
      <c r="AJ1043" s="5"/>
      <c r="AK1043" s="5"/>
      <c r="AL1043" s="5"/>
      <c r="AM1043" s="5"/>
      <c r="AN1043" s="4"/>
      <c r="AO1043" s="5"/>
      <c r="AP1043" s="5"/>
      <c r="AQ1043" s="5"/>
      <c r="AR1043" s="22"/>
      <c r="AS1043" s="5"/>
      <c r="AT1043" s="5"/>
      <c r="AU1043" s="5"/>
      <c r="AV1043" s="5"/>
    </row>
    <row r="1044" spans="1:48" ht="15" customHeight="1" x14ac:dyDescent="0.3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4"/>
      <c r="V1044" s="22"/>
      <c r="W1044" s="5"/>
      <c r="X1044" s="5"/>
      <c r="Y1044" s="5"/>
      <c r="Z1044" s="5"/>
      <c r="AA1044" s="5"/>
      <c r="AB1044" s="5"/>
      <c r="AC1044" s="5"/>
      <c r="AD1044" s="5"/>
      <c r="AE1044" s="4"/>
      <c r="AF1044" s="5"/>
      <c r="AG1044" s="5"/>
      <c r="AH1044" s="5"/>
      <c r="AI1044" s="5"/>
      <c r="AJ1044" s="5"/>
      <c r="AK1044" s="5"/>
      <c r="AL1044" s="5"/>
      <c r="AM1044" s="5"/>
      <c r="AN1044" s="4"/>
      <c r="AO1044" s="5"/>
      <c r="AP1044" s="5"/>
      <c r="AQ1044" s="5"/>
      <c r="AR1044" s="22"/>
      <c r="AS1044" s="5"/>
      <c r="AT1044" s="5"/>
      <c r="AU1044" s="5"/>
      <c r="AV1044" s="5"/>
    </row>
    <row r="1045" spans="1:48" ht="15" customHeight="1" x14ac:dyDescent="0.3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4"/>
      <c r="V1045" s="22"/>
      <c r="W1045" s="5"/>
      <c r="X1045" s="5"/>
      <c r="Y1045" s="5"/>
      <c r="Z1045" s="5"/>
      <c r="AA1045" s="5"/>
      <c r="AB1045" s="5"/>
      <c r="AC1045" s="5"/>
      <c r="AD1045" s="5"/>
      <c r="AE1045" s="4"/>
      <c r="AF1045" s="5"/>
      <c r="AG1045" s="5"/>
      <c r="AH1045" s="5"/>
      <c r="AI1045" s="5"/>
      <c r="AJ1045" s="5"/>
      <c r="AK1045" s="5"/>
      <c r="AL1045" s="5"/>
      <c r="AM1045" s="5"/>
      <c r="AN1045" s="4"/>
      <c r="AO1045" s="5"/>
      <c r="AP1045" s="5"/>
      <c r="AQ1045" s="5"/>
      <c r="AR1045" s="22"/>
      <c r="AS1045" s="5"/>
      <c r="AT1045" s="5"/>
      <c r="AU1045" s="5"/>
      <c r="AV1045" s="5"/>
    </row>
    <row r="1046" spans="1:48" ht="15" customHeight="1" x14ac:dyDescent="0.3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4"/>
      <c r="V1046" s="22"/>
      <c r="W1046" s="5"/>
      <c r="X1046" s="5"/>
      <c r="Y1046" s="5"/>
      <c r="Z1046" s="5"/>
      <c r="AA1046" s="5"/>
      <c r="AB1046" s="5"/>
      <c r="AC1046" s="5"/>
      <c r="AD1046" s="5"/>
      <c r="AE1046" s="4"/>
      <c r="AF1046" s="5"/>
      <c r="AG1046" s="5"/>
      <c r="AH1046" s="5"/>
      <c r="AI1046" s="5"/>
      <c r="AJ1046" s="5"/>
      <c r="AK1046" s="5"/>
      <c r="AL1046" s="5"/>
      <c r="AM1046" s="5"/>
      <c r="AN1046" s="4"/>
      <c r="AO1046" s="5"/>
      <c r="AP1046" s="5"/>
      <c r="AQ1046" s="5"/>
      <c r="AR1046" s="22"/>
      <c r="AS1046" s="5"/>
      <c r="AT1046" s="5"/>
      <c r="AU1046" s="5"/>
      <c r="AV1046" s="5"/>
    </row>
    <row r="1047" spans="1:48" ht="15" customHeight="1" x14ac:dyDescent="0.3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4"/>
      <c r="V1047" s="22"/>
      <c r="W1047" s="5"/>
      <c r="X1047" s="5"/>
      <c r="Y1047" s="5"/>
      <c r="Z1047" s="5"/>
      <c r="AA1047" s="5"/>
      <c r="AB1047" s="5"/>
      <c r="AC1047" s="5"/>
      <c r="AD1047" s="5"/>
      <c r="AE1047" s="4"/>
      <c r="AF1047" s="5"/>
      <c r="AG1047" s="5"/>
      <c r="AH1047" s="5"/>
      <c r="AI1047" s="5"/>
      <c r="AJ1047" s="5"/>
      <c r="AK1047" s="5"/>
      <c r="AL1047" s="5"/>
      <c r="AM1047" s="5"/>
      <c r="AN1047" s="4"/>
      <c r="AO1047" s="5"/>
      <c r="AP1047" s="5"/>
      <c r="AQ1047" s="5"/>
      <c r="AR1047" s="22"/>
      <c r="AS1047" s="5"/>
      <c r="AT1047" s="5"/>
      <c r="AU1047" s="5"/>
      <c r="AV1047" s="5"/>
    </row>
    <row r="1048" spans="1:48" ht="15" customHeight="1" x14ac:dyDescent="0.3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4"/>
      <c r="V1048" s="22"/>
      <c r="W1048" s="5"/>
      <c r="X1048" s="5"/>
      <c r="Y1048" s="5"/>
      <c r="Z1048" s="5"/>
      <c r="AA1048" s="5"/>
      <c r="AB1048" s="5"/>
      <c r="AC1048" s="5"/>
      <c r="AD1048" s="5"/>
      <c r="AE1048" s="4"/>
      <c r="AF1048" s="5"/>
      <c r="AG1048" s="5"/>
      <c r="AH1048" s="5"/>
      <c r="AI1048" s="5"/>
      <c r="AJ1048" s="5"/>
      <c r="AK1048" s="5"/>
      <c r="AL1048" s="5"/>
      <c r="AM1048" s="5"/>
      <c r="AN1048" s="4"/>
      <c r="AO1048" s="5"/>
      <c r="AP1048" s="5"/>
      <c r="AQ1048" s="5"/>
      <c r="AR1048" s="22"/>
      <c r="AS1048" s="5"/>
      <c r="AT1048" s="5"/>
      <c r="AU1048" s="5"/>
      <c r="AV1048" s="5"/>
    </row>
    <row r="1049" spans="1:48" ht="15" customHeight="1" x14ac:dyDescent="0.3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4"/>
      <c r="V1049" s="22"/>
      <c r="W1049" s="5"/>
      <c r="X1049" s="5"/>
      <c r="Y1049" s="5"/>
      <c r="Z1049" s="5"/>
      <c r="AA1049" s="5"/>
      <c r="AB1049" s="5"/>
      <c r="AC1049" s="5"/>
      <c r="AD1049" s="5"/>
      <c r="AE1049" s="4"/>
      <c r="AF1049" s="5"/>
      <c r="AG1049" s="5"/>
      <c r="AH1049" s="5"/>
      <c r="AI1049" s="5"/>
      <c r="AJ1049" s="5"/>
      <c r="AK1049" s="5"/>
      <c r="AL1049" s="5"/>
      <c r="AM1049" s="5"/>
      <c r="AN1049" s="4"/>
      <c r="AO1049" s="5"/>
      <c r="AP1049" s="5"/>
      <c r="AQ1049" s="5"/>
      <c r="AR1049" s="22"/>
      <c r="AS1049" s="5"/>
      <c r="AT1049" s="5"/>
      <c r="AU1049" s="5"/>
      <c r="AV1049" s="5"/>
    </row>
    <row r="1050" spans="1:48" ht="15" customHeight="1" x14ac:dyDescent="0.3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4"/>
      <c r="V1050" s="22"/>
      <c r="W1050" s="5"/>
      <c r="X1050" s="5"/>
      <c r="Y1050" s="5"/>
      <c r="Z1050" s="5"/>
      <c r="AA1050" s="5"/>
      <c r="AB1050" s="5"/>
      <c r="AC1050" s="5"/>
      <c r="AD1050" s="5"/>
      <c r="AE1050" s="4"/>
      <c r="AF1050" s="5"/>
      <c r="AG1050" s="5"/>
      <c r="AH1050" s="5"/>
      <c r="AI1050" s="5"/>
      <c r="AJ1050" s="5"/>
      <c r="AK1050" s="5"/>
      <c r="AL1050" s="5"/>
      <c r="AM1050" s="5"/>
      <c r="AN1050" s="4"/>
      <c r="AO1050" s="5"/>
      <c r="AP1050" s="5"/>
      <c r="AQ1050" s="5"/>
      <c r="AR1050" s="22"/>
      <c r="AS1050" s="5"/>
      <c r="AT1050" s="5"/>
      <c r="AU1050" s="5"/>
      <c r="AV1050" s="5"/>
    </row>
    <row r="1051" spans="1:48" ht="15" customHeight="1" x14ac:dyDescent="0.3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4"/>
      <c r="V1051" s="22"/>
      <c r="W1051" s="5"/>
      <c r="X1051" s="5"/>
      <c r="Y1051" s="5"/>
      <c r="Z1051" s="5"/>
      <c r="AA1051" s="5"/>
      <c r="AB1051" s="5"/>
      <c r="AC1051" s="5"/>
      <c r="AD1051" s="5"/>
      <c r="AE1051" s="4"/>
      <c r="AF1051" s="5"/>
      <c r="AG1051" s="5"/>
      <c r="AH1051" s="5"/>
      <c r="AI1051" s="5"/>
      <c r="AJ1051" s="5"/>
      <c r="AK1051" s="5"/>
      <c r="AL1051" s="5"/>
      <c r="AM1051" s="5"/>
      <c r="AN1051" s="4"/>
      <c r="AO1051" s="5"/>
      <c r="AP1051" s="5"/>
      <c r="AQ1051" s="5"/>
      <c r="AR1051" s="22"/>
      <c r="AS1051" s="5"/>
      <c r="AT1051" s="5"/>
      <c r="AU1051" s="5"/>
      <c r="AV1051" s="5"/>
    </row>
    <row r="1052" spans="1:48" ht="15" customHeight="1" x14ac:dyDescent="0.3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4"/>
      <c r="V1052" s="22"/>
      <c r="W1052" s="5"/>
      <c r="X1052" s="5"/>
      <c r="Y1052" s="5"/>
      <c r="Z1052" s="5"/>
      <c r="AA1052" s="5"/>
      <c r="AB1052" s="5"/>
      <c r="AC1052" s="5"/>
      <c r="AD1052" s="5"/>
      <c r="AE1052" s="4"/>
      <c r="AF1052" s="5"/>
      <c r="AG1052" s="5"/>
      <c r="AH1052" s="5"/>
      <c r="AI1052" s="5"/>
      <c r="AJ1052" s="5"/>
      <c r="AK1052" s="5"/>
      <c r="AL1052" s="5"/>
      <c r="AM1052" s="5"/>
      <c r="AN1052" s="4"/>
      <c r="AO1052" s="5"/>
      <c r="AP1052" s="5"/>
      <c r="AQ1052" s="5"/>
      <c r="AR1052" s="22"/>
      <c r="AS1052" s="5"/>
      <c r="AT1052" s="5"/>
      <c r="AU1052" s="5"/>
      <c r="AV1052" s="5"/>
    </row>
    <row r="1053" spans="1:48" ht="15" customHeight="1" x14ac:dyDescent="0.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4"/>
      <c r="V1053" s="22"/>
      <c r="W1053" s="5"/>
      <c r="X1053" s="5"/>
      <c r="Y1053" s="5"/>
      <c r="Z1053" s="5"/>
      <c r="AA1053" s="5"/>
      <c r="AB1053" s="5"/>
      <c r="AC1053" s="5"/>
      <c r="AD1053" s="5"/>
      <c r="AE1053" s="4"/>
      <c r="AF1053" s="5"/>
      <c r="AG1053" s="5"/>
      <c r="AH1053" s="5"/>
      <c r="AI1053" s="5"/>
      <c r="AJ1053" s="5"/>
      <c r="AK1053" s="5"/>
      <c r="AL1053" s="5"/>
      <c r="AM1053" s="5"/>
      <c r="AN1053" s="4"/>
      <c r="AO1053" s="5"/>
      <c r="AP1053" s="5"/>
      <c r="AQ1053" s="5"/>
      <c r="AR1053" s="22"/>
      <c r="AS1053" s="5"/>
      <c r="AT1053" s="5"/>
      <c r="AU1053" s="5"/>
      <c r="AV1053" s="5"/>
    </row>
    <row r="1054" spans="1:48" ht="15" customHeight="1" x14ac:dyDescent="0.3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4"/>
      <c r="V1054" s="22"/>
      <c r="W1054" s="5"/>
      <c r="X1054" s="5"/>
      <c r="Y1054" s="5"/>
      <c r="Z1054" s="5"/>
      <c r="AA1054" s="5"/>
      <c r="AB1054" s="5"/>
      <c r="AC1054" s="5"/>
      <c r="AD1054" s="5"/>
      <c r="AE1054" s="4"/>
      <c r="AF1054" s="5"/>
      <c r="AG1054" s="5"/>
      <c r="AH1054" s="5"/>
      <c r="AI1054" s="5"/>
      <c r="AJ1054" s="5"/>
      <c r="AK1054" s="5"/>
      <c r="AL1054" s="5"/>
      <c r="AM1054" s="5"/>
      <c r="AN1054" s="4"/>
      <c r="AO1054" s="5"/>
      <c r="AP1054" s="5"/>
      <c r="AQ1054" s="5"/>
      <c r="AR1054" s="22"/>
      <c r="AS1054" s="5"/>
      <c r="AT1054" s="5"/>
      <c r="AU1054" s="5"/>
      <c r="AV1054" s="5"/>
    </row>
    <row r="1055" spans="1:48" ht="15" customHeight="1" x14ac:dyDescent="0.3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4"/>
      <c r="V1055" s="22"/>
      <c r="W1055" s="5"/>
      <c r="X1055" s="5"/>
      <c r="Y1055" s="5"/>
      <c r="Z1055" s="5"/>
      <c r="AA1055" s="5"/>
      <c r="AB1055" s="5"/>
      <c r="AC1055" s="5"/>
      <c r="AD1055" s="5"/>
      <c r="AE1055" s="4"/>
      <c r="AF1055" s="5"/>
      <c r="AG1055" s="5"/>
      <c r="AH1055" s="5"/>
      <c r="AI1055" s="5"/>
      <c r="AJ1055" s="5"/>
      <c r="AK1055" s="5"/>
      <c r="AL1055" s="5"/>
      <c r="AM1055" s="5"/>
      <c r="AN1055" s="4"/>
      <c r="AO1055" s="5"/>
      <c r="AP1055" s="5"/>
      <c r="AQ1055" s="5"/>
      <c r="AR1055" s="22"/>
      <c r="AS1055" s="5"/>
      <c r="AT1055" s="5"/>
      <c r="AU1055" s="5"/>
      <c r="AV1055" s="5"/>
    </row>
    <row r="1056" spans="1:48" ht="15" customHeight="1" x14ac:dyDescent="0.3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4"/>
      <c r="V1056" s="22"/>
      <c r="W1056" s="5"/>
      <c r="X1056" s="5"/>
      <c r="Y1056" s="5"/>
      <c r="Z1056" s="5"/>
      <c r="AA1056" s="5"/>
      <c r="AB1056" s="5"/>
      <c r="AC1056" s="5"/>
      <c r="AD1056" s="5"/>
      <c r="AE1056" s="4"/>
      <c r="AF1056" s="5"/>
      <c r="AG1056" s="5"/>
      <c r="AH1056" s="5"/>
      <c r="AI1056" s="5"/>
      <c r="AJ1056" s="5"/>
      <c r="AK1056" s="5"/>
      <c r="AL1056" s="5"/>
      <c r="AM1056" s="5"/>
      <c r="AN1056" s="4"/>
      <c r="AO1056" s="5"/>
      <c r="AP1056" s="5"/>
      <c r="AQ1056" s="5"/>
      <c r="AR1056" s="22"/>
      <c r="AS1056" s="5"/>
      <c r="AT1056" s="5"/>
      <c r="AU1056" s="5"/>
      <c r="AV1056" s="5"/>
    </row>
    <row r="1057" spans="1:48" ht="15" customHeight="1" x14ac:dyDescent="0.3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4"/>
      <c r="V1057" s="22"/>
      <c r="W1057" s="5"/>
      <c r="X1057" s="5"/>
      <c r="Y1057" s="5"/>
      <c r="Z1057" s="5"/>
      <c r="AA1057" s="5"/>
      <c r="AB1057" s="5"/>
      <c r="AC1057" s="5"/>
      <c r="AD1057" s="5"/>
      <c r="AE1057" s="4"/>
      <c r="AF1057" s="5"/>
      <c r="AG1057" s="5"/>
      <c r="AH1057" s="5"/>
      <c r="AI1057" s="5"/>
      <c r="AJ1057" s="5"/>
      <c r="AK1057" s="5"/>
      <c r="AL1057" s="5"/>
      <c r="AM1057" s="5"/>
      <c r="AN1057" s="4"/>
      <c r="AO1057" s="5"/>
      <c r="AP1057" s="5"/>
      <c r="AQ1057" s="5"/>
      <c r="AR1057" s="22"/>
      <c r="AS1057" s="5"/>
      <c r="AT1057" s="5"/>
      <c r="AU1057" s="5"/>
      <c r="AV1057" s="5"/>
    </row>
    <row r="1058" spans="1:48" ht="15" customHeight="1" x14ac:dyDescent="0.3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4"/>
      <c r="V1058" s="22"/>
      <c r="W1058" s="5"/>
      <c r="X1058" s="5"/>
      <c r="Y1058" s="5"/>
      <c r="Z1058" s="5"/>
      <c r="AA1058" s="5"/>
      <c r="AB1058" s="5"/>
      <c r="AC1058" s="5"/>
      <c r="AD1058" s="5"/>
      <c r="AE1058" s="4"/>
      <c r="AF1058" s="5"/>
      <c r="AG1058" s="5"/>
      <c r="AH1058" s="5"/>
      <c r="AI1058" s="5"/>
      <c r="AJ1058" s="5"/>
      <c r="AK1058" s="5"/>
      <c r="AL1058" s="5"/>
      <c r="AM1058" s="5"/>
      <c r="AN1058" s="4"/>
      <c r="AO1058" s="5"/>
      <c r="AP1058" s="5"/>
      <c r="AQ1058" s="5"/>
      <c r="AR1058" s="22"/>
      <c r="AS1058" s="5"/>
      <c r="AT1058" s="5"/>
      <c r="AU1058" s="5"/>
      <c r="AV1058" s="5"/>
    </row>
    <row r="1059" spans="1:48" ht="15" customHeight="1" x14ac:dyDescent="0.3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4"/>
      <c r="V1059" s="22"/>
      <c r="W1059" s="5"/>
      <c r="X1059" s="5"/>
      <c r="Y1059" s="5"/>
      <c r="Z1059" s="5"/>
      <c r="AA1059" s="5"/>
      <c r="AB1059" s="5"/>
      <c r="AC1059" s="5"/>
      <c r="AD1059" s="5"/>
      <c r="AE1059" s="4"/>
      <c r="AF1059" s="5"/>
      <c r="AG1059" s="5"/>
      <c r="AH1059" s="5"/>
      <c r="AI1059" s="5"/>
      <c r="AJ1059" s="5"/>
      <c r="AK1059" s="5"/>
      <c r="AL1059" s="5"/>
      <c r="AM1059" s="5"/>
      <c r="AN1059" s="4"/>
      <c r="AO1059" s="5"/>
      <c r="AP1059" s="5"/>
      <c r="AQ1059" s="5"/>
      <c r="AR1059" s="22"/>
      <c r="AS1059" s="5"/>
      <c r="AT1059" s="5"/>
      <c r="AU1059" s="5"/>
      <c r="AV1059" s="5"/>
    </row>
    <row r="1060" spans="1:48" ht="15" customHeight="1" x14ac:dyDescent="0.3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4"/>
      <c r="V1060" s="22"/>
      <c r="W1060" s="5"/>
      <c r="X1060" s="5"/>
      <c r="Y1060" s="5"/>
      <c r="Z1060" s="5"/>
      <c r="AA1060" s="5"/>
      <c r="AB1060" s="5"/>
      <c r="AC1060" s="5"/>
      <c r="AD1060" s="5"/>
      <c r="AE1060" s="4"/>
      <c r="AF1060" s="5"/>
      <c r="AG1060" s="5"/>
      <c r="AH1060" s="5"/>
      <c r="AI1060" s="5"/>
      <c r="AJ1060" s="5"/>
      <c r="AK1060" s="5"/>
      <c r="AL1060" s="5"/>
      <c r="AM1060" s="5"/>
      <c r="AN1060" s="4"/>
      <c r="AO1060" s="5"/>
      <c r="AP1060" s="5"/>
      <c r="AQ1060" s="5"/>
      <c r="AR1060" s="22"/>
      <c r="AS1060" s="5"/>
      <c r="AT1060" s="5"/>
      <c r="AU1060" s="5"/>
      <c r="AV1060" s="5"/>
    </row>
    <row r="1061" spans="1:48" ht="15" customHeight="1" x14ac:dyDescent="0.3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4"/>
      <c r="V1061" s="22"/>
      <c r="W1061" s="5"/>
      <c r="X1061" s="5"/>
      <c r="Y1061" s="5"/>
      <c r="Z1061" s="5"/>
      <c r="AA1061" s="5"/>
      <c r="AB1061" s="5"/>
      <c r="AC1061" s="5"/>
      <c r="AD1061" s="5"/>
      <c r="AE1061" s="4"/>
      <c r="AF1061" s="5"/>
      <c r="AG1061" s="5"/>
      <c r="AH1061" s="5"/>
      <c r="AI1061" s="5"/>
      <c r="AJ1061" s="5"/>
      <c r="AK1061" s="5"/>
      <c r="AL1061" s="5"/>
      <c r="AM1061" s="5"/>
      <c r="AN1061" s="4"/>
      <c r="AO1061" s="5"/>
      <c r="AP1061" s="5"/>
      <c r="AQ1061" s="5"/>
      <c r="AR1061" s="22"/>
      <c r="AS1061" s="5"/>
      <c r="AT1061" s="5"/>
      <c r="AU1061" s="5"/>
      <c r="AV1061" s="5"/>
    </row>
    <row r="1062" spans="1:48" ht="15" customHeight="1" x14ac:dyDescent="0.3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4"/>
      <c r="V1062" s="22"/>
      <c r="W1062" s="5"/>
      <c r="X1062" s="5"/>
      <c r="Y1062" s="5"/>
      <c r="Z1062" s="5"/>
      <c r="AA1062" s="5"/>
      <c r="AB1062" s="5"/>
      <c r="AC1062" s="5"/>
      <c r="AD1062" s="5"/>
      <c r="AE1062" s="4"/>
      <c r="AF1062" s="5"/>
      <c r="AG1062" s="5"/>
      <c r="AH1062" s="5"/>
      <c r="AI1062" s="5"/>
      <c r="AJ1062" s="5"/>
      <c r="AK1062" s="5"/>
      <c r="AL1062" s="5"/>
      <c r="AM1062" s="5"/>
      <c r="AN1062" s="4"/>
      <c r="AO1062" s="5"/>
      <c r="AP1062" s="5"/>
      <c r="AQ1062" s="5"/>
      <c r="AR1062" s="22"/>
      <c r="AS1062" s="5"/>
      <c r="AT1062" s="5"/>
      <c r="AU1062" s="5"/>
      <c r="AV1062" s="5"/>
    </row>
    <row r="1063" spans="1:48" ht="15" customHeight="1" x14ac:dyDescent="0.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4"/>
      <c r="V1063" s="22"/>
      <c r="W1063" s="5"/>
      <c r="X1063" s="5"/>
      <c r="Y1063" s="5"/>
      <c r="Z1063" s="5"/>
      <c r="AA1063" s="5"/>
      <c r="AB1063" s="5"/>
      <c r="AC1063" s="5"/>
      <c r="AD1063" s="5"/>
      <c r="AE1063" s="4"/>
      <c r="AF1063" s="5"/>
      <c r="AG1063" s="5"/>
      <c r="AH1063" s="5"/>
      <c r="AI1063" s="5"/>
      <c r="AJ1063" s="5"/>
      <c r="AK1063" s="5"/>
      <c r="AL1063" s="5"/>
      <c r="AM1063" s="5"/>
      <c r="AN1063" s="4"/>
      <c r="AO1063" s="5"/>
      <c r="AP1063" s="5"/>
      <c r="AQ1063" s="5"/>
      <c r="AR1063" s="22"/>
      <c r="AS1063" s="5"/>
      <c r="AT1063" s="5"/>
      <c r="AU1063" s="5"/>
      <c r="AV1063" s="5"/>
    </row>
    <row r="1064" spans="1:48" ht="15" customHeight="1" x14ac:dyDescent="0.3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4"/>
      <c r="V1064" s="22"/>
      <c r="W1064" s="5"/>
      <c r="X1064" s="5"/>
      <c r="Y1064" s="5"/>
      <c r="Z1064" s="5"/>
      <c r="AA1064" s="5"/>
      <c r="AB1064" s="5"/>
      <c r="AC1064" s="5"/>
      <c r="AD1064" s="5"/>
      <c r="AE1064" s="4"/>
      <c r="AF1064" s="5"/>
      <c r="AG1064" s="5"/>
      <c r="AH1064" s="5"/>
      <c r="AI1064" s="5"/>
      <c r="AJ1064" s="5"/>
      <c r="AK1064" s="5"/>
      <c r="AL1064" s="5"/>
      <c r="AM1064" s="5"/>
      <c r="AN1064" s="4"/>
      <c r="AO1064" s="5"/>
      <c r="AP1064" s="5"/>
      <c r="AQ1064" s="5"/>
      <c r="AR1064" s="22"/>
      <c r="AS1064" s="5"/>
      <c r="AT1064" s="5"/>
      <c r="AU1064" s="5"/>
      <c r="AV1064" s="5"/>
    </row>
    <row r="1065" spans="1:48" ht="15" customHeight="1" x14ac:dyDescent="0.3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4"/>
      <c r="V1065" s="22"/>
      <c r="W1065" s="5"/>
      <c r="X1065" s="5"/>
      <c r="Y1065" s="5"/>
      <c r="Z1065" s="5"/>
      <c r="AA1065" s="5"/>
      <c r="AB1065" s="5"/>
      <c r="AC1065" s="5"/>
      <c r="AD1065" s="5"/>
      <c r="AE1065" s="4"/>
      <c r="AF1065" s="5"/>
      <c r="AG1065" s="5"/>
      <c r="AH1065" s="5"/>
      <c r="AI1065" s="5"/>
      <c r="AJ1065" s="5"/>
      <c r="AK1065" s="5"/>
      <c r="AL1065" s="5"/>
      <c r="AM1065" s="5"/>
      <c r="AN1065" s="4"/>
      <c r="AO1065" s="5"/>
      <c r="AP1065" s="5"/>
      <c r="AQ1065" s="5"/>
      <c r="AR1065" s="22"/>
      <c r="AS1065" s="5"/>
      <c r="AT1065" s="5"/>
      <c r="AU1065" s="5"/>
      <c r="AV1065" s="5"/>
    </row>
    <row r="1066" spans="1:48" ht="15" customHeight="1" x14ac:dyDescent="0.3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4"/>
      <c r="V1066" s="22"/>
      <c r="W1066" s="5"/>
      <c r="X1066" s="5"/>
      <c r="Y1066" s="5"/>
      <c r="Z1066" s="5"/>
      <c r="AA1066" s="5"/>
      <c r="AB1066" s="5"/>
      <c r="AC1066" s="5"/>
      <c r="AD1066" s="5"/>
      <c r="AE1066" s="4"/>
      <c r="AF1066" s="5"/>
      <c r="AG1066" s="5"/>
      <c r="AH1066" s="5"/>
      <c r="AI1066" s="5"/>
      <c r="AJ1066" s="5"/>
      <c r="AK1066" s="5"/>
      <c r="AL1066" s="5"/>
      <c r="AM1066" s="5"/>
      <c r="AN1066" s="4"/>
      <c r="AO1066" s="5"/>
      <c r="AP1066" s="5"/>
      <c r="AQ1066" s="5"/>
      <c r="AR1066" s="22"/>
      <c r="AS1066" s="5"/>
      <c r="AT1066" s="5"/>
      <c r="AU1066" s="5"/>
      <c r="AV1066" s="5"/>
    </row>
    <row r="1067" spans="1:48" ht="15" customHeight="1" x14ac:dyDescent="0.3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4"/>
      <c r="V1067" s="22"/>
      <c r="W1067" s="5"/>
      <c r="X1067" s="5"/>
      <c r="Y1067" s="5"/>
      <c r="Z1067" s="5"/>
      <c r="AA1067" s="5"/>
      <c r="AB1067" s="5"/>
      <c r="AC1067" s="5"/>
      <c r="AD1067" s="5"/>
      <c r="AE1067" s="4"/>
      <c r="AF1067" s="5"/>
      <c r="AG1067" s="5"/>
      <c r="AH1067" s="5"/>
      <c r="AI1067" s="5"/>
      <c r="AJ1067" s="5"/>
      <c r="AK1067" s="5"/>
      <c r="AL1067" s="5"/>
      <c r="AM1067" s="5"/>
      <c r="AN1067" s="4"/>
      <c r="AO1067" s="5"/>
      <c r="AP1067" s="5"/>
      <c r="AQ1067" s="5"/>
      <c r="AR1067" s="22"/>
      <c r="AS1067" s="5"/>
      <c r="AT1067" s="5"/>
      <c r="AU1067" s="5"/>
      <c r="AV1067" s="5"/>
    </row>
    <row r="1068" spans="1:48" ht="15" customHeight="1" x14ac:dyDescent="0.3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4"/>
      <c r="V1068" s="22"/>
      <c r="W1068" s="5"/>
      <c r="X1068" s="5"/>
      <c r="Y1068" s="5"/>
      <c r="Z1068" s="5"/>
      <c r="AA1068" s="5"/>
      <c r="AB1068" s="5"/>
      <c r="AC1068" s="5"/>
      <c r="AD1068" s="5"/>
      <c r="AE1068" s="4"/>
      <c r="AF1068" s="5"/>
      <c r="AG1068" s="5"/>
      <c r="AH1068" s="5"/>
      <c r="AI1068" s="5"/>
      <c r="AJ1068" s="5"/>
      <c r="AK1068" s="5"/>
      <c r="AL1068" s="5"/>
      <c r="AM1068" s="5"/>
      <c r="AN1068" s="4"/>
      <c r="AO1068" s="5"/>
      <c r="AP1068" s="5"/>
      <c r="AQ1068" s="5"/>
      <c r="AR1068" s="22"/>
      <c r="AS1068" s="5"/>
      <c r="AT1068" s="5"/>
      <c r="AU1068" s="5"/>
      <c r="AV1068" s="5"/>
    </row>
    <row r="1069" spans="1:48" ht="15" customHeight="1" x14ac:dyDescent="0.3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4"/>
      <c r="V1069" s="22"/>
      <c r="W1069" s="5"/>
      <c r="X1069" s="5"/>
      <c r="Y1069" s="5"/>
      <c r="Z1069" s="5"/>
      <c r="AA1069" s="5"/>
      <c r="AB1069" s="5"/>
      <c r="AC1069" s="5"/>
      <c r="AD1069" s="5"/>
      <c r="AE1069" s="4"/>
      <c r="AF1069" s="5"/>
      <c r="AG1069" s="5"/>
      <c r="AH1069" s="5"/>
      <c r="AI1069" s="5"/>
      <c r="AJ1069" s="5"/>
      <c r="AK1069" s="5"/>
      <c r="AL1069" s="5"/>
      <c r="AM1069" s="5"/>
      <c r="AN1069" s="4"/>
      <c r="AO1069" s="5"/>
      <c r="AP1069" s="5"/>
      <c r="AQ1069" s="5"/>
      <c r="AR1069" s="22"/>
      <c r="AS1069" s="5"/>
      <c r="AT1069" s="5"/>
      <c r="AU1069" s="5"/>
      <c r="AV1069" s="5"/>
    </row>
    <row r="1070" spans="1:48" ht="15" customHeight="1" x14ac:dyDescent="0.3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4"/>
      <c r="V1070" s="22"/>
      <c r="W1070" s="5"/>
      <c r="X1070" s="5"/>
      <c r="Y1070" s="5"/>
      <c r="Z1070" s="5"/>
      <c r="AA1070" s="5"/>
      <c r="AB1070" s="5"/>
      <c r="AC1070" s="5"/>
      <c r="AD1070" s="5"/>
      <c r="AE1070" s="4"/>
      <c r="AF1070" s="5"/>
      <c r="AG1070" s="5"/>
      <c r="AH1070" s="5"/>
      <c r="AI1070" s="5"/>
      <c r="AJ1070" s="5"/>
      <c r="AK1070" s="5"/>
      <c r="AL1070" s="5"/>
      <c r="AM1070" s="5"/>
      <c r="AN1070" s="4"/>
      <c r="AO1070" s="5"/>
      <c r="AP1070" s="5"/>
      <c r="AQ1070" s="5"/>
      <c r="AR1070" s="22"/>
      <c r="AS1070" s="5"/>
      <c r="AT1070" s="5"/>
      <c r="AU1070" s="5"/>
      <c r="AV1070" s="5"/>
    </row>
    <row r="1071" spans="1:48" ht="15" customHeight="1" x14ac:dyDescent="0.3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4"/>
      <c r="V1071" s="22"/>
      <c r="W1071" s="5"/>
      <c r="X1071" s="5"/>
      <c r="Y1071" s="5"/>
      <c r="Z1071" s="5"/>
      <c r="AA1071" s="5"/>
      <c r="AB1071" s="5"/>
      <c r="AC1071" s="5"/>
      <c r="AD1071" s="5"/>
      <c r="AE1071" s="4"/>
      <c r="AF1071" s="5"/>
      <c r="AG1071" s="5"/>
      <c r="AH1071" s="5"/>
      <c r="AI1071" s="5"/>
      <c r="AJ1071" s="5"/>
      <c r="AK1071" s="5"/>
      <c r="AL1071" s="5"/>
      <c r="AM1071" s="5"/>
      <c r="AN1071" s="4"/>
      <c r="AO1071" s="5"/>
      <c r="AP1071" s="5"/>
      <c r="AQ1071" s="5"/>
      <c r="AR1071" s="22"/>
      <c r="AS1071" s="5"/>
      <c r="AT1071" s="5"/>
      <c r="AU1071" s="5"/>
      <c r="AV1071" s="5"/>
    </row>
    <row r="1072" spans="1:48" ht="15" customHeight="1" x14ac:dyDescent="0.3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4"/>
      <c r="V1072" s="22"/>
      <c r="W1072" s="5"/>
      <c r="X1072" s="5"/>
      <c r="Y1072" s="5"/>
      <c r="Z1072" s="5"/>
      <c r="AA1072" s="5"/>
      <c r="AB1072" s="5"/>
      <c r="AC1072" s="5"/>
      <c r="AD1072" s="5"/>
      <c r="AE1072" s="4"/>
      <c r="AF1072" s="5"/>
      <c r="AG1072" s="5"/>
      <c r="AH1072" s="5"/>
      <c r="AI1072" s="5"/>
      <c r="AJ1072" s="5"/>
      <c r="AK1072" s="5"/>
      <c r="AL1072" s="5"/>
      <c r="AM1072" s="5"/>
      <c r="AN1072" s="4"/>
      <c r="AO1072" s="5"/>
      <c r="AP1072" s="5"/>
      <c r="AQ1072" s="5"/>
      <c r="AR1072" s="22"/>
      <c r="AS1072" s="5"/>
      <c r="AT1072" s="5"/>
      <c r="AU1072" s="5"/>
      <c r="AV1072" s="5"/>
    </row>
    <row r="1073" spans="1:48" ht="15" customHeight="1" x14ac:dyDescent="0.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4"/>
      <c r="V1073" s="22"/>
      <c r="W1073" s="5"/>
      <c r="X1073" s="5"/>
      <c r="Y1073" s="5"/>
      <c r="Z1073" s="5"/>
      <c r="AA1073" s="5"/>
      <c r="AB1073" s="5"/>
      <c r="AC1073" s="5"/>
      <c r="AD1073" s="5"/>
      <c r="AE1073" s="4"/>
      <c r="AF1073" s="5"/>
      <c r="AG1073" s="5"/>
      <c r="AH1073" s="5"/>
      <c r="AI1073" s="5"/>
      <c r="AJ1073" s="5"/>
      <c r="AK1073" s="5"/>
      <c r="AL1073" s="5"/>
      <c r="AM1073" s="5"/>
      <c r="AN1073" s="4"/>
      <c r="AO1073" s="5"/>
      <c r="AP1073" s="5"/>
      <c r="AQ1073" s="5"/>
      <c r="AR1073" s="22"/>
      <c r="AS1073" s="5"/>
      <c r="AT1073" s="5"/>
      <c r="AU1073" s="5"/>
      <c r="AV1073" s="5"/>
    </row>
    <row r="1074" spans="1:48" ht="15" customHeight="1" x14ac:dyDescent="0.3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4"/>
      <c r="V1074" s="22"/>
      <c r="W1074" s="5"/>
      <c r="X1074" s="5"/>
      <c r="Y1074" s="5"/>
      <c r="Z1074" s="5"/>
      <c r="AA1074" s="5"/>
      <c r="AB1074" s="5"/>
      <c r="AC1074" s="5"/>
      <c r="AD1074" s="5"/>
      <c r="AE1074" s="4"/>
      <c r="AF1074" s="5"/>
      <c r="AG1074" s="5"/>
      <c r="AH1074" s="5"/>
      <c r="AI1074" s="5"/>
      <c r="AJ1074" s="5"/>
      <c r="AK1074" s="5"/>
      <c r="AL1074" s="5"/>
      <c r="AM1074" s="5"/>
      <c r="AN1074" s="4"/>
      <c r="AO1074" s="5"/>
      <c r="AP1074" s="5"/>
      <c r="AQ1074" s="5"/>
      <c r="AR1074" s="22"/>
      <c r="AS1074" s="5"/>
      <c r="AT1074" s="5"/>
      <c r="AU1074" s="5"/>
      <c r="AV1074" s="5"/>
    </row>
    <row r="1075" spans="1:48" ht="15" customHeight="1" x14ac:dyDescent="0.3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4"/>
      <c r="V1075" s="22"/>
      <c r="W1075" s="5"/>
      <c r="X1075" s="5"/>
      <c r="Y1075" s="5"/>
      <c r="Z1075" s="5"/>
      <c r="AA1075" s="5"/>
      <c r="AB1075" s="5"/>
      <c r="AC1075" s="5"/>
      <c r="AD1075" s="5"/>
      <c r="AE1075" s="4"/>
      <c r="AF1075" s="5"/>
      <c r="AG1075" s="5"/>
      <c r="AH1075" s="5"/>
      <c r="AI1075" s="5"/>
      <c r="AJ1075" s="5"/>
      <c r="AK1075" s="5"/>
      <c r="AL1075" s="5"/>
      <c r="AM1075" s="5"/>
      <c r="AN1075" s="4"/>
      <c r="AO1075" s="5"/>
      <c r="AP1075" s="5"/>
      <c r="AQ1075" s="5"/>
      <c r="AR1075" s="22"/>
      <c r="AS1075" s="5"/>
      <c r="AT1075" s="5"/>
      <c r="AU1075" s="5"/>
      <c r="AV1075" s="5"/>
    </row>
    <row r="1076" spans="1:48" ht="15" customHeight="1" x14ac:dyDescent="0.3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4"/>
      <c r="V1076" s="22"/>
      <c r="W1076" s="5"/>
      <c r="X1076" s="5"/>
      <c r="Y1076" s="5"/>
      <c r="Z1076" s="5"/>
      <c r="AA1076" s="5"/>
      <c r="AB1076" s="5"/>
      <c r="AC1076" s="5"/>
      <c r="AD1076" s="5"/>
      <c r="AE1076" s="4"/>
      <c r="AF1076" s="5"/>
      <c r="AG1076" s="5"/>
      <c r="AH1076" s="5"/>
      <c r="AI1076" s="5"/>
      <c r="AJ1076" s="5"/>
      <c r="AK1076" s="5"/>
      <c r="AL1076" s="5"/>
      <c r="AM1076" s="5"/>
      <c r="AN1076" s="4"/>
      <c r="AO1076" s="5"/>
      <c r="AP1076" s="5"/>
      <c r="AQ1076" s="5"/>
      <c r="AR1076" s="22"/>
      <c r="AS1076" s="5"/>
      <c r="AT1076" s="5"/>
      <c r="AU1076" s="5"/>
      <c r="AV1076" s="5"/>
    </row>
    <row r="1077" spans="1:48" ht="15" customHeight="1" x14ac:dyDescent="0.3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4"/>
      <c r="V1077" s="22"/>
      <c r="W1077" s="5"/>
      <c r="X1077" s="5"/>
      <c r="Y1077" s="5"/>
      <c r="Z1077" s="5"/>
      <c r="AA1077" s="5"/>
      <c r="AB1077" s="5"/>
      <c r="AC1077" s="5"/>
      <c r="AD1077" s="5"/>
      <c r="AE1077" s="4"/>
      <c r="AF1077" s="5"/>
      <c r="AG1077" s="5"/>
      <c r="AH1077" s="5"/>
      <c r="AI1077" s="5"/>
      <c r="AJ1077" s="5"/>
      <c r="AK1077" s="5"/>
      <c r="AL1077" s="5"/>
      <c r="AM1077" s="5"/>
      <c r="AN1077" s="4"/>
      <c r="AO1077" s="5"/>
      <c r="AP1077" s="5"/>
      <c r="AQ1077" s="5"/>
      <c r="AR1077" s="22"/>
      <c r="AS1077" s="5"/>
      <c r="AT1077" s="5"/>
      <c r="AU1077" s="5"/>
      <c r="AV1077" s="5"/>
    </row>
    <row r="1078" spans="1:48" ht="15" customHeight="1" x14ac:dyDescent="0.3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4"/>
      <c r="V1078" s="22"/>
      <c r="W1078" s="5"/>
      <c r="X1078" s="5"/>
      <c r="Y1078" s="5"/>
      <c r="Z1078" s="5"/>
      <c r="AA1078" s="5"/>
      <c r="AB1078" s="5"/>
      <c r="AC1078" s="5"/>
      <c r="AD1078" s="5"/>
      <c r="AE1078" s="4"/>
      <c r="AF1078" s="5"/>
      <c r="AG1078" s="5"/>
      <c r="AH1078" s="5"/>
      <c r="AI1078" s="5"/>
      <c r="AJ1078" s="5"/>
      <c r="AK1078" s="5"/>
      <c r="AL1078" s="5"/>
      <c r="AM1078" s="5"/>
      <c r="AN1078" s="4"/>
      <c r="AO1078" s="5"/>
      <c r="AP1078" s="5"/>
      <c r="AQ1078" s="5"/>
      <c r="AR1078" s="22"/>
      <c r="AS1078" s="5"/>
      <c r="AT1078" s="5"/>
      <c r="AU1078" s="5"/>
      <c r="AV1078" s="5"/>
    </row>
    <row r="1079" spans="1:48" ht="15" customHeight="1" x14ac:dyDescent="0.3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4"/>
      <c r="V1079" s="22"/>
      <c r="W1079" s="5"/>
      <c r="X1079" s="5"/>
      <c r="Y1079" s="5"/>
      <c r="Z1079" s="5"/>
      <c r="AA1079" s="5"/>
      <c r="AB1079" s="5"/>
      <c r="AC1079" s="5"/>
      <c r="AD1079" s="5"/>
      <c r="AE1079" s="4"/>
      <c r="AF1079" s="5"/>
      <c r="AG1079" s="5"/>
      <c r="AH1079" s="5"/>
      <c r="AI1079" s="5"/>
      <c r="AJ1079" s="5"/>
      <c r="AK1079" s="5"/>
      <c r="AL1079" s="5"/>
      <c r="AM1079" s="5"/>
      <c r="AN1079" s="4"/>
      <c r="AO1079" s="5"/>
      <c r="AP1079" s="5"/>
      <c r="AQ1079" s="5"/>
      <c r="AR1079" s="22"/>
      <c r="AS1079" s="5"/>
      <c r="AT1079" s="5"/>
      <c r="AU1079" s="5"/>
      <c r="AV1079" s="5"/>
    </row>
    <row r="1080" spans="1:48" ht="15" customHeight="1" x14ac:dyDescent="0.3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4"/>
      <c r="V1080" s="22"/>
      <c r="W1080" s="5"/>
      <c r="X1080" s="5"/>
      <c r="Y1080" s="5"/>
      <c r="Z1080" s="5"/>
      <c r="AA1080" s="5"/>
      <c r="AB1080" s="5"/>
      <c r="AC1080" s="5"/>
      <c r="AD1080" s="5"/>
      <c r="AE1080" s="4"/>
      <c r="AF1080" s="5"/>
      <c r="AG1080" s="5"/>
      <c r="AH1080" s="5"/>
      <c r="AI1080" s="5"/>
      <c r="AJ1080" s="5"/>
      <c r="AK1080" s="5"/>
      <c r="AL1080" s="5"/>
      <c r="AM1080" s="5"/>
      <c r="AN1080" s="4"/>
      <c r="AO1080" s="5"/>
      <c r="AP1080" s="5"/>
      <c r="AQ1080" s="5"/>
      <c r="AR1080" s="22"/>
      <c r="AS1080" s="5"/>
      <c r="AT1080" s="5"/>
      <c r="AU1080" s="5"/>
      <c r="AV1080" s="5"/>
    </row>
    <row r="1081" spans="1:48" ht="15" customHeight="1" x14ac:dyDescent="0.3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4"/>
      <c r="V1081" s="22"/>
      <c r="W1081" s="5"/>
      <c r="X1081" s="5"/>
      <c r="Y1081" s="5"/>
      <c r="Z1081" s="5"/>
      <c r="AA1081" s="5"/>
      <c r="AB1081" s="5"/>
      <c r="AC1081" s="5"/>
      <c r="AD1081" s="5"/>
      <c r="AE1081" s="4"/>
      <c r="AF1081" s="5"/>
      <c r="AG1081" s="5"/>
      <c r="AH1081" s="5"/>
      <c r="AI1081" s="5"/>
      <c r="AJ1081" s="5"/>
      <c r="AK1081" s="5"/>
      <c r="AL1081" s="5"/>
      <c r="AM1081" s="5"/>
      <c r="AN1081" s="4"/>
      <c r="AO1081" s="5"/>
      <c r="AP1081" s="5"/>
      <c r="AQ1081" s="5"/>
      <c r="AR1081" s="22"/>
      <c r="AS1081" s="5"/>
      <c r="AT1081" s="5"/>
      <c r="AU1081" s="5"/>
      <c r="AV1081" s="5"/>
    </row>
    <row r="1082" spans="1:48" ht="15" customHeight="1" x14ac:dyDescent="0.3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4"/>
      <c r="V1082" s="22"/>
      <c r="W1082" s="5"/>
      <c r="X1082" s="5"/>
      <c r="Y1082" s="5"/>
      <c r="Z1082" s="5"/>
      <c r="AA1082" s="5"/>
      <c r="AB1082" s="5"/>
      <c r="AC1082" s="5"/>
      <c r="AD1082" s="5"/>
      <c r="AE1082" s="4"/>
      <c r="AF1082" s="5"/>
      <c r="AG1082" s="5"/>
      <c r="AH1082" s="5"/>
      <c r="AI1082" s="5"/>
      <c r="AJ1082" s="5"/>
      <c r="AK1082" s="5"/>
      <c r="AL1082" s="5"/>
      <c r="AM1082" s="5"/>
      <c r="AN1082" s="4"/>
      <c r="AO1082" s="5"/>
      <c r="AP1082" s="5"/>
      <c r="AQ1082" s="5"/>
      <c r="AR1082" s="22"/>
      <c r="AS1082" s="5"/>
      <c r="AT1082" s="5"/>
      <c r="AU1082" s="5"/>
      <c r="AV1082" s="5"/>
    </row>
    <row r="1083" spans="1:48" ht="15" customHeight="1" x14ac:dyDescent="0.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4"/>
      <c r="V1083" s="22"/>
      <c r="W1083" s="5"/>
      <c r="X1083" s="5"/>
      <c r="Y1083" s="5"/>
      <c r="Z1083" s="5"/>
      <c r="AA1083" s="5"/>
      <c r="AB1083" s="5"/>
      <c r="AC1083" s="5"/>
      <c r="AD1083" s="5"/>
      <c r="AE1083" s="4"/>
      <c r="AF1083" s="5"/>
      <c r="AG1083" s="5"/>
      <c r="AH1083" s="5"/>
      <c r="AI1083" s="5"/>
      <c r="AJ1083" s="5"/>
      <c r="AK1083" s="5"/>
      <c r="AL1083" s="5"/>
      <c r="AM1083" s="5"/>
      <c r="AN1083" s="4"/>
      <c r="AO1083" s="5"/>
      <c r="AP1083" s="5"/>
      <c r="AQ1083" s="5"/>
      <c r="AR1083" s="22"/>
      <c r="AS1083" s="5"/>
      <c r="AT1083" s="5"/>
      <c r="AU1083" s="5"/>
      <c r="AV1083" s="5"/>
    </row>
    <row r="1084" spans="1:48" ht="15" customHeight="1" x14ac:dyDescent="0.3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4"/>
      <c r="V1084" s="22"/>
      <c r="W1084" s="5"/>
      <c r="X1084" s="5"/>
      <c r="Y1084" s="5"/>
      <c r="Z1084" s="5"/>
      <c r="AA1084" s="5"/>
      <c r="AB1084" s="5"/>
      <c r="AC1084" s="5"/>
      <c r="AD1084" s="5"/>
      <c r="AE1084" s="4"/>
      <c r="AF1084" s="5"/>
      <c r="AG1084" s="5"/>
      <c r="AH1084" s="5"/>
      <c r="AI1084" s="5"/>
      <c r="AJ1084" s="5"/>
      <c r="AK1084" s="5"/>
      <c r="AL1084" s="5"/>
      <c r="AM1084" s="5"/>
      <c r="AN1084" s="4"/>
      <c r="AO1084" s="5"/>
      <c r="AP1084" s="5"/>
      <c r="AQ1084" s="5"/>
      <c r="AR1084" s="22"/>
      <c r="AS1084" s="5"/>
      <c r="AT1084" s="5"/>
      <c r="AU1084" s="5"/>
      <c r="AV1084" s="5"/>
    </row>
    <row r="1085" spans="1:48" ht="15" customHeight="1" x14ac:dyDescent="0.3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4"/>
      <c r="V1085" s="22"/>
      <c r="W1085" s="5"/>
      <c r="X1085" s="5"/>
      <c r="Y1085" s="5"/>
      <c r="Z1085" s="5"/>
      <c r="AA1085" s="5"/>
      <c r="AB1085" s="5"/>
      <c r="AC1085" s="5"/>
      <c r="AD1085" s="5"/>
      <c r="AE1085" s="4"/>
      <c r="AF1085" s="5"/>
      <c r="AG1085" s="5"/>
      <c r="AH1085" s="5"/>
      <c r="AI1085" s="5"/>
      <c r="AJ1085" s="5"/>
      <c r="AK1085" s="5"/>
      <c r="AL1085" s="5"/>
      <c r="AM1085" s="5"/>
      <c r="AN1085" s="4"/>
      <c r="AO1085" s="5"/>
      <c r="AP1085" s="5"/>
      <c r="AQ1085" s="5"/>
      <c r="AR1085" s="22"/>
      <c r="AS1085" s="5"/>
      <c r="AT1085" s="5"/>
      <c r="AU1085" s="5"/>
      <c r="AV1085" s="5"/>
    </row>
    <row r="1086" spans="1:48" ht="15" customHeight="1" x14ac:dyDescent="0.3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4"/>
      <c r="V1086" s="22"/>
      <c r="W1086" s="5"/>
      <c r="X1086" s="5"/>
      <c r="Y1086" s="5"/>
      <c r="Z1086" s="5"/>
      <c r="AA1086" s="5"/>
      <c r="AB1086" s="5"/>
      <c r="AC1086" s="5"/>
      <c r="AD1086" s="5"/>
      <c r="AE1086" s="4"/>
      <c r="AF1086" s="5"/>
      <c r="AG1086" s="5"/>
      <c r="AH1086" s="5"/>
      <c r="AI1086" s="5"/>
      <c r="AJ1086" s="5"/>
      <c r="AK1086" s="5"/>
      <c r="AL1086" s="5"/>
      <c r="AM1086" s="5"/>
      <c r="AN1086" s="4"/>
      <c r="AO1086" s="5"/>
      <c r="AP1086" s="5"/>
      <c r="AQ1086" s="5"/>
      <c r="AR1086" s="22"/>
      <c r="AS1086" s="5"/>
      <c r="AT1086" s="5"/>
      <c r="AU1086" s="5"/>
      <c r="AV1086" s="5"/>
    </row>
    <row r="1087" spans="1:48" ht="15" customHeight="1" x14ac:dyDescent="0.3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4"/>
      <c r="V1087" s="22"/>
      <c r="W1087" s="5"/>
      <c r="X1087" s="5"/>
      <c r="Y1087" s="5"/>
      <c r="Z1087" s="5"/>
      <c r="AA1087" s="5"/>
      <c r="AB1087" s="5"/>
      <c r="AC1087" s="5"/>
      <c r="AD1087" s="5"/>
      <c r="AE1087" s="4"/>
      <c r="AF1087" s="5"/>
      <c r="AG1087" s="5"/>
      <c r="AH1087" s="5"/>
      <c r="AI1087" s="5"/>
      <c r="AJ1087" s="5"/>
      <c r="AK1087" s="5"/>
      <c r="AL1087" s="5"/>
      <c r="AM1087" s="5"/>
      <c r="AN1087" s="4"/>
      <c r="AO1087" s="5"/>
      <c r="AP1087" s="5"/>
      <c r="AQ1087" s="5"/>
      <c r="AR1087" s="22"/>
      <c r="AS1087" s="5"/>
      <c r="AT1087" s="5"/>
      <c r="AU1087" s="5"/>
      <c r="AV1087" s="5"/>
    </row>
    <row r="1088" spans="1:48" ht="15" customHeight="1" x14ac:dyDescent="0.3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4"/>
      <c r="V1088" s="22"/>
      <c r="W1088" s="5"/>
      <c r="X1088" s="5"/>
      <c r="Y1088" s="5"/>
      <c r="Z1088" s="5"/>
      <c r="AA1088" s="5"/>
      <c r="AB1088" s="5"/>
      <c r="AC1088" s="5"/>
      <c r="AD1088" s="5"/>
      <c r="AE1088" s="4"/>
      <c r="AF1088" s="5"/>
      <c r="AG1088" s="5"/>
      <c r="AH1088" s="5"/>
      <c r="AI1088" s="5"/>
      <c r="AJ1088" s="5"/>
      <c r="AK1088" s="5"/>
      <c r="AL1088" s="5"/>
      <c r="AM1088" s="5"/>
      <c r="AN1088" s="4"/>
      <c r="AO1088" s="5"/>
      <c r="AP1088" s="5"/>
      <c r="AQ1088" s="5"/>
      <c r="AR1088" s="22"/>
      <c r="AS1088" s="5"/>
      <c r="AT1088" s="5"/>
      <c r="AU1088" s="5"/>
      <c r="AV1088" s="5"/>
    </row>
    <row r="1089" spans="1:48" ht="15" customHeight="1" x14ac:dyDescent="0.3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4"/>
      <c r="V1089" s="22"/>
      <c r="W1089" s="5"/>
      <c r="X1089" s="5"/>
      <c r="Y1089" s="5"/>
      <c r="Z1089" s="5"/>
      <c r="AA1089" s="5"/>
      <c r="AB1089" s="5"/>
      <c r="AC1089" s="5"/>
      <c r="AD1089" s="5"/>
      <c r="AE1089" s="4"/>
      <c r="AF1089" s="5"/>
      <c r="AG1089" s="5"/>
      <c r="AH1089" s="5"/>
      <c r="AI1089" s="5"/>
      <c r="AJ1089" s="5"/>
      <c r="AK1089" s="5"/>
      <c r="AL1089" s="5"/>
      <c r="AM1089" s="5"/>
      <c r="AN1089" s="4"/>
      <c r="AO1089" s="5"/>
      <c r="AP1089" s="5"/>
      <c r="AQ1089" s="5"/>
      <c r="AR1089" s="22"/>
      <c r="AS1089" s="5"/>
      <c r="AT1089" s="5"/>
      <c r="AU1089" s="5"/>
      <c r="AV1089" s="5"/>
    </row>
    <row r="1090" spans="1:48" ht="15" customHeight="1" x14ac:dyDescent="0.3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4"/>
      <c r="V1090" s="22"/>
      <c r="W1090" s="5"/>
      <c r="X1090" s="5"/>
      <c r="Y1090" s="5"/>
      <c r="Z1090" s="5"/>
      <c r="AA1090" s="5"/>
      <c r="AB1090" s="5"/>
      <c r="AC1090" s="5"/>
      <c r="AD1090" s="5"/>
      <c r="AE1090" s="4"/>
      <c r="AF1090" s="5"/>
      <c r="AG1090" s="5"/>
      <c r="AH1090" s="5"/>
      <c r="AI1090" s="5"/>
      <c r="AJ1090" s="5"/>
      <c r="AK1090" s="5"/>
      <c r="AL1090" s="5"/>
      <c r="AM1090" s="5"/>
      <c r="AN1090" s="4"/>
      <c r="AO1090" s="5"/>
      <c r="AP1090" s="5"/>
      <c r="AQ1090" s="5"/>
      <c r="AR1090" s="22"/>
      <c r="AS1090" s="5"/>
      <c r="AT1090" s="5"/>
      <c r="AU1090" s="5"/>
      <c r="AV1090" s="5"/>
    </row>
    <row r="1091" spans="1:48" ht="15" customHeight="1" x14ac:dyDescent="0.3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4"/>
      <c r="V1091" s="22"/>
      <c r="W1091" s="5"/>
      <c r="X1091" s="5"/>
      <c r="Y1091" s="5"/>
      <c r="Z1091" s="5"/>
      <c r="AA1091" s="5"/>
      <c r="AB1091" s="5"/>
      <c r="AC1091" s="5"/>
      <c r="AD1091" s="5"/>
      <c r="AE1091" s="4"/>
      <c r="AF1091" s="5"/>
      <c r="AG1091" s="5"/>
      <c r="AH1091" s="5"/>
      <c r="AI1091" s="5"/>
      <c r="AJ1091" s="5"/>
      <c r="AK1091" s="5"/>
      <c r="AL1091" s="5"/>
      <c r="AM1091" s="5"/>
      <c r="AN1091" s="4"/>
      <c r="AO1091" s="5"/>
      <c r="AP1091" s="5"/>
      <c r="AQ1091" s="5"/>
      <c r="AR1091" s="22"/>
      <c r="AS1091" s="5"/>
      <c r="AT1091" s="5"/>
      <c r="AU1091" s="5"/>
      <c r="AV1091" s="5"/>
    </row>
    <row r="1092" spans="1:48" ht="15" customHeight="1" x14ac:dyDescent="0.3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4"/>
      <c r="V1092" s="22"/>
      <c r="W1092" s="5"/>
      <c r="X1092" s="5"/>
      <c r="Y1092" s="5"/>
      <c r="Z1092" s="5"/>
      <c r="AA1092" s="5"/>
      <c r="AB1092" s="5"/>
      <c r="AC1092" s="5"/>
      <c r="AD1092" s="5"/>
      <c r="AE1092" s="4"/>
      <c r="AF1092" s="5"/>
      <c r="AG1092" s="5"/>
      <c r="AH1092" s="5"/>
      <c r="AI1092" s="5"/>
      <c r="AJ1092" s="5"/>
      <c r="AK1092" s="5"/>
      <c r="AL1092" s="5"/>
      <c r="AM1092" s="5"/>
      <c r="AN1092" s="4"/>
      <c r="AO1092" s="5"/>
      <c r="AP1092" s="5"/>
      <c r="AQ1092" s="5"/>
      <c r="AR1092" s="22"/>
      <c r="AS1092" s="5"/>
      <c r="AT1092" s="5"/>
      <c r="AU1092" s="5"/>
      <c r="AV1092" s="5"/>
    </row>
    <row r="1093" spans="1:48" ht="15" customHeight="1" x14ac:dyDescent="0.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4"/>
      <c r="V1093" s="22"/>
      <c r="W1093" s="5"/>
      <c r="X1093" s="5"/>
      <c r="Y1093" s="5"/>
      <c r="Z1093" s="5"/>
      <c r="AA1093" s="5"/>
      <c r="AB1093" s="5"/>
      <c r="AC1093" s="5"/>
      <c r="AD1093" s="5"/>
      <c r="AE1093" s="4"/>
      <c r="AF1093" s="5"/>
      <c r="AG1093" s="5"/>
      <c r="AH1093" s="5"/>
      <c r="AI1093" s="5"/>
      <c r="AJ1093" s="5"/>
      <c r="AK1093" s="5"/>
      <c r="AL1093" s="5"/>
      <c r="AM1093" s="5"/>
      <c r="AN1093" s="4"/>
      <c r="AO1093" s="5"/>
      <c r="AP1093" s="5"/>
      <c r="AQ1093" s="5"/>
      <c r="AR1093" s="22"/>
      <c r="AS1093" s="5"/>
      <c r="AT1093" s="5"/>
      <c r="AU1093" s="5"/>
      <c r="AV1093" s="5"/>
    </row>
    <row r="1094" spans="1:48" ht="15" customHeight="1" x14ac:dyDescent="0.3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4"/>
      <c r="V1094" s="22"/>
      <c r="W1094" s="5"/>
      <c r="X1094" s="5"/>
      <c r="Y1094" s="5"/>
      <c r="Z1094" s="5"/>
      <c r="AA1094" s="5"/>
      <c r="AB1094" s="5"/>
      <c r="AC1094" s="5"/>
      <c r="AD1094" s="5"/>
      <c r="AE1094" s="4"/>
      <c r="AF1094" s="5"/>
      <c r="AG1094" s="5"/>
      <c r="AH1094" s="5"/>
      <c r="AI1094" s="5"/>
      <c r="AJ1094" s="5"/>
      <c r="AK1094" s="5"/>
      <c r="AL1094" s="5"/>
      <c r="AM1094" s="5"/>
      <c r="AN1094" s="4"/>
      <c r="AO1094" s="5"/>
      <c r="AP1094" s="5"/>
      <c r="AQ1094" s="5"/>
      <c r="AR1094" s="22"/>
      <c r="AS1094" s="5"/>
      <c r="AT1094" s="5"/>
      <c r="AU1094" s="5"/>
      <c r="AV1094" s="5"/>
    </row>
    <row r="1095" spans="1:48" ht="15" customHeight="1" x14ac:dyDescent="0.3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4"/>
      <c r="V1095" s="22"/>
      <c r="W1095" s="5"/>
      <c r="X1095" s="5"/>
      <c r="Y1095" s="5"/>
      <c r="Z1095" s="5"/>
      <c r="AA1095" s="5"/>
      <c r="AB1095" s="5"/>
      <c r="AC1095" s="5"/>
      <c r="AD1095" s="5"/>
      <c r="AE1095" s="4"/>
      <c r="AF1095" s="5"/>
      <c r="AG1095" s="5"/>
      <c r="AH1095" s="5"/>
      <c r="AI1095" s="5"/>
      <c r="AJ1095" s="5"/>
      <c r="AK1095" s="5"/>
      <c r="AL1095" s="5"/>
      <c r="AM1095" s="5"/>
      <c r="AN1095" s="4"/>
      <c r="AO1095" s="5"/>
      <c r="AP1095" s="5"/>
      <c r="AQ1095" s="5"/>
      <c r="AR1095" s="22"/>
      <c r="AS1095" s="5"/>
      <c r="AT1095" s="5"/>
      <c r="AU1095" s="5"/>
      <c r="AV1095" s="5"/>
    </row>
    <row r="1096" spans="1:48" ht="15" customHeight="1" x14ac:dyDescent="0.3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4"/>
      <c r="V1096" s="22"/>
      <c r="W1096" s="5"/>
      <c r="X1096" s="5"/>
      <c r="Y1096" s="5"/>
      <c r="Z1096" s="5"/>
      <c r="AA1096" s="5"/>
      <c r="AB1096" s="5"/>
      <c r="AC1096" s="5"/>
      <c r="AD1096" s="5"/>
      <c r="AE1096" s="4"/>
      <c r="AF1096" s="5"/>
      <c r="AG1096" s="5"/>
      <c r="AH1096" s="5"/>
      <c r="AI1096" s="5"/>
      <c r="AJ1096" s="5"/>
      <c r="AK1096" s="5"/>
      <c r="AL1096" s="5"/>
      <c r="AM1096" s="5"/>
      <c r="AN1096" s="4"/>
      <c r="AO1096" s="5"/>
      <c r="AP1096" s="5"/>
      <c r="AQ1096" s="5"/>
      <c r="AR1096" s="22"/>
      <c r="AS1096" s="5"/>
      <c r="AT1096" s="5"/>
      <c r="AU1096" s="5"/>
      <c r="AV1096" s="5"/>
    </row>
    <row r="1097" spans="1:48" ht="15" customHeight="1" x14ac:dyDescent="0.3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4"/>
      <c r="V1097" s="22"/>
      <c r="W1097" s="5"/>
      <c r="X1097" s="5"/>
      <c r="Y1097" s="5"/>
      <c r="Z1097" s="5"/>
      <c r="AA1097" s="5"/>
      <c r="AB1097" s="5"/>
      <c r="AC1097" s="5"/>
      <c r="AD1097" s="5"/>
      <c r="AE1097" s="4"/>
      <c r="AF1097" s="5"/>
      <c r="AG1097" s="5"/>
      <c r="AH1097" s="5"/>
      <c r="AI1097" s="5"/>
      <c r="AJ1097" s="5"/>
      <c r="AK1097" s="5"/>
      <c r="AL1097" s="5"/>
      <c r="AM1097" s="5"/>
      <c r="AN1097" s="4"/>
      <c r="AO1097" s="5"/>
      <c r="AP1097" s="5"/>
      <c r="AQ1097" s="5"/>
      <c r="AR1097" s="22"/>
      <c r="AS1097" s="5"/>
      <c r="AT1097" s="5"/>
      <c r="AU1097" s="5"/>
      <c r="AV1097" s="5"/>
    </row>
    <row r="1098" spans="1:48" ht="15" customHeight="1" x14ac:dyDescent="0.3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4"/>
      <c r="V1098" s="22"/>
      <c r="W1098" s="5"/>
      <c r="X1098" s="5"/>
      <c r="Y1098" s="5"/>
      <c r="Z1098" s="5"/>
      <c r="AA1098" s="5"/>
      <c r="AB1098" s="5"/>
      <c r="AC1098" s="5"/>
      <c r="AD1098" s="5"/>
      <c r="AE1098" s="4"/>
      <c r="AF1098" s="5"/>
      <c r="AG1098" s="5"/>
      <c r="AH1098" s="5"/>
      <c r="AI1098" s="5"/>
      <c r="AJ1098" s="5"/>
      <c r="AK1098" s="5"/>
      <c r="AL1098" s="5"/>
      <c r="AM1098" s="5"/>
      <c r="AN1098" s="4"/>
      <c r="AO1098" s="5"/>
      <c r="AP1098" s="5"/>
      <c r="AQ1098" s="5"/>
      <c r="AR1098" s="22"/>
      <c r="AS1098" s="5"/>
      <c r="AT1098" s="5"/>
      <c r="AU1098" s="5"/>
      <c r="AV1098" s="5"/>
    </row>
    <row r="1099" spans="1:48" ht="15" customHeight="1" x14ac:dyDescent="0.3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4"/>
      <c r="V1099" s="22"/>
      <c r="W1099" s="5"/>
      <c r="X1099" s="5"/>
      <c r="Y1099" s="5"/>
      <c r="Z1099" s="5"/>
      <c r="AA1099" s="5"/>
      <c r="AB1099" s="5"/>
      <c r="AC1099" s="5"/>
      <c r="AD1099" s="5"/>
      <c r="AE1099" s="4"/>
      <c r="AF1099" s="5"/>
      <c r="AG1099" s="5"/>
      <c r="AH1099" s="5"/>
      <c r="AI1099" s="5"/>
      <c r="AJ1099" s="5"/>
      <c r="AK1099" s="5"/>
      <c r="AL1099" s="5"/>
      <c r="AM1099" s="5"/>
      <c r="AN1099" s="4"/>
      <c r="AO1099" s="5"/>
      <c r="AP1099" s="5"/>
      <c r="AQ1099" s="5"/>
      <c r="AR1099" s="22"/>
      <c r="AS1099" s="5"/>
      <c r="AT1099" s="5"/>
      <c r="AU1099" s="5"/>
      <c r="AV1099" s="5"/>
    </row>
    <row r="1100" spans="1:48" ht="15" customHeight="1" x14ac:dyDescent="0.3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4"/>
      <c r="V1100" s="22"/>
      <c r="W1100" s="5"/>
      <c r="X1100" s="5"/>
      <c r="Y1100" s="5"/>
      <c r="Z1100" s="5"/>
      <c r="AA1100" s="5"/>
      <c r="AB1100" s="5"/>
      <c r="AC1100" s="5"/>
      <c r="AD1100" s="5"/>
      <c r="AE1100" s="4"/>
      <c r="AF1100" s="5"/>
      <c r="AG1100" s="5"/>
      <c r="AH1100" s="5"/>
      <c r="AI1100" s="5"/>
      <c r="AJ1100" s="5"/>
      <c r="AK1100" s="5"/>
      <c r="AL1100" s="5"/>
      <c r="AM1100" s="5"/>
      <c r="AN1100" s="4"/>
      <c r="AO1100" s="5"/>
      <c r="AP1100" s="5"/>
      <c r="AQ1100" s="5"/>
      <c r="AR1100" s="22"/>
      <c r="AS1100" s="5"/>
      <c r="AT1100" s="5"/>
      <c r="AU1100" s="5"/>
      <c r="AV1100" s="5"/>
    </row>
    <row r="1101" spans="1:48" ht="15" customHeight="1" x14ac:dyDescent="0.3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4"/>
      <c r="V1101" s="22"/>
      <c r="W1101" s="5"/>
      <c r="X1101" s="5"/>
      <c r="Y1101" s="5"/>
      <c r="Z1101" s="5"/>
      <c r="AA1101" s="5"/>
      <c r="AB1101" s="5"/>
      <c r="AC1101" s="5"/>
      <c r="AD1101" s="5"/>
      <c r="AE1101" s="4"/>
      <c r="AF1101" s="5"/>
      <c r="AG1101" s="5"/>
      <c r="AH1101" s="5"/>
      <c r="AI1101" s="5"/>
      <c r="AJ1101" s="5"/>
      <c r="AK1101" s="5"/>
      <c r="AL1101" s="5"/>
      <c r="AM1101" s="5"/>
      <c r="AN1101" s="4"/>
      <c r="AO1101" s="5"/>
      <c r="AP1101" s="5"/>
      <c r="AQ1101" s="5"/>
      <c r="AR1101" s="22"/>
      <c r="AS1101" s="5"/>
      <c r="AT1101" s="5"/>
      <c r="AU1101" s="5"/>
      <c r="AV1101" s="5"/>
    </row>
    <row r="1102" spans="1:48" ht="15" customHeight="1" x14ac:dyDescent="0.3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4"/>
      <c r="V1102" s="22"/>
      <c r="W1102" s="5"/>
      <c r="X1102" s="5"/>
      <c r="Y1102" s="5"/>
      <c r="Z1102" s="5"/>
      <c r="AA1102" s="5"/>
      <c r="AB1102" s="5"/>
      <c r="AC1102" s="5"/>
      <c r="AD1102" s="5"/>
      <c r="AE1102" s="4"/>
      <c r="AF1102" s="5"/>
      <c r="AG1102" s="5"/>
      <c r="AH1102" s="5"/>
      <c r="AI1102" s="5"/>
      <c r="AJ1102" s="5"/>
      <c r="AK1102" s="5"/>
      <c r="AL1102" s="5"/>
      <c r="AM1102" s="5"/>
      <c r="AN1102" s="4"/>
      <c r="AO1102" s="5"/>
      <c r="AP1102" s="5"/>
      <c r="AQ1102" s="5"/>
      <c r="AR1102" s="22"/>
      <c r="AS1102" s="5"/>
      <c r="AT1102" s="5"/>
      <c r="AU1102" s="5"/>
      <c r="AV1102" s="5"/>
    </row>
    <row r="1103" spans="1:48" ht="15" customHeight="1" x14ac:dyDescent="0.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4"/>
      <c r="V1103" s="22"/>
      <c r="W1103" s="5"/>
      <c r="X1103" s="5"/>
      <c r="Y1103" s="5"/>
      <c r="Z1103" s="5"/>
      <c r="AA1103" s="5"/>
      <c r="AB1103" s="5"/>
      <c r="AC1103" s="5"/>
      <c r="AD1103" s="5"/>
      <c r="AE1103" s="4"/>
      <c r="AF1103" s="5"/>
      <c r="AG1103" s="5"/>
      <c r="AH1103" s="5"/>
      <c r="AI1103" s="5"/>
      <c r="AJ1103" s="5"/>
      <c r="AK1103" s="5"/>
      <c r="AL1103" s="5"/>
      <c r="AM1103" s="5"/>
      <c r="AN1103" s="4"/>
      <c r="AO1103" s="5"/>
      <c r="AP1103" s="5"/>
      <c r="AQ1103" s="5"/>
      <c r="AR1103" s="22"/>
      <c r="AS1103" s="5"/>
      <c r="AT1103" s="5"/>
      <c r="AU1103" s="5"/>
      <c r="AV1103" s="5"/>
    </row>
    <row r="1104" spans="1:48" ht="15" customHeight="1" x14ac:dyDescent="0.3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4"/>
      <c r="V1104" s="22"/>
      <c r="W1104" s="5"/>
      <c r="X1104" s="5"/>
      <c r="Y1104" s="5"/>
      <c r="Z1104" s="5"/>
      <c r="AA1104" s="5"/>
      <c r="AB1104" s="5"/>
      <c r="AC1104" s="5"/>
      <c r="AD1104" s="5"/>
      <c r="AE1104" s="4"/>
      <c r="AF1104" s="5"/>
      <c r="AG1104" s="5"/>
      <c r="AH1104" s="5"/>
      <c r="AI1104" s="5"/>
      <c r="AJ1104" s="5"/>
      <c r="AK1104" s="5"/>
      <c r="AL1104" s="5"/>
      <c r="AM1104" s="5"/>
      <c r="AN1104" s="4"/>
      <c r="AO1104" s="5"/>
      <c r="AP1104" s="5"/>
      <c r="AQ1104" s="5"/>
      <c r="AR1104" s="22"/>
      <c r="AS1104" s="5"/>
      <c r="AT1104" s="5"/>
      <c r="AU1104" s="5"/>
      <c r="AV1104" s="5"/>
    </row>
    <row r="1105" spans="1:48" ht="15" customHeight="1" x14ac:dyDescent="0.3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4"/>
      <c r="V1105" s="22"/>
      <c r="W1105" s="5"/>
      <c r="X1105" s="5"/>
      <c r="Y1105" s="5"/>
      <c r="Z1105" s="5"/>
      <c r="AA1105" s="5"/>
      <c r="AB1105" s="5"/>
      <c r="AC1105" s="5"/>
      <c r="AD1105" s="5"/>
      <c r="AE1105" s="4"/>
      <c r="AF1105" s="5"/>
      <c r="AG1105" s="5"/>
      <c r="AH1105" s="5"/>
      <c r="AI1105" s="5"/>
      <c r="AJ1105" s="5"/>
      <c r="AK1105" s="5"/>
      <c r="AL1105" s="5"/>
      <c r="AM1105" s="5"/>
      <c r="AN1105" s="4"/>
      <c r="AO1105" s="5"/>
      <c r="AP1105" s="5"/>
      <c r="AQ1105" s="5"/>
      <c r="AR1105" s="22"/>
      <c r="AS1105" s="5"/>
      <c r="AT1105" s="5"/>
      <c r="AU1105" s="5"/>
      <c r="AV1105" s="5"/>
    </row>
    <row r="1106" spans="1:48" ht="15" customHeight="1" x14ac:dyDescent="0.3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4"/>
      <c r="V1106" s="22"/>
      <c r="W1106" s="5"/>
      <c r="X1106" s="5"/>
      <c r="Y1106" s="5"/>
      <c r="Z1106" s="5"/>
      <c r="AA1106" s="5"/>
      <c r="AB1106" s="5"/>
      <c r="AC1106" s="5"/>
      <c r="AD1106" s="5"/>
      <c r="AE1106" s="4"/>
      <c r="AF1106" s="5"/>
      <c r="AG1106" s="5"/>
      <c r="AH1106" s="5"/>
      <c r="AI1106" s="5"/>
      <c r="AJ1106" s="5"/>
      <c r="AK1106" s="5"/>
      <c r="AL1106" s="5"/>
      <c r="AM1106" s="5"/>
      <c r="AN1106" s="4"/>
      <c r="AO1106" s="5"/>
      <c r="AP1106" s="5"/>
      <c r="AQ1106" s="5"/>
      <c r="AR1106" s="22"/>
      <c r="AS1106" s="5"/>
      <c r="AT1106" s="5"/>
      <c r="AU1106" s="5"/>
      <c r="AV1106" s="5"/>
    </row>
    <row r="1107" spans="1:48" ht="15" customHeight="1" x14ac:dyDescent="0.3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4"/>
      <c r="V1107" s="22"/>
      <c r="W1107" s="5"/>
      <c r="X1107" s="5"/>
      <c r="Y1107" s="5"/>
      <c r="Z1107" s="5"/>
      <c r="AA1107" s="5"/>
      <c r="AB1107" s="5"/>
      <c r="AC1107" s="5"/>
      <c r="AD1107" s="5"/>
      <c r="AE1107" s="4"/>
      <c r="AF1107" s="5"/>
      <c r="AG1107" s="5"/>
      <c r="AH1107" s="5"/>
      <c r="AI1107" s="5"/>
      <c r="AJ1107" s="5"/>
      <c r="AK1107" s="5"/>
      <c r="AL1107" s="5"/>
      <c r="AM1107" s="5"/>
      <c r="AN1107" s="4"/>
      <c r="AO1107" s="5"/>
      <c r="AP1107" s="5"/>
      <c r="AQ1107" s="5"/>
      <c r="AR1107" s="22"/>
      <c r="AS1107" s="5"/>
      <c r="AT1107" s="5"/>
      <c r="AU1107" s="5"/>
      <c r="AV1107" s="5"/>
    </row>
    <row r="1108" spans="1:48" ht="15" customHeight="1" x14ac:dyDescent="0.3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4"/>
      <c r="V1108" s="22"/>
      <c r="W1108" s="5"/>
      <c r="X1108" s="5"/>
      <c r="Y1108" s="5"/>
      <c r="Z1108" s="5"/>
      <c r="AA1108" s="5"/>
      <c r="AB1108" s="5"/>
      <c r="AC1108" s="5"/>
      <c r="AD1108" s="5"/>
      <c r="AE1108" s="4"/>
      <c r="AF1108" s="5"/>
      <c r="AG1108" s="5"/>
      <c r="AH1108" s="5"/>
      <c r="AI1108" s="5"/>
      <c r="AJ1108" s="5"/>
      <c r="AK1108" s="5"/>
      <c r="AL1108" s="5"/>
      <c r="AM1108" s="5"/>
      <c r="AN1108" s="4"/>
      <c r="AO1108" s="5"/>
      <c r="AP1108" s="5"/>
      <c r="AQ1108" s="5"/>
      <c r="AR1108" s="22"/>
      <c r="AS1108" s="5"/>
      <c r="AT1108" s="5"/>
      <c r="AU1108" s="5"/>
      <c r="AV1108" s="5"/>
    </row>
    <row r="1109" spans="1:48" ht="15" customHeight="1" x14ac:dyDescent="0.3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4"/>
      <c r="V1109" s="22"/>
      <c r="W1109" s="5"/>
      <c r="X1109" s="5"/>
      <c r="Y1109" s="5"/>
      <c r="Z1109" s="5"/>
      <c r="AA1109" s="5"/>
      <c r="AB1109" s="5"/>
      <c r="AC1109" s="5"/>
      <c r="AD1109" s="5"/>
      <c r="AE1109" s="4"/>
      <c r="AF1109" s="5"/>
      <c r="AG1109" s="5"/>
      <c r="AH1109" s="5"/>
      <c r="AI1109" s="5"/>
      <c r="AJ1109" s="5"/>
      <c r="AK1109" s="5"/>
      <c r="AL1109" s="5"/>
      <c r="AM1109" s="5"/>
      <c r="AN1109" s="4"/>
      <c r="AO1109" s="5"/>
      <c r="AP1109" s="5"/>
      <c r="AQ1109" s="5"/>
      <c r="AR1109" s="22"/>
      <c r="AS1109" s="5"/>
      <c r="AT1109" s="5"/>
      <c r="AU1109" s="5"/>
      <c r="AV1109" s="5"/>
    </row>
    <row r="1110" spans="1:48" ht="15" customHeight="1" x14ac:dyDescent="0.3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4"/>
      <c r="V1110" s="22"/>
      <c r="W1110" s="5"/>
      <c r="X1110" s="5"/>
      <c r="Y1110" s="5"/>
      <c r="Z1110" s="5"/>
      <c r="AA1110" s="5"/>
      <c r="AB1110" s="5"/>
      <c r="AC1110" s="5"/>
      <c r="AD1110" s="5"/>
      <c r="AE1110" s="4"/>
      <c r="AF1110" s="5"/>
      <c r="AG1110" s="5"/>
      <c r="AH1110" s="5"/>
      <c r="AI1110" s="5"/>
      <c r="AJ1110" s="5"/>
      <c r="AK1110" s="5"/>
      <c r="AL1110" s="5"/>
      <c r="AM1110" s="5"/>
      <c r="AN1110" s="4"/>
      <c r="AO1110" s="5"/>
      <c r="AP1110" s="5"/>
      <c r="AQ1110" s="5"/>
      <c r="AR1110" s="22"/>
      <c r="AS1110" s="5"/>
      <c r="AT1110" s="5"/>
      <c r="AU1110" s="5"/>
      <c r="AV1110" s="5"/>
    </row>
    <row r="1111" spans="1:48" ht="15" customHeight="1" x14ac:dyDescent="0.3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4"/>
      <c r="V1111" s="22"/>
      <c r="W1111" s="5"/>
      <c r="X1111" s="5"/>
      <c r="Y1111" s="5"/>
      <c r="Z1111" s="5"/>
      <c r="AA1111" s="5"/>
      <c r="AB1111" s="5"/>
      <c r="AC1111" s="5"/>
      <c r="AD1111" s="5"/>
      <c r="AE1111" s="4"/>
      <c r="AF1111" s="5"/>
      <c r="AG1111" s="5"/>
      <c r="AH1111" s="5"/>
      <c r="AI1111" s="5"/>
      <c r="AJ1111" s="5"/>
      <c r="AK1111" s="5"/>
      <c r="AL1111" s="5"/>
      <c r="AM1111" s="5"/>
      <c r="AN1111" s="4"/>
      <c r="AO1111" s="5"/>
      <c r="AP1111" s="5"/>
      <c r="AQ1111" s="5"/>
      <c r="AR1111" s="22"/>
      <c r="AS1111" s="5"/>
      <c r="AT1111" s="5"/>
      <c r="AU1111" s="5"/>
      <c r="AV1111" s="5"/>
    </row>
    <row r="1112" spans="1:48" ht="15" customHeight="1" x14ac:dyDescent="0.3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4"/>
      <c r="V1112" s="22"/>
      <c r="W1112" s="5"/>
      <c r="X1112" s="5"/>
      <c r="Y1112" s="5"/>
      <c r="Z1112" s="5"/>
      <c r="AA1112" s="5"/>
      <c r="AB1112" s="5"/>
      <c r="AC1112" s="5"/>
      <c r="AD1112" s="5"/>
      <c r="AE1112" s="4"/>
      <c r="AF1112" s="5"/>
      <c r="AG1112" s="5"/>
      <c r="AH1112" s="5"/>
      <c r="AI1112" s="5"/>
      <c r="AJ1112" s="5"/>
      <c r="AK1112" s="5"/>
      <c r="AL1112" s="5"/>
      <c r="AM1112" s="5"/>
      <c r="AN1112" s="4"/>
      <c r="AO1112" s="5"/>
      <c r="AP1112" s="5"/>
      <c r="AQ1112" s="5"/>
      <c r="AR1112" s="22"/>
      <c r="AS1112" s="5"/>
      <c r="AT1112" s="5"/>
      <c r="AU1112" s="5"/>
      <c r="AV1112" s="5"/>
    </row>
    <row r="1113" spans="1:48" ht="15" customHeight="1" x14ac:dyDescent="0.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4"/>
      <c r="V1113" s="22"/>
      <c r="W1113" s="5"/>
      <c r="X1113" s="5"/>
      <c r="Y1113" s="5"/>
      <c r="Z1113" s="5"/>
      <c r="AA1113" s="5"/>
      <c r="AB1113" s="5"/>
      <c r="AC1113" s="5"/>
      <c r="AD1113" s="5"/>
      <c r="AE1113" s="4"/>
      <c r="AF1113" s="5"/>
      <c r="AG1113" s="5"/>
      <c r="AH1113" s="5"/>
      <c r="AI1113" s="5"/>
      <c r="AJ1113" s="5"/>
      <c r="AK1113" s="5"/>
      <c r="AL1113" s="5"/>
      <c r="AM1113" s="5"/>
      <c r="AN1113" s="4"/>
      <c r="AO1113" s="5"/>
      <c r="AP1113" s="5"/>
      <c r="AQ1113" s="5"/>
      <c r="AR1113" s="22"/>
      <c r="AS1113" s="5"/>
      <c r="AT1113" s="5"/>
      <c r="AU1113" s="5"/>
      <c r="AV1113" s="5"/>
    </row>
  </sheetData>
  <customSheetViews>
    <customSheetView guid="{0F0D7DF0-A83B-4B25-83CD-ACE985A95491}" filter="1" showAutoFilter="1">
      <pageMargins left="0.7" right="0.7" top="0.75" bottom="0.75" header="0.3" footer="0.3"/>
      <autoFilter ref="A7:U63" xr:uid="{222006FB-BCC3-41B5-962A-C893BF68D6D5}"/>
    </customSheetView>
    <customSheetView guid="{0F0D7DF0-A83B-4B25-83CD-ACE985A95491}" filter="1" showAutoFilter="1">
      <pageMargins left="0.7" right="0.7" top="0.75" bottom="0.75" header="0.3" footer="0.3"/>
      <autoFilter ref="A7:U57" xr:uid="{23BAC730-8493-490B-B2D9-19A0DFB63ED9}"/>
    </customSheetView>
    <customSheetView guid="{D087B0CA-DBBB-4AC6-BE5F-5083C0183BF7}" filter="1" showAutoFilter="1">
      <pageMargins left="0.7" right="0.7" top="0.75" bottom="0.75" header="0.3" footer="0.3"/>
      <autoFilter ref="AR7:AR57" xr:uid="{D6AEB2C5-B6EE-4F3D-9BB1-D0870D6EA387}"/>
    </customSheetView>
  </customSheetViews>
  <mergeCells count="8">
    <mergeCell ref="A4:B6"/>
    <mergeCell ref="C4:U4"/>
    <mergeCell ref="W4:AQ4"/>
    <mergeCell ref="C6:J6"/>
    <mergeCell ref="K6:M6"/>
    <mergeCell ref="N6:T6"/>
    <mergeCell ref="AA6:AE6"/>
    <mergeCell ref="AF6:AN6"/>
  </mergeCells>
  <conditionalFormatting sqref="U7:U524">
    <cfRule type="notContainsBlanks" dxfId="5" priority="1">
      <formula>LEN(TRIM(U7))&gt;0</formula>
    </cfRule>
  </conditionalFormatting>
  <conditionalFormatting sqref="AS8:AS524">
    <cfRule type="cellIs" dxfId="4" priority="2" operator="lessThan">
      <formula>0</formula>
    </cfRule>
  </conditionalFormatting>
  <dataValidations count="2">
    <dataValidation type="custom" allowBlank="1" showDropDown="1" sqref="W8:AC92 W93 Y93:AC93 W94:AC105 W106 Y106:AC106 AE8:AO127 AE128:AF128 AH128:AO128 W107:AC524 AE129:AO524" xr:uid="{00000000-0002-0000-0200-000000000000}">
      <formula1>AND(ISNUMBER(W8),(NOT(OR(NOT(ISERROR(DATEVALUE(W8))), AND(ISNUMBER(W8), LEFT(CELL("format", W8))="D")))))</formula1>
    </dataValidation>
    <dataValidation type="date" errorStyle="warning" allowBlank="1" showInputMessage="1" showErrorMessage="1" errorTitle="Date required" error="Please enter a valid date." promptTitle="Date" prompt="Enter a date (e.g., 2026-05-15)" sqref="A8:A524" xr:uid="{9370C03C-019E-462C-A8AD-9E409B9D51E5}">
      <formula1>1</formula1>
      <formula2>73415</formula2>
    </dataValidation>
  </dataValidations>
  <pageMargins left="0.7" right="0.7" top="0.75" bottom="0.75" header="0" footer="0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Z1158"/>
  <sheetViews>
    <sheetView zoomScale="103" zoomScaleNormal="100" workbookViewId="0">
      <pane ySplit="1" topLeftCell="A2" activePane="bottomLeft" state="frozen"/>
      <selection pane="bottomLeft" activeCell="C180" sqref="C180"/>
    </sheetView>
  </sheetViews>
  <sheetFormatPr defaultColWidth="14.44140625" defaultRowHeight="15" customHeight="1" x14ac:dyDescent="0.25"/>
  <cols>
    <col min="1" max="1" width="20.6640625" style="267" customWidth="1"/>
    <col min="2" max="2" width="9" style="267" bestFit="1" customWidth="1"/>
    <col min="3" max="3" width="12.5546875" style="267" bestFit="1" customWidth="1"/>
    <col min="4" max="4" width="11.88671875" style="267" bestFit="1" customWidth="1"/>
    <col min="5" max="5" width="11.44140625" style="267" customWidth="1"/>
    <col min="6" max="6" width="10.33203125" style="267" customWidth="1"/>
    <col min="7" max="7" width="8.88671875" style="267" customWidth="1"/>
    <col min="8" max="8" width="8.6640625" style="267" customWidth="1"/>
    <col min="9" max="9" width="11.33203125" style="267" customWidth="1"/>
    <col min="10" max="10" width="11" style="267" customWidth="1"/>
    <col min="11" max="11" width="17.6640625" style="267" customWidth="1"/>
    <col min="12" max="12" width="9.88671875" style="267" customWidth="1"/>
    <col min="13" max="13" width="18.109375" style="267" bestFit="1" customWidth="1"/>
    <col min="14" max="14" width="29.109375" style="267" bestFit="1" customWidth="1"/>
    <col min="15" max="17" width="8.88671875" style="267" customWidth="1"/>
    <col min="18" max="26" width="8.6640625" style="267" customWidth="1"/>
    <col min="27" max="16384" width="14.44140625" style="267"/>
  </cols>
  <sheetData>
    <row r="1" spans="1:26" ht="15.6" x14ac:dyDescent="0.3">
      <c r="A1" s="414" t="s">
        <v>98</v>
      </c>
      <c r="B1" s="415"/>
      <c r="C1" s="415"/>
      <c r="D1" s="415"/>
      <c r="E1" s="416"/>
      <c r="F1" s="4"/>
      <c r="G1" s="4"/>
      <c r="H1" s="417" t="s">
        <v>99</v>
      </c>
      <c r="I1" s="415"/>
      <c r="J1" s="415"/>
      <c r="K1" s="415"/>
      <c r="L1" s="415"/>
      <c r="M1" s="415"/>
      <c r="N1" s="416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6" x14ac:dyDescent="0.3">
      <c r="A2" s="89" t="s">
        <v>100</v>
      </c>
      <c r="B2" s="89" t="s">
        <v>101</v>
      </c>
      <c r="C2" s="89" t="s">
        <v>102</v>
      </c>
      <c r="D2" s="89" t="s">
        <v>103</v>
      </c>
      <c r="E2" s="89" t="s">
        <v>104</v>
      </c>
      <c r="F2" s="11"/>
      <c r="G2" s="11"/>
      <c r="H2" s="89" t="s">
        <v>9</v>
      </c>
      <c r="I2" s="89" t="s">
        <v>18</v>
      </c>
      <c r="J2" s="89" t="s">
        <v>19</v>
      </c>
      <c r="K2" s="89" t="s">
        <v>105</v>
      </c>
      <c r="L2" s="89" t="s">
        <v>20</v>
      </c>
      <c r="M2" s="89" t="s">
        <v>106</v>
      </c>
      <c r="N2" s="89" t="s">
        <v>107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6" x14ac:dyDescent="0.3">
      <c r="A3" s="69" t="s">
        <v>18</v>
      </c>
      <c r="B3" s="90">
        <f>8567-189+224+551+2463-41+88</f>
        <v>11663</v>
      </c>
      <c r="C3" s="90">
        <f>'ODOMETERS Halba'!J1</f>
        <v>494093</v>
      </c>
      <c r="D3" s="90">
        <f>I184</f>
        <v>494820</v>
      </c>
      <c r="E3" s="90">
        <f>B3-C3+D3</f>
        <v>12390</v>
      </c>
      <c r="F3" s="5"/>
      <c r="G3" s="5"/>
      <c r="H3" s="91">
        <v>45967</v>
      </c>
      <c r="I3" s="90"/>
      <c r="J3" s="90"/>
      <c r="K3" s="90"/>
      <c r="L3" s="90">
        <v>2987</v>
      </c>
      <c r="M3" s="92">
        <f>14.25/20</f>
        <v>0.71250000000000002</v>
      </c>
      <c r="N3" s="93">
        <f>SUM('BM Stock Halba'!$I3:$L3)*'BM Stock Halba'!$M3</f>
        <v>2128.2375000000002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6" x14ac:dyDescent="0.3">
      <c r="A4" s="69" t="s">
        <v>19</v>
      </c>
      <c r="B4" s="90">
        <f>6041-96-1947-142+16</f>
        <v>3872</v>
      </c>
      <c r="C4" s="90">
        <f>'ODOMETERS Halba'!K1</f>
        <v>396810</v>
      </c>
      <c r="D4" s="90">
        <f>J184</f>
        <v>401968</v>
      </c>
      <c r="E4" s="90">
        <f>B4-C4+D4</f>
        <v>9030</v>
      </c>
      <c r="F4" s="5"/>
      <c r="G4" s="5"/>
      <c r="H4" s="91">
        <v>45967</v>
      </c>
      <c r="I4" s="90">
        <v>4849</v>
      </c>
      <c r="J4" s="90"/>
      <c r="K4" s="90"/>
      <c r="L4" s="90"/>
      <c r="M4" s="92">
        <f>14.4/20</f>
        <v>0.72</v>
      </c>
      <c r="N4" s="93">
        <f>SUM('BM Stock Halba'!$I4:$L4)*'BM Stock Halba'!$M4</f>
        <v>3491.2799999999997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6" x14ac:dyDescent="0.3">
      <c r="A5" s="94" t="s">
        <v>108</v>
      </c>
      <c r="B5" s="95">
        <f>B3+B4</f>
        <v>15535</v>
      </c>
      <c r="C5" s="95">
        <f>C3+C4</f>
        <v>890903</v>
      </c>
      <c r="D5" s="95">
        <f>D3+D4</f>
        <v>896788</v>
      </c>
      <c r="E5" s="95">
        <f>E3+E4</f>
        <v>21420</v>
      </c>
      <c r="F5" s="5"/>
      <c r="G5" s="5"/>
      <c r="H5" s="91">
        <v>45971</v>
      </c>
      <c r="I5" s="90">
        <v>3025</v>
      </c>
      <c r="J5" s="90">
        <f>2950+3095</f>
        <v>6045</v>
      </c>
      <c r="K5" s="90"/>
      <c r="L5" s="90"/>
      <c r="M5" s="92">
        <f>14.55/20</f>
        <v>0.72750000000000004</v>
      </c>
      <c r="N5" s="93">
        <f>SUM('BM Stock Halba'!$I5:$L5)*'BM Stock Halba'!$M5</f>
        <v>6598.4250000000002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6" x14ac:dyDescent="0.3">
      <c r="A6" s="69" t="s">
        <v>20</v>
      </c>
      <c r="B6" s="90">
        <f>16143-24-636+256</f>
        <v>15739</v>
      </c>
      <c r="C6" s="90">
        <f>'ODOMETERS Halba'!L1</f>
        <v>315152</v>
      </c>
      <c r="D6" s="90">
        <f>L184</f>
        <v>303103</v>
      </c>
      <c r="E6" s="90">
        <f>B6-C6+D6</f>
        <v>3690</v>
      </c>
      <c r="F6" s="5"/>
      <c r="G6" s="5"/>
      <c r="H6" s="91">
        <v>45972</v>
      </c>
      <c r="I6" s="90"/>
      <c r="J6" s="90"/>
      <c r="K6" s="90"/>
      <c r="L6" s="90">
        <v>4078</v>
      </c>
      <c r="M6" s="92">
        <f>14.55/20</f>
        <v>0.72750000000000004</v>
      </c>
      <c r="N6" s="93">
        <f>SUM('BM Stock Halba'!$I6:$L6)*'BM Stock Halba'!$M6</f>
        <v>2966.7450000000003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 x14ac:dyDescent="0.3">
      <c r="A7" s="96" t="s">
        <v>109</v>
      </c>
      <c r="B7" s="97">
        <f>SUM(B5:B6)</f>
        <v>31274</v>
      </c>
      <c r="C7" s="97">
        <f>SUM(C5:C6)</f>
        <v>1206055</v>
      </c>
      <c r="D7" s="97">
        <f>SUM(D5:D6)</f>
        <v>1199891</v>
      </c>
      <c r="E7" s="97">
        <f>SUM(E5:E6)</f>
        <v>25110</v>
      </c>
      <c r="F7" s="5"/>
      <c r="G7" s="5"/>
      <c r="H7" s="91">
        <v>45972</v>
      </c>
      <c r="I7" s="90">
        <v>4625</v>
      </c>
      <c r="J7" s="90"/>
      <c r="K7" s="90"/>
      <c r="L7" s="90"/>
      <c r="M7" s="92">
        <f>14.55/20</f>
        <v>0.72750000000000004</v>
      </c>
      <c r="N7" s="93">
        <f>SUM('BM Stock Halba'!$I7:$L7)*'BM Stock Halba'!$M7</f>
        <v>3364.6875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6" x14ac:dyDescent="0.3">
      <c r="A8" s="5"/>
      <c r="B8" s="5"/>
      <c r="C8" s="5"/>
      <c r="D8" s="5"/>
      <c r="E8" s="5"/>
      <c r="F8" s="5"/>
      <c r="G8" s="5"/>
      <c r="H8" s="91">
        <v>45974</v>
      </c>
      <c r="I8" s="90"/>
      <c r="J8" s="90"/>
      <c r="K8" s="90"/>
      <c r="L8" s="90">
        <v>8748</v>
      </c>
      <c r="M8" s="92">
        <v>0.74</v>
      </c>
      <c r="N8" s="93">
        <f>SUM('BM Stock Halba'!$I8:$L8)*'BM Stock Halba'!$M8</f>
        <v>6473.5199999999995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6" hidden="1" x14ac:dyDescent="0.3">
      <c r="A9" s="5"/>
      <c r="B9" s="5"/>
      <c r="C9" s="5"/>
      <c r="D9" s="5"/>
      <c r="E9" s="5"/>
      <c r="F9" s="5"/>
      <c r="G9" s="5"/>
      <c r="H9" s="91">
        <v>45974</v>
      </c>
      <c r="I9" s="90">
        <v>7010</v>
      </c>
      <c r="J9" s="90">
        <v>9897</v>
      </c>
      <c r="K9" s="90"/>
      <c r="L9" s="90"/>
      <c r="M9" s="92">
        <v>0.72750000000000004</v>
      </c>
      <c r="N9" s="93">
        <f>SUM('BM Stock Halba'!$I9:$L9)*'BM Stock Halba'!$M9</f>
        <v>12299.842500000001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6" hidden="1" x14ac:dyDescent="0.3">
      <c r="A10" s="5"/>
      <c r="B10" s="5"/>
      <c r="C10" s="5"/>
      <c r="D10" s="98"/>
      <c r="E10" s="98"/>
      <c r="F10" s="98"/>
      <c r="G10" s="5"/>
      <c r="H10" s="91">
        <v>45981</v>
      </c>
      <c r="I10" s="90"/>
      <c r="J10" s="90"/>
      <c r="K10" s="90"/>
      <c r="L10" s="90">
        <v>8098</v>
      </c>
      <c r="M10" s="92">
        <v>0.71250000000000002</v>
      </c>
      <c r="N10" s="93">
        <f>SUM('BM Stock Halba'!$I10:$L10)*'BM Stock Halba'!$M10</f>
        <v>5769.8249999999998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6" hidden="1" x14ac:dyDescent="0.3">
      <c r="A11" s="5"/>
      <c r="B11" s="5"/>
      <c r="C11" s="98"/>
      <c r="D11" s="98"/>
      <c r="E11" s="98"/>
      <c r="F11" s="98"/>
      <c r="G11" s="5"/>
      <c r="H11" s="91">
        <v>45981</v>
      </c>
      <c r="I11" s="90">
        <v>8859</v>
      </c>
      <c r="J11" s="90">
        <v>3085</v>
      </c>
      <c r="K11" s="90"/>
      <c r="L11" s="90"/>
      <c r="M11" s="92">
        <v>0.746</v>
      </c>
      <c r="N11" s="93">
        <f>SUM('BM Stock Halba'!$I11:$L11)*'BM Stock Halba'!$M11</f>
        <v>8910.2240000000002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6" hidden="1" x14ac:dyDescent="0.3">
      <c r="A12" s="5"/>
      <c r="B12" s="98"/>
      <c r="C12" s="98"/>
      <c r="D12" s="98"/>
      <c r="E12" s="98"/>
      <c r="F12" s="5"/>
      <c r="G12" s="5"/>
      <c r="H12" s="91">
        <v>45987</v>
      </c>
      <c r="I12" s="90">
        <v>9903</v>
      </c>
      <c r="J12" s="90">
        <v>6059</v>
      </c>
      <c r="K12" s="90"/>
      <c r="L12" s="90"/>
      <c r="M12" s="92">
        <v>0.74950000000000006</v>
      </c>
      <c r="N12" s="93">
        <f>SUM('BM Stock Halba'!$I12:$L12)*'BM Stock Halba'!$M12</f>
        <v>11963.519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6" hidden="1" x14ac:dyDescent="0.3">
      <c r="A13" s="5"/>
      <c r="B13" s="5"/>
      <c r="C13" s="5"/>
      <c r="D13" s="5"/>
      <c r="E13" s="98"/>
      <c r="F13" s="5"/>
      <c r="G13" s="5"/>
      <c r="H13" s="91">
        <v>45994</v>
      </c>
      <c r="I13" s="90">
        <v>4166</v>
      </c>
      <c r="J13" s="90">
        <v>4088</v>
      </c>
      <c r="K13" s="90"/>
      <c r="L13" s="90"/>
      <c r="M13" s="92">
        <v>0.75</v>
      </c>
      <c r="N13" s="93">
        <f>SUM('BM Stock Halba'!$I13:$L13)*'BM Stock Halba'!$M13</f>
        <v>6190.5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6" hidden="1" x14ac:dyDescent="0.3">
      <c r="A14" s="5"/>
      <c r="B14" s="5"/>
      <c r="C14" s="5"/>
      <c r="D14" s="98"/>
      <c r="E14" s="98"/>
      <c r="F14" s="5"/>
      <c r="G14" s="5"/>
      <c r="H14" s="91">
        <v>45996</v>
      </c>
      <c r="I14" s="90">
        <v>4096</v>
      </c>
      <c r="J14" s="90">
        <v>3071</v>
      </c>
      <c r="K14" s="90"/>
      <c r="L14" s="90"/>
      <c r="M14" s="92">
        <v>0.75</v>
      </c>
      <c r="N14" s="93">
        <f>SUM('BM Stock Halba'!$I14:$L14)*'BM Stock Halba'!$M14</f>
        <v>5375.25</v>
      </c>
      <c r="O14" s="5"/>
      <c r="P14" s="5"/>
      <c r="Q14" s="19"/>
      <c r="R14" s="5"/>
      <c r="S14" s="5"/>
      <c r="T14" s="5"/>
      <c r="U14" s="5"/>
      <c r="V14" s="5"/>
      <c r="W14" s="5"/>
      <c r="X14" s="5"/>
      <c r="Y14" s="5"/>
      <c r="Z14" s="5"/>
    </row>
    <row r="15" spans="1:26" ht="15.6" hidden="1" x14ac:dyDescent="0.3">
      <c r="A15" s="5"/>
      <c r="B15" s="5"/>
      <c r="C15" s="98"/>
      <c r="D15" s="98"/>
      <c r="F15" s="98"/>
      <c r="G15" s="5"/>
      <c r="H15" s="91">
        <v>45996</v>
      </c>
      <c r="I15" s="90"/>
      <c r="J15" s="90"/>
      <c r="K15" s="90"/>
      <c r="L15" s="90">
        <v>2962</v>
      </c>
      <c r="M15" s="92">
        <v>0.74950000000000006</v>
      </c>
      <c r="N15" s="93">
        <f>SUM('BM Stock Halba'!$I15:$L15)*'BM Stock Halba'!$M15</f>
        <v>2220.0190000000002</v>
      </c>
      <c r="O15" s="5"/>
      <c r="P15" s="5"/>
      <c r="Q15" s="19"/>
      <c r="R15" s="5"/>
      <c r="S15" s="5"/>
      <c r="T15" s="5"/>
      <c r="U15" s="5"/>
      <c r="V15" s="5"/>
      <c r="W15" s="5"/>
      <c r="X15" s="5"/>
      <c r="Y15" s="5"/>
      <c r="Z15" s="5"/>
    </row>
    <row r="16" spans="1:26" ht="15.6" hidden="1" x14ac:dyDescent="0.3">
      <c r="A16" s="5"/>
      <c r="B16" s="5"/>
      <c r="C16" s="5"/>
      <c r="D16" s="5"/>
      <c r="E16" s="98"/>
      <c r="F16" s="5"/>
      <c r="G16" s="5"/>
      <c r="H16" s="91">
        <v>45998</v>
      </c>
      <c r="I16" s="90"/>
      <c r="J16" s="90"/>
      <c r="K16" s="90"/>
      <c r="L16" s="90">
        <v>3085</v>
      </c>
      <c r="M16" s="92">
        <v>0.74299999999999999</v>
      </c>
      <c r="N16" s="93">
        <f>SUM('BM Stock Halba'!$I16:$L16)*'BM Stock Halba'!$M16</f>
        <v>2292.1550000000002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6" hidden="1" x14ac:dyDescent="0.3">
      <c r="A17" s="5"/>
      <c r="B17" s="5"/>
      <c r="C17" s="5"/>
      <c r="D17" s="5"/>
      <c r="E17" s="5"/>
      <c r="F17" s="5"/>
      <c r="G17" s="5"/>
      <c r="H17" s="91">
        <v>46000</v>
      </c>
      <c r="I17" s="69">
        <f>3068+4092</f>
        <v>7160</v>
      </c>
      <c r="J17" s="90">
        <f>2998+2944</f>
        <v>5942</v>
      </c>
      <c r="K17" s="90"/>
      <c r="L17" s="90"/>
      <c r="M17" s="92">
        <f>14.95/20</f>
        <v>0.74749999999999994</v>
      </c>
      <c r="N17" s="93">
        <f>SUM('BM Stock Halba'!$I17:$L17)*'BM Stock Halba'!$M17</f>
        <v>9793.744999999999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6" hidden="1" x14ac:dyDescent="0.3">
      <c r="A18" s="5"/>
      <c r="B18" s="5"/>
      <c r="C18" s="5"/>
      <c r="D18" s="5"/>
      <c r="E18" s="5"/>
      <c r="F18" s="5"/>
      <c r="G18" s="5"/>
      <c r="H18" s="91">
        <v>46003</v>
      </c>
      <c r="I18" s="90"/>
      <c r="J18" s="90"/>
      <c r="K18" s="90"/>
      <c r="L18" s="90">
        <v>6082</v>
      </c>
      <c r="M18" s="92">
        <f>14.3/20</f>
        <v>0.71500000000000008</v>
      </c>
      <c r="N18" s="93">
        <f>SUM('BM Stock Halba'!$I18:$L18)*'BM Stock Halba'!$M18</f>
        <v>4348.63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6" hidden="1" x14ac:dyDescent="0.3">
      <c r="A19" s="5"/>
      <c r="B19" s="5"/>
      <c r="C19" s="5"/>
      <c r="D19" s="5"/>
      <c r="E19" s="5"/>
      <c r="F19" s="5"/>
      <c r="G19" s="5"/>
      <c r="H19" s="91">
        <v>46003</v>
      </c>
      <c r="I19" s="90">
        <v>4099</v>
      </c>
      <c r="J19" s="90">
        <v>2948</v>
      </c>
      <c r="K19" s="90"/>
      <c r="L19" s="90"/>
      <c r="M19" s="92">
        <f>14.86/20</f>
        <v>0.74299999999999999</v>
      </c>
      <c r="N19" s="93">
        <f>SUM('BM Stock Halba'!$I19:$L19)*'BM Stock Halba'!$M19</f>
        <v>5235.9210000000003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6" hidden="1" x14ac:dyDescent="0.3">
      <c r="A20" s="5"/>
      <c r="B20" s="5"/>
      <c r="C20" s="5"/>
      <c r="D20" s="5"/>
      <c r="E20" s="5"/>
      <c r="F20" s="5"/>
      <c r="G20" s="5"/>
      <c r="H20" s="91">
        <v>46007</v>
      </c>
      <c r="I20" s="90">
        <v>5960</v>
      </c>
      <c r="J20" s="90">
        <v>3070</v>
      </c>
      <c r="K20" s="90"/>
      <c r="L20" s="80"/>
      <c r="M20" s="92">
        <f>14.66/20</f>
        <v>0.73299999999999998</v>
      </c>
      <c r="N20" s="93">
        <f>SUM('BM Stock Halba'!$I20:$L20)*'BM Stock Halba'!$M20</f>
        <v>6618.99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6" hidden="1" x14ac:dyDescent="0.3">
      <c r="A21" s="5"/>
      <c r="B21" s="5"/>
      <c r="C21" s="5"/>
      <c r="D21" s="5"/>
      <c r="E21" s="5"/>
      <c r="F21" s="5"/>
      <c r="G21" s="5"/>
      <c r="H21" s="91">
        <v>46007</v>
      </c>
      <c r="I21" s="90"/>
      <c r="J21" s="90"/>
      <c r="K21" s="90"/>
      <c r="L21" s="90">
        <v>4021</v>
      </c>
      <c r="M21" s="92">
        <f>13.98/20</f>
        <v>0.69900000000000007</v>
      </c>
      <c r="N21" s="93">
        <f>SUM('BM Stock Halba'!$I21:$L21)*'BM Stock Halba'!$M21</f>
        <v>2810.6790000000001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6" hidden="1" x14ac:dyDescent="0.3">
      <c r="A22" s="4"/>
      <c r="B22" s="4"/>
      <c r="C22" s="4"/>
      <c r="D22" s="238"/>
      <c r="E22" s="5"/>
      <c r="F22" s="101"/>
      <c r="G22" s="5"/>
      <c r="H22" s="91">
        <v>46010</v>
      </c>
      <c r="I22" s="80">
        <v>4896</v>
      </c>
      <c r="J22" s="80">
        <v>4662</v>
      </c>
      <c r="K22" s="90"/>
      <c r="L22" s="90"/>
      <c r="M22" s="92">
        <f>14.37/20</f>
        <v>0.71849999999999992</v>
      </c>
      <c r="N22" s="93">
        <f>SUM('BM Stock Halba'!$I22:$L22)*'BM Stock Halba'!$M22</f>
        <v>6867.4229999999989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6" hidden="1" x14ac:dyDescent="0.3">
      <c r="A23" s="5"/>
      <c r="B23" s="5"/>
      <c r="C23" s="5"/>
      <c r="D23" s="5"/>
      <c r="E23" s="5"/>
      <c r="F23" s="5"/>
      <c r="G23" s="5"/>
      <c r="H23" s="91">
        <v>46010</v>
      </c>
      <c r="I23" s="90"/>
      <c r="J23" s="90"/>
      <c r="K23" s="90"/>
      <c r="L23" s="90">
        <v>3079</v>
      </c>
      <c r="M23" s="92">
        <f>13.68/20</f>
        <v>0.68399999999999994</v>
      </c>
      <c r="N23" s="93">
        <f>SUM('BM Stock Halba'!$I23:$L23)*'BM Stock Halba'!$M23</f>
        <v>2106.0359999999996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6" hidden="1" x14ac:dyDescent="0.3">
      <c r="A24" s="5"/>
      <c r="B24" s="5"/>
      <c r="C24" s="5"/>
      <c r="D24" s="5"/>
      <c r="E24" s="5"/>
      <c r="F24" s="5"/>
      <c r="G24" s="5"/>
      <c r="H24" s="91">
        <v>46013</v>
      </c>
      <c r="I24" s="90"/>
      <c r="J24" s="90"/>
      <c r="K24" s="90"/>
      <c r="L24" s="90">
        <v>226</v>
      </c>
      <c r="M24" s="92" t="s">
        <v>110</v>
      </c>
      <c r="N24" s="9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6" hidden="1" x14ac:dyDescent="0.3">
      <c r="A25" s="5"/>
      <c r="B25" s="5"/>
      <c r="C25" s="5"/>
      <c r="D25" s="5"/>
      <c r="E25" s="5"/>
      <c r="F25" s="5"/>
      <c r="G25" s="5"/>
      <c r="H25" s="91">
        <v>46013</v>
      </c>
      <c r="I25" s="90">
        <v>2985</v>
      </c>
      <c r="J25" s="90"/>
      <c r="K25" s="90"/>
      <c r="L25" s="90"/>
      <c r="M25" s="92">
        <f>14.32/20</f>
        <v>0.71599999999999997</v>
      </c>
      <c r="N25" s="93">
        <f>SUM('BM Stock Halba'!$I25:$L25)*'BM Stock Halba'!$M25</f>
        <v>2137.2599999999998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6" hidden="1" x14ac:dyDescent="0.3">
      <c r="A26" s="5"/>
      <c r="B26" s="5"/>
      <c r="C26" s="5"/>
      <c r="D26" s="5"/>
      <c r="E26" s="5"/>
      <c r="F26" s="5"/>
      <c r="G26" s="5"/>
      <c r="H26" s="91">
        <v>46013</v>
      </c>
      <c r="I26" s="90"/>
      <c r="J26" s="90"/>
      <c r="K26" s="90"/>
      <c r="L26" s="90">
        <v>600</v>
      </c>
      <c r="M26" s="92">
        <f>13.64/20</f>
        <v>0.68200000000000005</v>
      </c>
      <c r="N26" s="93">
        <f>SUM('BM Stock Halba'!$I26:$L26)*'BM Stock Halba'!$M26</f>
        <v>409.20000000000005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6" hidden="1" x14ac:dyDescent="0.3">
      <c r="A27" s="5"/>
      <c r="B27" s="5"/>
      <c r="C27" s="5"/>
      <c r="D27" s="101"/>
      <c r="E27" s="5"/>
      <c r="F27" s="5"/>
      <c r="G27" s="5"/>
      <c r="H27" s="91">
        <v>46014</v>
      </c>
      <c r="I27" s="90"/>
      <c r="J27" s="90">
        <v>4116</v>
      </c>
      <c r="K27" s="90"/>
      <c r="L27" s="90"/>
      <c r="M27" s="92">
        <f>14.1/20</f>
        <v>0.70499999999999996</v>
      </c>
      <c r="N27" s="93">
        <f>SUM('BM Stock Halba'!$I27:$L27)*'BM Stock Halba'!$M27</f>
        <v>2901.7799999999997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6" hidden="1" x14ac:dyDescent="0.3">
      <c r="A28" s="5"/>
      <c r="B28" s="5"/>
      <c r="C28" s="5"/>
      <c r="D28" s="5"/>
      <c r="E28" s="5"/>
      <c r="F28" s="5"/>
      <c r="G28" s="5"/>
      <c r="H28" s="91">
        <v>46014</v>
      </c>
      <c r="I28" s="90"/>
      <c r="J28" s="90"/>
      <c r="K28" s="90"/>
      <c r="L28" s="90">
        <v>4186</v>
      </c>
      <c r="M28" s="92">
        <f>13.44/20</f>
        <v>0.67199999999999993</v>
      </c>
      <c r="N28" s="93">
        <f>SUM('BM Stock Halba'!$I28:$L28)*'BM Stock Halba'!$M28</f>
        <v>2812.9919999999997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6" hidden="1" x14ac:dyDescent="0.3">
      <c r="A29" s="5"/>
      <c r="B29" s="5"/>
      <c r="C29" s="5"/>
      <c r="D29" s="5"/>
      <c r="E29" s="5"/>
      <c r="F29" s="5"/>
      <c r="G29" s="5"/>
      <c r="H29" s="91">
        <v>46015</v>
      </c>
      <c r="I29" s="90">
        <v>6090</v>
      </c>
      <c r="J29" s="90"/>
      <c r="K29" s="90"/>
      <c r="L29" s="90"/>
      <c r="M29" s="92">
        <f>14.1/20</f>
        <v>0.70499999999999996</v>
      </c>
      <c r="N29" s="93">
        <f>SUM('BM Stock Halba'!$I29:$L29)*'BM Stock Halba'!$M29</f>
        <v>4293.45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6" hidden="1" x14ac:dyDescent="0.3">
      <c r="A30" s="5"/>
      <c r="B30" s="5"/>
      <c r="C30" s="5"/>
      <c r="D30" s="5"/>
      <c r="E30" s="5"/>
      <c r="F30" s="5"/>
      <c r="G30" s="5"/>
      <c r="H30" s="91">
        <v>46017</v>
      </c>
      <c r="I30" s="90"/>
      <c r="J30" s="90"/>
      <c r="K30" s="90"/>
      <c r="L30" s="90">
        <v>3012</v>
      </c>
      <c r="M30" s="92">
        <f>13.23/20</f>
        <v>0.66149999999999998</v>
      </c>
      <c r="N30" s="93">
        <f>SUM('BM Stock Halba'!$I30:$L30)*'BM Stock Halba'!$M30</f>
        <v>1992.4379999999999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6" hidden="1" x14ac:dyDescent="0.3">
      <c r="A31" s="5"/>
      <c r="B31" s="5"/>
      <c r="C31" s="5"/>
      <c r="D31" s="5"/>
      <c r="E31" s="5"/>
      <c r="F31" s="5"/>
      <c r="G31" s="5"/>
      <c r="H31" s="91">
        <v>46017</v>
      </c>
      <c r="I31" s="90">
        <v>4671</v>
      </c>
      <c r="J31" s="90">
        <v>4121</v>
      </c>
      <c r="K31" s="90"/>
      <c r="L31" s="90"/>
      <c r="M31" s="92">
        <f>13.8/20</f>
        <v>0.69000000000000006</v>
      </c>
      <c r="N31" s="93">
        <f>SUM('BM Stock Halba'!$I31:$L31)*'BM Stock Halba'!$M31</f>
        <v>6066.4800000000005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6" hidden="1" x14ac:dyDescent="0.3">
      <c r="A32" s="5"/>
      <c r="B32" s="5"/>
      <c r="C32" s="5"/>
      <c r="D32" s="5"/>
      <c r="E32" s="5"/>
      <c r="F32" s="5"/>
      <c r="G32" s="5"/>
      <c r="H32" s="91">
        <v>46021</v>
      </c>
      <c r="I32" s="90">
        <v>4114</v>
      </c>
      <c r="J32" s="90">
        <v>3084</v>
      </c>
      <c r="K32" s="90"/>
      <c r="L32" s="90"/>
      <c r="M32" s="92">
        <f>13.7/20</f>
        <v>0.68499999999999994</v>
      </c>
      <c r="N32" s="93">
        <f>SUM('BM Stock Halba'!$I32:$L32)*'BM Stock Halba'!$M32</f>
        <v>4930.6299999999992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6" hidden="1" x14ac:dyDescent="0.3">
      <c r="A33" s="5"/>
      <c r="B33" s="5"/>
      <c r="C33" s="5"/>
      <c r="D33" s="5"/>
      <c r="E33" s="5"/>
      <c r="F33" s="5"/>
      <c r="G33" s="5"/>
      <c r="H33" s="91">
        <v>46021</v>
      </c>
      <c r="I33" s="90"/>
      <c r="J33" s="90"/>
      <c r="K33" s="90"/>
      <c r="L33" s="90">
        <v>4109</v>
      </c>
      <c r="M33" s="92">
        <f>13.11/20</f>
        <v>0.65549999999999997</v>
      </c>
      <c r="N33" s="93">
        <f>SUM('BM Stock Halba'!$I33:$L33)*'BM Stock Halba'!$M33</f>
        <v>2693.4494999999997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6" hidden="1" x14ac:dyDescent="0.3">
      <c r="A34" s="5"/>
      <c r="B34" s="5"/>
      <c r="C34" s="5"/>
      <c r="D34" s="5"/>
      <c r="E34" s="5"/>
      <c r="F34" s="5"/>
      <c r="G34" s="5"/>
      <c r="H34" s="91">
        <v>46022</v>
      </c>
      <c r="I34" s="90">
        <v>4895</v>
      </c>
      <c r="J34" s="90"/>
      <c r="K34" s="90"/>
      <c r="L34" s="90"/>
      <c r="M34" s="92">
        <f>13.62/20</f>
        <v>0.68099999999999994</v>
      </c>
      <c r="N34" s="93">
        <f>SUM('BM Stock Halba'!$I34:$L34)*'BM Stock Halba'!$M34</f>
        <v>3333.4949999999999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6" hidden="1" x14ac:dyDescent="0.3">
      <c r="A35" s="5"/>
      <c r="B35" s="5"/>
      <c r="C35" s="5"/>
      <c r="D35" s="5"/>
      <c r="E35" s="5"/>
      <c r="F35" s="5"/>
      <c r="G35" s="5"/>
      <c r="H35" s="91">
        <v>46022</v>
      </c>
      <c r="I35" s="90"/>
      <c r="J35" s="90"/>
      <c r="K35" s="90"/>
      <c r="L35" s="90">
        <v>4033</v>
      </c>
      <c r="M35" s="92">
        <f>13.11/20</f>
        <v>0.65549999999999997</v>
      </c>
      <c r="N35" s="93">
        <f>SUM('BM Stock Halba'!$I35:$L35)*'BM Stock Halba'!$M35</f>
        <v>2643.6315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6" hidden="1" x14ac:dyDescent="0.3">
      <c r="A36" s="5"/>
      <c r="B36" s="5"/>
      <c r="C36" s="5"/>
      <c r="D36" s="5"/>
      <c r="E36" s="5"/>
      <c r="F36" s="5"/>
      <c r="G36" s="5"/>
      <c r="H36" s="91">
        <v>46024</v>
      </c>
      <c r="I36" s="90">
        <v>2500</v>
      </c>
      <c r="J36" s="90">
        <v>4114</v>
      </c>
      <c r="K36" s="90"/>
      <c r="L36" s="90"/>
      <c r="M36" s="92">
        <f>13.35/20</f>
        <v>0.66749999999999998</v>
      </c>
      <c r="N36" s="93">
        <f>SUM('BM Stock Halba'!$I36:$L36)*'BM Stock Halba'!$M36</f>
        <v>4414.8450000000003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6" hidden="1" x14ac:dyDescent="0.3">
      <c r="A37" s="5"/>
      <c r="B37" s="5"/>
      <c r="C37" s="5"/>
      <c r="D37" s="5"/>
      <c r="E37" s="5"/>
      <c r="F37" s="5"/>
      <c r="G37" s="5"/>
      <c r="H37" s="91">
        <v>46024</v>
      </c>
      <c r="I37" s="90"/>
      <c r="J37" s="90"/>
      <c r="K37" s="90"/>
      <c r="L37" s="90">
        <v>4111</v>
      </c>
      <c r="M37" s="92">
        <f>12.97/20</f>
        <v>0.64850000000000008</v>
      </c>
      <c r="N37" s="93">
        <f>SUM('BM Stock Halba'!$I37:$L37)*'BM Stock Halba'!$M37</f>
        <v>2665.9835000000003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6" hidden="1" x14ac:dyDescent="0.3">
      <c r="A38" s="5"/>
      <c r="B38" s="5"/>
      <c r="C38" s="5"/>
      <c r="D38" s="5"/>
      <c r="E38" s="5"/>
      <c r="F38" s="5"/>
      <c r="G38" s="5"/>
      <c r="H38" s="91">
        <v>46027</v>
      </c>
      <c r="I38" s="90">
        <v>4027</v>
      </c>
      <c r="J38" s="90">
        <v>2969</v>
      </c>
      <c r="K38" s="90"/>
      <c r="L38" s="90"/>
      <c r="M38" s="92">
        <f>13.45/20</f>
        <v>0.67249999999999999</v>
      </c>
      <c r="N38" s="93">
        <f>SUM('BM Stock Halba'!$I38:$L38)*'BM Stock Halba'!$M38</f>
        <v>4704.8099999999995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6" hidden="1" x14ac:dyDescent="0.3">
      <c r="A39" s="5"/>
      <c r="B39" s="5"/>
      <c r="C39" s="5"/>
      <c r="D39" s="5"/>
      <c r="E39" s="5"/>
      <c r="F39" s="5"/>
      <c r="G39" s="5"/>
      <c r="H39" s="91">
        <v>46027</v>
      </c>
      <c r="I39" s="90"/>
      <c r="J39" s="90"/>
      <c r="K39" s="90"/>
      <c r="L39" s="90">
        <v>3080</v>
      </c>
      <c r="M39" s="92">
        <f>13.07/20</f>
        <v>0.65349999999999997</v>
      </c>
      <c r="N39" s="93">
        <f>SUM('BM Stock Halba'!$I39:$L39)*'BM Stock Halba'!$M39</f>
        <v>2012.78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6" hidden="1" x14ac:dyDescent="0.3">
      <c r="A40" s="5"/>
      <c r="B40" s="5"/>
      <c r="C40" s="5"/>
      <c r="D40" s="5"/>
      <c r="E40" s="5"/>
      <c r="F40" s="5"/>
      <c r="G40" s="5"/>
      <c r="H40" s="91">
        <v>46029</v>
      </c>
      <c r="I40" s="90">
        <v>4184</v>
      </c>
      <c r="J40" s="90">
        <v>4119</v>
      </c>
      <c r="K40" s="90"/>
      <c r="L40" s="90"/>
      <c r="M40" s="92">
        <f>13.3/20</f>
        <v>0.66500000000000004</v>
      </c>
      <c r="N40" s="93">
        <f>SUM('BM Stock Halba'!$I40:$L40)*'BM Stock Halba'!$M40</f>
        <v>5521.4949999999999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6" hidden="1" x14ac:dyDescent="0.3">
      <c r="A41" s="5"/>
      <c r="B41" s="5"/>
      <c r="C41" s="5"/>
      <c r="D41" s="5"/>
      <c r="E41" s="5"/>
      <c r="F41" s="5"/>
      <c r="G41" s="5"/>
      <c r="H41" s="91">
        <v>46029</v>
      </c>
      <c r="I41" s="90"/>
      <c r="J41" s="90"/>
      <c r="K41" s="90"/>
      <c r="L41" s="90">
        <v>4670</v>
      </c>
      <c r="M41" s="92">
        <f>13.05/20</f>
        <v>0.65250000000000008</v>
      </c>
      <c r="N41" s="93">
        <f>SUM('BM Stock Halba'!$I41:$L41)*'BM Stock Halba'!$M41</f>
        <v>3047.1750000000002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6" hidden="1" x14ac:dyDescent="0.3">
      <c r="A42" s="5"/>
      <c r="B42" s="5"/>
      <c r="C42" s="5"/>
      <c r="D42" s="5"/>
      <c r="E42" s="5"/>
      <c r="F42" s="5"/>
      <c r="G42" s="5"/>
      <c r="H42" s="91">
        <v>46031</v>
      </c>
      <c r="I42" s="90"/>
      <c r="J42" s="90"/>
      <c r="K42" s="90"/>
      <c r="L42" s="90">
        <v>9573</v>
      </c>
      <c r="M42" s="92">
        <f>13/20</f>
        <v>0.65</v>
      </c>
      <c r="N42" s="93">
        <f>SUM('BM Stock Halba'!$I42:$L42)*'BM Stock Halba'!$M42</f>
        <v>6222.45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6" hidden="1" x14ac:dyDescent="0.3">
      <c r="A43" s="5"/>
      <c r="B43" s="5"/>
      <c r="C43" s="5"/>
      <c r="D43" s="5"/>
      <c r="E43" s="5"/>
      <c r="F43" s="5"/>
      <c r="G43" s="5"/>
      <c r="H43" s="91">
        <v>46031</v>
      </c>
      <c r="I43" s="90">
        <v>4120</v>
      </c>
      <c r="J43" s="90"/>
      <c r="K43" s="90"/>
      <c r="L43" s="90"/>
      <c r="M43" s="92">
        <f>13.3/20</f>
        <v>0.66500000000000004</v>
      </c>
      <c r="N43" s="93">
        <f>SUM('BM Stock Halba'!$I43:$L43)*'BM Stock Halba'!$M43</f>
        <v>2739.8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6" hidden="1" x14ac:dyDescent="0.3">
      <c r="A44" s="5"/>
      <c r="B44" s="5"/>
      <c r="C44" s="5"/>
      <c r="D44" s="5"/>
      <c r="E44" s="5"/>
      <c r="F44" s="5"/>
      <c r="G44" s="5"/>
      <c r="H44" s="91">
        <v>46034</v>
      </c>
      <c r="I44" s="90">
        <f>4669+4185</f>
        <v>8854</v>
      </c>
      <c r="J44" s="90">
        <f>4105+4120</f>
        <v>8225</v>
      </c>
      <c r="K44" s="90"/>
      <c r="L44" s="90"/>
      <c r="M44" s="92">
        <f>13.3/20</f>
        <v>0.66500000000000004</v>
      </c>
      <c r="N44" s="93">
        <f>SUM('BM Stock Halba'!$I44:$L44)*'BM Stock Halba'!$M44</f>
        <v>11357.535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6" hidden="1" x14ac:dyDescent="0.3">
      <c r="A45" s="5"/>
      <c r="B45" s="5"/>
      <c r="C45" s="5"/>
      <c r="D45" s="5"/>
      <c r="E45" s="5"/>
      <c r="F45" s="5"/>
      <c r="G45" s="5"/>
      <c r="H45" s="91">
        <v>46034</v>
      </c>
      <c r="I45" s="90"/>
      <c r="J45" s="90"/>
      <c r="K45" s="90"/>
      <c r="L45" s="90">
        <v>4909</v>
      </c>
      <c r="M45" s="92">
        <f>13/20</f>
        <v>0.65</v>
      </c>
      <c r="N45" s="93">
        <f>SUM('BM Stock Halba'!$I45:$L45)*'BM Stock Halba'!$M45</f>
        <v>3190.85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6" hidden="1" x14ac:dyDescent="0.3">
      <c r="A46" s="5"/>
      <c r="B46" s="5"/>
      <c r="C46" s="5"/>
      <c r="D46" s="5"/>
      <c r="E46" s="5"/>
      <c r="F46" s="5"/>
      <c r="G46" s="5"/>
      <c r="H46" s="91">
        <v>46036</v>
      </c>
      <c r="I46" s="90"/>
      <c r="J46" s="90"/>
      <c r="K46" s="90"/>
      <c r="L46" s="90">
        <f>4168+4884+4088</f>
        <v>13140</v>
      </c>
      <c r="M46" s="92">
        <f>13.05/20</f>
        <v>0.65250000000000008</v>
      </c>
      <c r="N46" s="93">
        <f>SUM('BM Stock Halba'!$I46:$L46)*'BM Stock Halba'!$M46</f>
        <v>8573.85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6" hidden="1" x14ac:dyDescent="0.3">
      <c r="A47" s="5"/>
      <c r="B47" s="5"/>
      <c r="C47" s="5"/>
      <c r="D47" s="5"/>
      <c r="E47" s="5"/>
      <c r="F47" s="5"/>
      <c r="G47" s="5"/>
      <c r="H47" s="91">
        <v>46037</v>
      </c>
      <c r="I47" s="90">
        <v>4040</v>
      </c>
      <c r="J47" s="90">
        <v>2975</v>
      </c>
      <c r="K47" s="90"/>
      <c r="L47" s="90"/>
      <c r="M47" s="92">
        <f>13.4/20</f>
        <v>0.67</v>
      </c>
      <c r="N47" s="93">
        <f>SUM('BM Stock Halba'!$I47:$L47)*'BM Stock Halba'!$M47</f>
        <v>4700.05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6" hidden="1" x14ac:dyDescent="0.3">
      <c r="A48" s="5"/>
      <c r="B48" s="5"/>
      <c r="C48" s="5"/>
      <c r="D48" s="5"/>
      <c r="E48" s="5"/>
      <c r="F48" s="5"/>
      <c r="G48" s="5"/>
      <c r="H48" s="91">
        <v>46038</v>
      </c>
      <c r="I48" s="80"/>
      <c r="J48" s="90">
        <v>4113</v>
      </c>
      <c r="K48" s="90"/>
      <c r="L48" s="90"/>
      <c r="M48" s="92">
        <f>13.4/20</f>
        <v>0.67</v>
      </c>
      <c r="N48" s="90">
        <v>4113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6" hidden="1" x14ac:dyDescent="0.3">
      <c r="A49" s="5"/>
      <c r="B49" s="5"/>
      <c r="C49" s="5"/>
      <c r="D49" s="5"/>
      <c r="E49" s="5"/>
      <c r="F49" s="5"/>
      <c r="G49" s="5"/>
      <c r="H49" s="91">
        <v>46038</v>
      </c>
      <c r="I49" s="233">
        <v>3085</v>
      </c>
      <c r="J49" s="90"/>
      <c r="K49" s="90"/>
      <c r="L49" s="90"/>
      <c r="M49" s="92">
        <f>13.09/20</f>
        <v>0.65449999999999997</v>
      </c>
      <c r="N49" s="93">
        <f>'BM Stock Halba'!$M49*'BM Stock Halba'!$I49</f>
        <v>2019.1324999999999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6" hidden="1" x14ac:dyDescent="0.3">
      <c r="A50" s="5"/>
      <c r="B50" s="5"/>
      <c r="C50" s="5"/>
      <c r="D50" s="5"/>
      <c r="E50" s="5"/>
      <c r="F50" s="5"/>
      <c r="G50" s="5"/>
      <c r="H50" s="91">
        <v>46039</v>
      </c>
      <c r="I50" s="90">
        <v>14276</v>
      </c>
      <c r="J50" s="90"/>
      <c r="K50" s="90"/>
      <c r="L50" s="90"/>
      <c r="M50" s="92">
        <f>13.4/20</f>
        <v>0.67</v>
      </c>
      <c r="N50" s="93">
        <f>'BM Stock Halba'!$I50*'BM Stock Halba'!$M50</f>
        <v>9564.92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6" hidden="1" x14ac:dyDescent="0.3">
      <c r="A51" s="5"/>
      <c r="B51" s="5"/>
      <c r="C51" s="5"/>
      <c r="D51" s="5"/>
      <c r="E51" s="5"/>
      <c r="F51" s="5"/>
      <c r="G51" s="5"/>
      <c r="H51" s="91">
        <v>46039</v>
      </c>
      <c r="I51" s="90">
        <v>44</v>
      </c>
      <c r="J51" s="90"/>
      <c r="K51" s="90"/>
      <c r="L51" s="90"/>
      <c r="M51" s="92">
        <v>0</v>
      </c>
      <c r="N51" s="93" t="s">
        <v>110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6" hidden="1" x14ac:dyDescent="0.3">
      <c r="A52" s="5"/>
      <c r="B52" s="5"/>
      <c r="C52" s="5"/>
      <c r="D52" s="5"/>
      <c r="E52" s="5"/>
      <c r="F52" s="5"/>
      <c r="G52" s="5"/>
      <c r="H52" s="91">
        <v>46041</v>
      </c>
      <c r="I52" s="90">
        <v>3021</v>
      </c>
      <c r="J52" s="90">
        <v>2981</v>
      </c>
      <c r="K52" s="90"/>
      <c r="L52" s="90"/>
      <c r="M52" s="92">
        <f>13.4/20</f>
        <v>0.67</v>
      </c>
      <c r="N52" s="93">
        <f>SUM('BM Stock Halba'!$I52:$L52)*'BM Stock Halba'!$M52</f>
        <v>4021.34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6" hidden="1" x14ac:dyDescent="0.3">
      <c r="A53" s="5"/>
      <c r="B53" s="5"/>
      <c r="C53" s="5"/>
      <c r="D53" s="5"/>
      <c r="E53" s="5"/>
      <c r="F53" s="5"/>
      <c r="G53" s="5"/>
      <c r="H53" s="91">
        <v>46044</v>
      </c>
      <c r="I53" s="90"/>
      <c r="J53" s="90"/>
      <c r="K53" s="90"/>
      <c r="L53" s="90">
        <v>4907</v>
      </c>
      <c r="M53" s="92">
        <f>13.2/20</f>
        <v>0.65999999999999992</v>
      </c>
      <c r="N53" s="93">
        <f>SUM('BM Stock Halba'!$I53:$L53)*'BM Stock Halba'!$M53</f>
        <v>3238.6199999999994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6" hidden="1" x14ac:dyDescent="0.3">
      <c r="A54" s="5"/>
      <c r="B54" s="5"/>
      <c r="C54" s="5"/>
      <c r="D54" s="5"/>
      <c r="E54" s="5"/>
      <c r="F54" s="5"/>
      <c r="G54" s="5"/>
      <c r="H54" s="91">
        <v>46045</v>
      </c>
      <c r="I54" s="90"/>
      <c r="J54" s="90">
        <v>4121</v>
      </c>
      <c r="K54" s="90"/>
      <c r="L54" s="90"/>
      <c r="M54" s="92">
        <f>13.55/20</f>
        <v>0.67749999999999999</v>
      </c>
      <c r="N54" s="93">
        <f>SUM('BM Stock Halba'!$I54:$L54)*'BM Stock Halba'!$M54</f>
        <v>2791.9775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6" hidden="1" x14ac:dyDescent="0.3">
      <c r="A55" s="5"/>
      <c r="B55" s="5"/>
      <c r="C55" s="5"/>
      <c r="D55" s="5"/>
      <c r="E55" s="5"/>
      <c r="F55" s="5"/>
      <c r="G55" s="5"/>
      <c r="H55" s="91">
        <v>46048</v>
      </c>
      <c r="I55" s="90">
        <f>3026+3096+4130</f>
        <v>10252</v>
      </c>
      <c r="J55" s="90">
        <v>2986</v>
      </c>
      <c r="K55" s="90"/>
      <c r="L55" s="90"/>
      <c r="M55" s="92">
        <f>13.6/20</f>
        <v>0.67999999999999994</v>
      </c>
      <c r="N55" s="93">
        <f>'BM Stock Halba'!$M55*SUM('BM Stock Halba'!$I55:$J55)</f>
        <v>9001.8399999999983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6" hidden="1" x14ac:dyDescent="0.3">
      <c r="A56" s="5"/>
      <c r="B56" s="5"/>
      <c r="C56" s="5"/>
      <c r="D56" s="5"/>
      <c r="E56" s="5"/>
      <c r="F56" s="5"/>
      <c r="G56" s="5"/>
      <c r="H56" s="219">
        <v>46048</v>
      </c>
      <c r="I56" s="220"/>
      <c r="J56" s="220"/>
      <c r="K56" s="220"/>
      <c r="L56" s="220">
        <f>4040+2964+4893+4175</f>
        <v>16072</v>
      </c>
      <c r="M56" s="221">
        <f>13.3/20</f>
        <v>0.66500000000000004</v>
      </c>
      <c r="N56" s="222">
        <f>'BM Stock Halba'!$M56*'BM Stock Halba'!$L56</f>
        <v>10687.880000000001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6" hidden="1" x14ac:dyDescent="0.3">
      <c r="A57" s="5"/>
      <c r="B57" s="5"/>
      <c r="C57" s="5"/>
      <c r="D57" s="5"/>
      <c r="E57" s="5"/>
      <c r="F57" s="5"/>
      <c r="G57" s="5"/>
      <c r="H57" s="223">
        <v>46050</v>
      </c>
      <c r="I57" s="224">
        <v>4676</v>
      </c>
      <c r="J57" s="224">
        <f>4126+4111</f>
        <v>8237</v>
      </c>
      <c r="K57" s="224"/>
      <c r="L57" s="224"/>
      <c r="M57" s="225">
        <f>13.7/20</f>
        <v>0.68499999999999994</v>
      </c>
      <c r="N57" s="226">
        <f>SUM('BM Stock Halba'!$I57:$J57)*'BM Stock Halba'!$M57</f>
        <v>8845.4049999999988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6" hidden="1" x14ac:dyDescent="0.3">
      <c r="A58" s="5"/>
      <c r="B58" s="5"/>
      <c r="C58" s="5"/>
      <c r="D58" s="5"/>
      <c r="E58" s="5"/>
      <c r="F58" s="5"/>
      <c r="G58" s="5"/>
      <c r="H58" s="223">
        <v>46051</v>
      </c>
      <c r="I58" s="224">
        <v>4112</v>
      </c>
      <c r="J58" s="224">
        <v>4037</v>
      </c>
      <c r="K58" s="224"/>
      <c r="L58" s="224"/>
      <c r="M58" s="225">
        <f>13.7/20</f>
        <v>0.68499999999999994</v>
      </c>
      <c r="N58" s="226">
        <f>'BM Stock Halba'!$M58*('BM Stock Halba'!$I58+'BM Stock Halba'!$J58)</f>
        <v>5582.0649999999996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6" hidden="1" x14ac:dyDescent="0.3">
      <c r="A59" s="5"/>
      <c r="B59" s="5"/>
      <c r="C59" s="5"/>
      <c r="D59" s="5"/>
      <c r="E59" s="5"/>
      <c r="F59" s="5"/>
      <c r="G59" s="5"/>
      <c r="H59" s="223">
        <v>46055</v>
      </c>
      <c r="I59" s="224">
        <v>8142</v>
      </c>
      <c r="J59" s="224">
        <v>9066</v>
      </c>
      <c r="K59" s="224"/>
      <c r="L59" s="224"/>
      <c r="M59" s="225">
        <f>13.88/20</f>
        <v>0.69400000000000006</v>
      </c>
      <c r="N59" s="226">
        <f>SUM(Table_6[[#This Row],[Benzine 1]:[Mezout]])*Table_6[[#This Row],[Price]]</f>
        <v>11942.352000000001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6" hidden="1" x14ac:dyDescent="0.3">
      <c r="A60" s="5"/>
      <c r="B60" s="5"/>
      <c r="C60" s="5"/>
      <c r="D60" s="5"/>
      <c r="E60" s="5"/>
      <c r="F60" s="5"/>
      <c r="G60" s="5"/>
      <c r="H60" s="223">
        <v>46055</v>
      </c>
      <c r="I60" s="224"/>
      <c r="J60" s="224"/>
      <c r="K60" s="224"/>
      <c r="L60" s="224">
        <v>8759</v>
      </c>
      <c r="M60" s="225">
        <f>13.7/20</f>
        <v>0.68499999999999994</v>
      </c>
      <c r="N60" s="226">
        <f>Table_6[[#This Row],[Mezout]]*Table_6[[#This Row],[Price]]</f>
        <v>5999.9149999999991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6" hidden="1" x14ac:dyDescent="0.3">
      <c r="A61" s="5"/>
      <c r="B61" s="5"/>
      <c r="C61" s="5"/>
      <c r="D61" s="5"/>
      <c r="E61" s="5"/>
      <c r="F61" s="5"/>
      <c r="G61" s="5"/>
      <c r="H61" s="223">
        <v>46064</v>
      </c>
      <c r="I61" s="224">
        <v>80</v>
      </c>
      <c r="J61" s="224"/>
      <c r="K61" s="224"/>
      <c r="L61" s="224"/>
      <c r="M61" s="225">
        <v>0</v>
      </c>
      <c r="N61" s="226" t="s">
        <v>110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6" hidden="1" x14ac:dyDescent="0.3">
      <c r="A62" s="5"/>
      <c r="B62" s="5"/>
      <c r="C62" s="5"/>
      <c r="D62" s="5"/>
      <c r="E62" s="5"/>
      <c r="F62" s="5"/>
      <c r="G62" s="5"/>
      <c r="H62" s="223">
        <v>46064</v>
      </c>
      <c r="I62" s="224">
        <f>4121+4186+4106</f>
        <v>12413</v>
      </c>
      <c r="J62" s="224">
        <f>4906+4671</f>
        <v>9577</v>
      </c>
      <c r="K62" s="224"/>
      <c r="L62" s="224"/>
      <c r="M62" s="225">
        <f>13.97/20</f>
        <v>0.69850000000000001</v>
      </c>
      <c r="N62" s="226">
        <f>SUM(Table_6[[#This Row],[Benzine 1]:[Benzine 2]])*Table_6[[#This Row],[Price]]</f>
        <v>15360.014999999999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6" hidden="1" x14ac:dyDescent="0.3">
      <c r="A63" s="5"/>
      <c r="B63" s="5"/>
      <c r="C63" s="5"/>
      <c r="D63" s="5"/>
      <c r="E63" s="5"/>
      <c r="F63" s="5"/>
      <c r="G63" s="5"/>
      <c r="H63" s="223">
        <v>46065</v>
      </c>
      <c r="I63" s="224"/>
      <c r="J63" s="224"/>
      <c r="K63" s="224"/>
      <c r="L63" s="224">
        <v>6078</v>
      </c>
      <c r="M63" s="225">
        <f>13.99/20</f>
        <v>0.69950000000000001</v>
      </c>
      <c r="N63" s="226">
        <f>Table_6[[#This Row],[Price]]*Table_6[[#This Row],[Mezout]]</f>
        <v>4251.5609999999997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6" hidden="1" x14ac:dyDescent="0.3">
      <c r="A64" s="5"/>
      <c r="B64" s="5"/>
      <c r="C64" s="5"/>
      <c r="D64" s="227"/>
      <c r="E64" s="20"/>
      <c r="F64" s="5"/>
      <c r="G64" s="5"/>
      <c r="H64" s="223">
        <v>46069</v>
      </c>
      <c r="I64" s="224">
        <f>4105+4025</f>
        <v>8130</v>
      </c>
      <c r="J64" s="224">
        <f>3008+3078+2968</f>
        <v>9054</v>
      </c>
      <c r="K64" s="224"/>
      <c r="L64" s="224"/>
      <c r="M64" s="225">
        <f>14.12/20</f>
        <v>0.70599999999999996</v>
      </c>
      <c r="N64" s="226">
        <f>SUM(Table_6[[#This Row],[Benzine 1]:[Mezout]])*M64</f>
        <v>12131.903999999999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6" hidden="1" x14ac:dyDescent="0.3">
      <c r="A65" s="5"/>
      <c r="B65" s="5"/>
      <c r="C65" s="5"/>
      <c r="D65" s="5"/>
      <c r="E65" s="5"/>
      <c r="F65" s="5"/>
      <c r="G65" s="5"/>
      <c r="H65" s="223">
        <v>46069</v>
      </c>
      <c r="I65" s="224"/>
      <c r="J65" s="224"/>
      <c r="K65" s="224"/>
      <c r="L65" s="224">
        <v>4892</v>
      </c>
      <c r="M65" s="225">
        <f>14.09/20</f>
        <v>0.70450000000000002</v>
      </c>
      <c r="N65" s="226">
        <f>Table_6[[#This Row],[Price]]*Table_6[[#This Row],[Mezout]]</f>
        <v>3446.4140000000002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6" hidden="1" x14ac:dyDescent="0.3">
      <c r="A66" s="5"/>
      <c r="B66" s="5"/>
      <c r="C66" s="5"/>
      <c r="D66" s="5"/>
      <c r="E66" s="5"/>
      <c r="F66" s="5"/>
      <c r="G66" s="5"/>
      <c r="H66" s="223">
        <v>46075</v>
      </c>
      <c r="I66" s="224"/>
      <c r="J66" s="224"/>
      <c r="K66" s="224"/>
      <c r="L66" s="224">
        <v>220</v>
      </c>
      <c r="M66" s="225">
        <v>0</v>
      </c>
      <c r="N66" s="226" t="s">
        <v>110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6" hidden="1" x14ac:dyDescent="0.3">
      <c r="A67" s="5"/>
      <c r="B67" s="5"/>
      <c r="C67" s="5"/>
      <c r="D67" s="5"/>
      <c r="E67" s="5"/>
      <c r="F67" s="5"/>
      <c r="G67" s="5"/>
      <c r="H67" s="223">
        <v>46076</v>
      </c>
      <c r="I67" s="224">
        <v>8133</v>
      </c>
      <c r="J67" s="224">
        <v>4897</v>
      </c>
      <c r="K67" s="224"/>
      <c r="L67" s="224"/>
      <c r="M67" s="225">
        <f>17.99/20</f>
        <v>0.89949999999999997</v>
      </c>
      <c r="N67" s="226">
        <f>(Table_6[[#This Row],[Benzine 1]]+Table_6[[#This Row],[Benzine 2]])*Table_6[[#This Row],[Price]]</f>
        <v>11720.484999999999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6" hidden="1" x14ac:dyDescent="0.3">
      <c r="A68" s="5"/>
      <c r="B68" s="5"/>
      <c r="C68" s="5"/>
      <c r="D68" s="5"/>
      <c r="E68" s="5"/>
      <c r="F68" s="5"/>
      <c r="G68" s="5"/>
      <c r="H68" s="223">
        <v>46076</v>
      </c>
      <c r="I68" s="224"/>
      <c r="J68" s="224"/>
      <c r="K68" s="224"/>
      <c r="L68" s="224">
        <v>12006</v>
      </c>
      <c r="M68" s="225">
        <f>14.19/20</f>
        <v>0.70950000000000002</v>
      </c>
      <c r="N68" s="226">
        <f>Table_6[[#This Row],[Mezout]]*Table_6[[#This Row],[Price]]</f>
        <v>8518.2569999999996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6" hidden="1" x14ac:dyDescent="0.3">
      <c r="A69" s="5"/>
      <c r="B69" s="5"/>
      <c r="C69" s="5"/>
      <c r="D69" s="5"/>
      <c r="E69" s="5"/>
      <c r="F69" s="5"/>
      <c r="G69" s="5"/>
      <c r="H69" s="223">
        <v>46079</v>
      </c>
      <c r="I69" s="224"/>
      <c r="J69" s="224"/>
      <c r="K69" s="224"/>
      <c r="L69" s="224">
        <v>4883</v>
      </c>
      <c r="M69" s="225">
        <f>14.21/20</f>
        <v>0.71050000000000002</v>
      </c>
      <c r="N69" s="226">
        <f>Table_6[[#This Row],[Price]]*Table_6[[#This Row],[Mezout]]</f>
        <v>3469.3715000000002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6" hidden="1" x14ac:dyDescent="0.3">
      <c r="A70" s="5"/>
      <c r="B70" s="5"/>
      <c r="C70" s="5"/>
      <c r="D70" s="5"/>
      <c r="E70" s="5"/>
      <c r="F70" s="5"/>
      <c r="G70" s="5"/>
      <c r="H70" s="223">
        <v>46080</v>
      </c>
      <c r="I70" s="224">
        <v>4674</v>
      </c>
      <c r="J70" s="224">
        <v>4909</v>
      </c>
      <c r="K70" s="224"/>
      <c r="L70" s="224"/>
      <c r="M70" s="225">
        <f>18.23/20</f>
        <v>0.91149999999999998</v>
      </c>
      <c r="N70" s="226">
        <f>(Table_6[[#This Row],[Benzine 1]]+Table_6[[#This Row],[Benzine 2]])*Table_6[[#This Row],[Price]]</f>
        <v>8734.9045000000006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6" hidden="1" x14ac:dyDescent="0.3">
      <c r="A71" s="5"/>
      <c r="B71" s="5"/>
      <c r="C71" s="5"/>
      <c r="D71" s="5"/>
      <c r="E71" s="5"/>
      <c r="F71" s="5"/>
      <c r="G71" s="5"/>
      <c r="H71" s="223">
        <v>46082</v>
      </c>
      <c r="I71" s="224">
        <v>7104</v>
      </c>
      <c r="J71" s="224">
        <f>4000+4073+2964</f>
        <v>11037</v>
      </c>
      <c r="K71" s="224"/>
      <c r="L71" s="224"/>
      <c r="M71" s="225">
        <f>18.23/20</f>
        <v>0.91149999999999998</v>
      </c>
      <c r="N71" s="226">
        <f>SUM(Table_6[[#This Row],[Benzine 1]:[Benzine 2]])*0.9115</f>
        <v>16535.521499999999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6" hidden="1" x14ac:dyDescent="0.3">
      <c r="A72" s="5"/>
      <c r="B72" s="5"/>
      <c r="C72" s="5"/>
      <c r="D72" s="5"/>
      <c r="E72" s="5"/>
      <c r="F72" s="5"/>
      <c r="G72" s="5"/>
      <c r="H72" s="223">
        <v>46083</v>
      </c>
      <c r="I72" s="224">
        <v>6102</v>
      </c>
      <c r="J72" s="224"/>
      <c r="K72" s="224"/>
      <c r="L72" s="224"/>
      <c r="M72" s="225">
        <f>18.23/20</f>
        <v>0.91149999999999998</v>
      </c>
      <c r="N72" s="226">
        <f>Table_6[[#This Row],[Benzine 1]]*Table_6[[#This Row],[Price]]</f>
        <v>5561.973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6" hidden="1" x14ac:dyDescent="0.3">
      <c r="A73" s="5"/>
      <c r="B73" s="5"/>
      <c r="C73" s="5"/>
      <c r="D73" s="5"/>
      <c r="E73" s="5"/>
      <c r="F73" s="5"/>
      <c r="G73" s="5"/>
      <c r="H73" s="223">
        <v>46083</v>
      </c>
      <c r="I73" s="224"/>
      <c r="J73" s="224"/>
      <c r="K73" s="224"/>
      <c r="L73" s="224">
        <v>4905</v>
      </c>
      <c r="M73" s="225">
        <f>14.38/20</f>
        <v>0.71900000000000008</v>
      </c>
      <c r="N73" s="226">
        <f>Table_6[[#This Row],[Mezout]]*Table_6[[#This Row],[Price]]</f>
        <v>3526.6950000000006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6" hidden="1" x14ac:dyDescent="0.3">
      <c r="A74" s="5"/>
      <c r="B74" s="5"/>
      <c r="C74" s="5"/>
      <c r="D74" s="5"/>
      <c r="E74" s="5"/>
      <c r="F74" s="5"/>
      <c r="G74" s="5"/>
      <c r="H74" s="223">
        <v>46084</v>
      </c>
      <c r="I74" s="224">
        <v>4169</v>
      </c>
      <c r="J74" s="224">
        <f>4885+4652</f>
        <v>9537</v>
      </c>
      <c r="K74" s="224"/>
      <c r="L74" s="224"/>
      <c r="M74" s="225" t="s">
        <v>61</v>
      </c>
      <c r="N74" s="226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6" hidden="1" x14ac:dyDescent="0.3">
      <c r="A75" s="5"/>
      <c r="B75" s="5"/>
      <c r="C75" s="5"/>
      <c r="D75" s="5"/>
      <c r="E75" s="5"/>
      <c r="F75" s="5"/>
      <c r="G75" s="5"/>
      <c r="H75" s="223">
        <v>46085</v>
      </c>
      <c r="I75" s="224"/>
      <c r="J75" s="224">
        <v>4117</v>
      </c>
      <c r="K75" s="224"/>
      <c r="L75" s="224"/>
      <c r="M75" s="225">
        <f>18.35/20</f>
        <v>0.91750000000000009</v>
      </c>
      <c r="N75" s="226">
        <f>Table_6[[#This Row],[Benzine 2]]*Table_6[[#This Row],[Price]]</f>
        <v>3777.3475000000003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6" hidden="1" x14ac:dyDescent="0.3">
      <c r="A76" s="5"/>
      <c r="B76" s="5"/>
      <c r="C76" s="5"/>
      <c r="D76" s="5"/>
      <c r="E76" s="5"/>
      <c r="F76" s="5"/>
      <c r="G76" s="5"/>
      <c r="H76" s="223">
        <v>46086</v>
      </c>
      <c r="I76" s="224"/>
      <c r="J76" s="224"/>
      <c r="K76" s="224"/>
      <c r="L76" s="5">
        <v>9583</v>
      </c>
      <c r="M76" s="225">
        <f>18.23/20</f>
        <v>0.91149999999999998</v>
      </c>
      <c r="N76" s="226">
        <f>Table_6[[#This Row],[Mezout]]*Table_6[[#This Row],[Price]]</f>
        <v>8734.9045000000006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6" hidden="1" x14ac:dyDescent="0.3">
      <c r="A77" s="5"/>
      <c r="B77" s="5"/>
      <c r="C77" s="5"/>
      <c r="D77" s="5"/>
      <c r="E77" s="5"/>
      <c r="F77" s="5"/>
      <c r="G77" s="5"/>
      <c r="H77" s="223">
        <v>46090</v>
      </c>
      <c r="I77" s="224">
        <v>4683</v>
      </c>
      <c r="J77" s="224">
        <v>4132</v>
      </c>
      <c r="K77" s="224"/>
      <c r="L77" s="224"/>
      <c r="M77" s="225">
        <f>19.36/20</f>
        <v>0.96799999999999997</v>
      </c>
      <c r="N77" s="226">
        <f>SUM(Table_6[[#This Row],[Benzine 1]:[Benzine 2]])*Table_6[[#This Row],[Price]]</f>
        <v>8532.92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6" hidden="1" x14ac:dyDescent="0.3">
      <c r="A78" s="5"/>
      <c r="B78" s="5"/>
      <c r="C78" s="5"/>
      <c r="D78" s="5"/>
      <c r="E78" s="5"/>
      <c r="F78" s="5"/>
      <c r="G78" s="5"/>
      <c r="H78" s="223">
        <v>46090</v>
      </c>
      <c r="I78" s="224"/>
      <c r="J78" s="224"/>
      <c r="K78" s="224"/>
      <c r="L78" s="224">
        <v>4909</v>
      </c>
      <c r="M78" s="225">
        <f>17.22/20</f>
        <v>0.86099999999999999</v>
      </c>
      <c r="N78" s="226">
        <f>Table_6[[#This Row],[Price]]*Table_6[[#This Row],[Mezout]]</f>
        <v>4226.6490000000003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6" hidden="1" x14ac:dyDescent="0.3">
      <c r="A79" s="5"/>
      <c r="B79" s="5"/>
      <c r="C79" s="5"/>
      <c r="D79" s="5"/>
      <c r="E79" s="5"/>
      <c r="F79" s="5"/>
      <c r="G79" s="5"/>
      <c r="H79" s="223">
        <v>46092</v>
      </c>
      <c r="I79" s="224">
        <v>2980</v>
      </c>
      <c r="J79" s="224">
        <v>4042</v>
      </c>
      <c r="K79" s="224"/>
      <c r="L79" s="224"/>
      <c r="M79" s="225">
        <f>20.35/20</f>
        <v>1.0175000000000001</v>
      </c>
      <c r="N79" s="226">
        <f>SUM(Table_6[[#This Row],[Benzine 1]:[Benzine 2]])*Table_6[[#This Row],[Price]]</f>
        <v>7144.8850000000002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6" hidden="1" x14ac:dyDescent="0.3">
      <c r="A80" s="5"/>
      <c r="B80" s="5"/>
      <c r="C80" s="5"/>
      <c r="D80" s="5"/>
      <c r="E80" s="5"/>
      <c r="F80" s="5"/>
      <c r="G80" s="5"/>
      <c r="H80" s="223">
        <v>46092</v>
      </c>
      <c r="I80" s="224"/>
      <c r="J80" s="224"/>
      <c r="K80" s="224"/>
      <c r="L80" s="224">
        <v>4136</v>
      </c>
      <c r="M80" s="225">
        <f>19.63/20</f>
        <v>0.98149999999999993</v>
      </c>
      <c r="N80" s="226">
        <f>Table_6[[#This Row],[Mezout]]*Table_6[[#This Row],[Price]]</f>
        <v>4059.4839999999999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6" hidden="1" x14ac:dyDescent="0.3">
      <c r="A81" s="5"/>
      <c r="B81" s="5"/>
      <c r="C81" s="5"/>
      <c r="D81" s="5"/>
      <c r="E81" s="5"/>
      <c r="F81" s="5"/>
      <c r="G81" s="5"/>
      <c r="H81" s="223">
        <v>46093</v>
      </c>
      <c r="I81" s="224">
        <v>4120</v>
      </c>
      <c r="J81" s="224">
        <f>3019+3089</f>
        <v>6108</v>
      </c>
      <c r="K81" s="224"/>
      <c r="L81" s="224"/>
      <c r="M81" s="225">
        <f>20.35/20</f>
        <v>1.0175000000000001</v>
      </c>
      <c r="N81" s="226">
        <f>SUM(Table_6[[#This Row],[Benzine 1]:[Benzine 2]])*Table_6[[#This Row],[Price]]</f>
        <v>10406.990000000002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6" hidden="1" x14ac:dyDescent="0.3">
      <c r="A82" s="5"/>
      <c r="B82" s="5"/>
      <c r="C82" s="5"/>
      <c r="D82" s="5"/>
      <c r="E82" s="5"/>
      <c r="F82" s="5"/>
      <c r="G82" s="5"/>
      <c r="H82" s="223">
        <v>46093</v>
      </c>
      <c r="I82" s="224"/>
      <c r="J82" s="224"/>
      <c r="K82" s="224"/>
      <c r="L82" s="224">
        <f>4033+2974+2959</f>
        <v>9966</v>
      </c>
      <c r="M82" s="225">
        <f>(19.28+0.35)/20</f>
        <v>0.98150000000000015</v>
      </c>
      <c r="N82" s="226">
        <f>Table_6[[#This Row],[Mezout]]*Table_6[[#This Row],[Price]]</f>
        <v>9781.6290000000008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6" hidden="1" x14ac:dyDescent="0.3">
      <c r="A83" s="5"/>
      <c r="B83" s="5"/>
      <c r="C83" s="5"/>
      <c r="D83" s="5"/>
      <c r="E83" s="5"/>
      <c r="F83" s="5"/>
      <c r="G83" s="5"/>
      <c r="H83" s="223">
        <v>46094</v>
      </c>
      <c r="I83" s="224">
        <v>4117</v>
      </c>
      <c r="J83" s="224"/>
      <c r="K83" s="224"/>
      <c r="L83" s="224"/>
      <c r="M83" s="225">
        <f>21.75/20</f>
        <v>1.0874999999999999</v>
      </c>
      <c r="N83" s="226">
        <f>Table_6[[#This Row],[Benzine 1]]*Table_6[[#This Row],[Price]]</f>
        <v>4477.2374999999993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6" hidden="1" x14ac:dyDescent="0.3">
      <c r="A84" s="5"/>
      <c r="B84" s="5"/>
      <c r="C84" s="5"/>
      <c r="D84" s="5"/>
      <c r="E84" s="5"/>
      <c r="F84" s="5"/>
      <c r="G84" s="5"/>
      <c r="H84" s="223">
        <v>46099</v>
      </c>
      <c r="I84" s="224">
        <f>3014+4114</f>
        <v>7128</v>
      </c>
      <c r="J84" s="224"/>
      <c r="K84" s="224"/>
      <c r="L84" s="224"/>
      <c r="M84" s="225">
        <f>22.7/20</f>
        <v>1.135</v>
      </c>
      <c r="N84" s="226">
        <f>Table_6[[#This Row],[Benzine 1]]*Table_6[[#This Row],[Price]]</f>
        <v>8090.28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6" hidden="1" x14ac:dyDescent="0.3">
      <c r="A85" s="5"/>
      <c r="B85" s="5"/>
      <c r="C85" s="5"/>
      <c r="D85" s="5"/>
      <c r="E85" s="5"/>
      <c r="F85" s="5"/>
      <c r="G85" s="5"/>
      <c r="H85" s="223">
        <v>46100</v>
      </c>
      <c r="I85" s="224">
        <v>4124</v>
      </c>
      <c r="J85" s="224">
        <v>12897</v>
      </c>
      <c r="K85" s="224"/>
      <c r="L85" s="224"/>
      <c r="M85" s="225">
        <f>23.56/20</f>
        <v>1.1779999999999999</v>
      </c>
      <c r="N85" s="226">
        <f>(Table_6[[#This Row],[Benzine 1]]+Table_6[[#This Row],[Benzine 2]])*Table_6[[#This Row],[Price]]</f>
        <v>20050.737999999998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6" hidden="1" x14ac:dyDescent="0.3">
      <c r="A86" s="5"/>
      <c r="B86" s="5"/>
      <c r="C86" s="5"/>
      <c r="D86" s="5"/>
      <c r="E86" s="5"/>
      <c r="F86" s="5"/>
      <c r="G86" s="5"/>
      <c r="H86" s="223">
        <v>46100</v>
      </c>
      <c r="I86" s="224"/>
      <c r="J86" s="224"/>
      <c r="K86" s="224"/>
      <c r="L86" s="224">
        <v>3084</v>
      </c>
      <c r="M86" s="225">
        <f>22.45/20</f>
        <v>1.1225000000000001</v>
      </c>
      <c r="N86" s="226">
        <f>Table_6[[#This Row],[Price]]*Table_6[[#This Row],[Mezout]]</f>
        <v>3461.79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6" hidden="1" x14ac:dyDescent="0.3">
      <c r="A87" s="5"/>
      <c r="B87" s="5"/>
      <c r="C87" s="5"/>
      <c r="D87" s="5"/>
      <c r="E87" s="5"/>
      <c r="F87" s="5"/>
      <c r="G87" s="5"/>
      <c r="H87" s="223">
        <v>46102</v>
      </c>
      <c r="I87" s="224">
        <v>5929</v>
      </c>
      <c r="J87" s="224"/>
      <c r="K87" s="224"/>
      <c r="L87" s="224"/>
      <c r="M87" s="225">
        <f>23.56/20</f>
        <v>1.1779999999999999</v>
      </c>
      <c r="N87" s="226">
        <f>Table_6[[#This Row],[Benzine 1]]*Table_6[[#This Row],[Price]]</f>
        <v>6984.3619999999992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6" hidden="1" x14ac:dyDescent="0.3">
      <c r="A88" s="5"/>
      <c r="B88" s="5"/>
      <c r="C88" s="5"/>
      <c r="D88" s="5"/>
      <c r="E88" s="5"/>
      <c r="F88" s="5"/>
      <c r="G88" s="5"/>
      <c r="H88" s="223">
        <v>46104</v>
      </c>
      <c r="I88" s="224">
        <v>8193</v>
      </c>
      <c r="J88" s="224"/>
      <c r="K88" s="224"/>
      <c r="L88" s="224"/>
      <c r="M88" s="225">
        <f>23.6/20</f>
        <v>1.1800000000000002</v>
      </c>
      <c r="N88" s="226">
        <f>Table_6[[#This Row],[Benzine 1]]*Table_6[[#This Row],[Price]]</f>
        <v>9667.7400000000016</v>
      </c>
      <c r="O88" s="5"/>
      <c r="P88" s="5"/>
      <c r="Q88" s="227"/>
      <c r="R88" s="20"/>
      <c r="S88" s="5"/>
      <c r="T88" s="5"/>
      <c r="U88" s="5"/>
      <c r="V88" s="5"/>
      <c r="W88" s="5"/>
      <c r="X88" s="5"/>
      <c r="Y88" s="5"/>
      <c r="Z88" s="5"/>
    </row>
    <row r="89" spans="1:26" ht="15.6" hidden="1" x14ac:dyDescent="0.3">
      <c r="A89" s="5"/>
      <c r="B89" s="5"/>
      <c r="C89" s="5"/>
      <c r="D89" s="5"/>
      <c r="E89" s="5"/>
      <c r="F89" s="5"/>
      <c r="G89" s="5"/>
      <c r="H89" s="223">
        <v>46108</v>
      </c>
      <c r="I89" s="224"/>
      <c r="J89" s="224"/>
      <c r="K89" s="224"/>
      <c r="L89" s="224">
        <v>12959</v>
      </c>
      <c r="M89" s="225">
        <f>24.39/20</f>
        <v>1.2195</v>
      </c>
      <c r="N89" s="226">
        <f>Table_6[[#This Row],[Mezout]]*Table_6[[#This Row],[Price]]</f>
        <v>15803.5005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6" hidden="1" x14ac:dyDescent="0.3">
      <c r="A90" s="5"/>
      <c r="B90" s="5"/>
      <c r="C90" s="5"/>
      <c r="D90" s="5"/>
      <c r="E90" s="5"/>
      <c r="F90" s="5"/>
      <c r="G90" s="5"/>
      <c r="H90" s="223">
        <v>46108</v>
      </c>
      <c r="I90" s="224"/>
      <c r="J90" s="224"/>
      <c r="K90" s="224"/>
      <c r="L90" s="224">
        <v>300</v>
      </c>
      <c r="M90" s="225" t="s">
        <v>110</v>
      </c>
      <c r="N90" s="226" t="s">
        <v>110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6" hidden="1" x14ac:dyDescent="0.3">
      <c r="A91" s="5"/>
      <c r="B91" s="5"/>
      <c r="C91" s="5"/>
      <c r="D91" s="5"/>
      <c r="E91" s="5"/>
      <c r="F91" s="5"/>
      <c r="G91" s="5"/>
      <c r="H91" s="223">
        <v>46112</v>
      </c>
      <c r="I91" s="224"/>
      <c r="J91" s="224">
        <v>11179</v>
      </c>
      <c r="K91" s="224"/>
      <c r="L91" s="224"/>
      <c r="M91" s="225" t="s">
        <v>61</v>
      </c>
      <c r="N91" s="226">
        <v>8939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6" hidden="1" x14ac:dyDescent="0.3">
      <c r="A92" s="5"/>
      <c r="B92" s="5"/>
      <c r="C92" s="5"/>
      <c r="D92" s="5"/>
      <c r="E92" s="5"/>
      <c r="F92" s="5"/>
      <c r="G92" s="5"/>
      <c r="H92" s="223">
        <v>46114</v>
      </c>
      <c r="I92" s="224"/>
      <c r="J92" s="224">
        <v>7200</v>
      </c>
      <c r="K92" s="224"/>
      <c r="L92" s="224"/>
      <c r="M92" s="225">
        <f>24.73/20</f>
        <v>1.2364999999999999</v>
      </c>
      <c r="N92" s="226">
        <f>Table_6[[#This Row],[Benzine 2]]*Table_6[[#This Row],[Price]]</f>
        <v>8902.7999999999993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6" hidden="1" x14ac:dyDescent="0.3">
      <c r="A93" s="5"/>
      <c r="B93" s="5"/>
      <c r="C93" s="5"/>
      <c r="D93" s="5"/>
      <c r="E93" s="5"/>
      <c r="F93" s="5"/>
      <c r="G93" s="5"/>
      <c r="H93" s="223">
        <v>46119</v>
      </c>
      <c r="I93" s="224">
        <v>4174</v>
      </c>
      <c r="J93" s="224">
        <v>4657</v>
      </c>
      <c r="K93" s="224"/>
      <c r="L93" s="224"/>
      <c r="M93" s="225">
        <f>24.5/20</f>
        <v>1.2250000000000001</v>
      </c>
      <c r="N93" s="226">
        <f>(Table_6[[#This Row],[Benzine 1]]+Table_6[[#This Row],[Benzine 2]])*Table_6[[#This Row],[Price]]</f>
        <v>10817.975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6" hidden="1" x14ac:dyDescent="0.3">
      <c r="A94" s="5"/>
      <c r="B94" s="5"/>
      <c r="C94" s="5"/>
      <c r="D94" s="5"/>
      <c r="E94" s="5"/>
      <c r="F94" s="5"/>
      <c r="G94" s="5"/>
      <c r="H94" s="223">
        <v>46119</v>
      </c>
      <c r="I94" s="224"/>
      <c r="J94" s="224"/>
      <c r="K94" s="224"/>
      <c r="L94" s="224">
        <v>40</v>
      </c>
      <c r="M94" s="225" t="s">
        <v>110</v>
      </c>
      <c r="N94" s="226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6" hidden="1" x14ac:dyDescent="0.3">
      <c r="A95" s="5"/>
      <c r="B95" s="5"/>
      <c r="C95" s="5"/>
      <c r="D95" s="5"/>
      <c r="E95" s="5"/>
      <c r="F95" s="5"/>
      <c r="G95" s="5"/>
      <c r="H95" s="223">
        <v>46088</v>
      </c>
      <c r="I95" s="224">
        <v>500</v>
      </c>
      <c r="J95" s="224">
        <v>-500</v>
      </c>
      <c r="K95" s="224"/>
      <c r="L95" s="224"/>
      <c r="M95" s="225" t="s">
        <v>221</v>
      </c>
      <c r="N95" s="226" t="s">
        <v>222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6" hidden="1" x14ac:dyDescent="0.3">
      <c r="A96" s="5"/>
      <c r="B96" s="5"/>
      <c r="C96" s="5"/>
      <c r="D96" s="5"/>
      <c r="E96" s="5"/>
      <c r="F96" s="5"/>
      <c r="G96" s="5"/>
      <c r="H96" s="223">
        <v>46121</v>
      </c>
      <c r="I96" s="224"/>
      <c r="J96" s="224"/>
      <c r="K96" s="224"/>
      <c r="L96" s="224">
        <v>-3380</v>
      </c>
      <c r="M96" s="225" t="s">
        <v>224</v>
      </c>
      <c r="N96" s="226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6" hidden="1" x14ac:dyDescent="0.3">
      <c r="A97" s="5"/>
      <c r="B97" s="5"/>
      <c r="C97" s="5"/>
      <c r="D97" s="5"/>
      <c r="E97" s="5"/>
      <c r="F97" s="5"/>
      <c r="G97" s="5"/>
      <c r="H97" s="223">
        <v>46122</v>
      </c>
      <c r="I97" s="224"/>
      <c r="J97" s="224"/>
      <c r="K97" s="224"/>
      <c r="L97" s="224"/>
      <c r="M97" s="225"/>
      <c r="N97" s="226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6" hidden="1" x14ac:dyDescent="0.3">
      <c r="A98" s="5"/>
      <c r="B98" s="5"/>
      <c r="C98" s="5"/>
      <c r="D98" s="5"/>
      <c r="E98" s="5"/>
      <c r="F98" s="5"/>
      <c r="G98" s="5"/>
      <c r="H98" s="223">
        <v>46122</v>
      </c>
      <c r="I98" s="224">
        <f>4898+4100+3007</f>
        <v>12005</v>
      </c>
      <c r="J98" s="224">
        <v>4663</v>
      </c>
      <c r="K98" s="224"/>
      <c r="L98" s="224"/>
      <c r="M98" s="225">
        <f>24.5/20</f>
        <v>1.2250000000000001</v>
      </c>
      <c r="N98" s="226">
        <f>(Table_6[[#This Row],[Benzine 1]]+Table_6[[#This Row],[Benzine 2]])*Table_6[[#This Row],[Price]]</f>
        <v>20418.300000000003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6" hidden="1" x14ac:dyDescent="0.3">
      <c r="A99" s="5"/>
      <c r="B99" s="5"/>
      <c r="C99" s="5"/>
      <c r="D99" s="5"/>
      <c r="E99" s="5"/>
      <c r="F99" s="5"/>
      <c r="G99" s="5"/>
      <c r="H99" s="223">
        <v>46127</v>
      </c>
      <c r="I99" s="224"/>
      <c r="J99" s="224"/>
      <c r="K99" s="224"/>
      <c r="L99" s="224">
        <v>3078</v>
      </c>
      <c r="M99" s="225">
        <f>26.61/20</f>
        <v>1.3305</v>
      </c>
      <c r="N99" s="226">
        <f>Table_6[[#This Row],[Price]]*Table_6[[#This Row],[Mezout]]</f>
        <v>4095.279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6" hidden="1" x14ac:dyDescent="0.3">
      <c r="A100" s="5"/>
      <c r="B100" s="5"/>
      <c r="C100" s="5"/>
      <c r="D100" s="5"/>
      <c r="E100" s="5"/>
      <c r="F100" s="5"/>
      <c r="G100" s="5"/>
      <c r="H100" s="223">
        <v>46128</v>
      </c>
      <c r="I100" s="224"/>
      <c r="J100" s="224">
        <f>2000+17763</f>
        <v>19763</v>
      </c>
      <c r="K100" s="224"/>
      <c r="L100" s="224"/>
      <c r="M100" s="225">
        <f>24.6/20</f>
        <v>1.23</v>
      </c>
      <c r="N100" s="226">
        <f>17763*Table_6[[#This Row],[Price]]</f>
        <v>21848.489999999998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6" hidden="1" x14ac:dyDescent="0.3">
      <c r="A101" s="5"/>
      <c r="B101" s="5"/>
      <c r="C101" s="5"/>
      <c r="D101" s="5"/>
      <c r="E101" s="5"/>
      <c r="F101" s="5"/>
      <c r="G101" s="5"/>
      <c r="H101" s="223">
        <v>46128</v>
      </c>
      <c r="I101" s="224"/>
      <c r="J101" s="224">
        <v>55</v>
      </c>
      <c r="K101" s="224"/>
      <c r="L101" s="224"/>
      <c r="M101" s="225"/>
      <c r="N101" s="226" t="s">
        <v>110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6" hidden="1" x14ac:dyDescent="0.3">
      <c r="A102" s="5"/>
      <c r="B102" s="5"/>
      <c r="C102" s="5"/>
      <c r="D102" s="5"/>
      <c r="E102" s="5"/>
      <c r="F102" s="5"/>
      <c r="G102" s="5"/>
      <c r="H102" s="223">
        <v>46129</v>
      </c>
      <c r="I102" s="224">
        <v>4093</v>
      </c>
      <c r="J102" s="224"/>
      <c r="K102" s="224"/>
      <c r="L102" s="224"/>
      <c r="M102" s="225">
        <f>24.6/20</f>
        <v>1.23</v>
      </c>
      <c r="N102" s="226">
        <f>Table_6[[#This Row],[Price]]*Table_6[[#This Row],[Benzine 1]]</f>
        <v>5034.3900000000003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6" hidden="1" x14ac:dyDescent="0.3">
      <c r="A103" s="5"/>
      <c r="B103" s="5"/>
      <c r="C103" s="5"/>
      <c r="D103" s="5"/>
      <c r="E103" s="5"/>
      <c r="F103" s="5"/>
      <c r="G103" s="5"/>
      <c r="H103" s="223">
        <v>46133</v>
      </c>
      <c r="I103" s="224"/>
      <c r="J103" s="224">
        <v>3073</v>
      </c>
      <c r="K103" s="224"/>
      <c r="L103" s="224"/>
      <c r="M103" s="225">
        <f>24.6/20</f>
        <v>1.23</v>
      </c>
      <c r="N103" s="226">
        <f>Table_6[[#This Row],[Benzine 2]]*Table_6[[#This Row],[Price]]</f>
        <v>3779.79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6" hidden="1" x14ac:dyDescent="0.3">
      <c r="A104" s="5"/>
      <c r="B104" s="5"/>
      <c r="C104" s="5"/>
      <c r="D104" s="5"/>
      <c r="E104" s="5"/>
      <c r="F104" s="5"/>
      <c r="G104" s="5"/>
      <c r="H104" s="223">
        <v>46134</v>
      </c>
      <c r="I104" s="224">
        <v>4021</v>
      </c>
      <c r="J104" s="224"/>
      <c r="K104" s="224"/>
      <c r="L104" s="224"/>
      <c r="M104" s="225">
        <f>24.56/20</f>
        <v>1.228</v>
      </c>
      <c r="N104" s="226">
        <f>Table_6[[#This Row],[Benzine 1]]*Table_6[[#This Row],[Price]]</f>
        <v>4937.7879999999996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6" hidden="1" x14ac:dyDescent="0.3">
      <c r="A105" s="5"/>
      <c r="B105" s="5"/>
      <c r="C105" s="5"/>
      <c r="D105" s="5"/>
      <c r="E105" s="5"/>
      <c r="F105" s="5"/>
      <c r="G105" s="5"/>
      <c r="H105" s="223">
        <v>46134</v>
      </c>
      <c r="I105" s="224">
        <v>47</v>
      </c>
      <c r="J105" s="224"/>
      <c r="K105" s="224"/>
      <c r="L105" s="224"/>
      <c r="M105" s="225">
        <v>0</v>
      </c>
      <c r="N105" s="226" t="s">
        <v>110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6" hidden="1" x14ac:dyDescent="0.3">
      <c r="A106" s="5"/>
      <c r="B106" s="5"/>
      <c r="C106" s="5"/>
      <c r="D106" s="5"/>
      <c r="E106" s="5"/>
      <c r="F106" s="5"/>
      <c r="G106" s="5"/>
      <c r="H106" s="223">
        <v>46135</v>
      </c>
      <c r="I106" s="224"/>
      <c r="J106" s="224"/>
      <c r="K106" s="224"/>
      <c r="L106" s="224">
        <v>2500</v>
      </c>
      <c r="M106" s="225">
        <v>0</v>
      </c>
      <c r="N106" s="226" t="s">
        <v>226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6" hidden="1" x14ac:dyDescent="0.3">
      <c r="A107" s="5"/>
      <c r="B107" s="5"/>
      <c r="C107" s="5"/>
      <c r="D107" s="5"/>
      <c r="E107" s="5"/>
      <c r="F107" s="5"/>
      <c r="G107" s="5"/>
      <c r="H107" s="223">
        <v>46136</v>
      </c>
      <c r="I107" s="224">
        <v>983</v>
      </c>
      <c r="J107" s="224"/>
      <c r="K107" s="224"/>
      <c r="L107" s="224"/>
      <c r="M107" s="225">
        <f>24.51/20</f>
        <v>1.2255</v>
      </c>
      <c r="N107" s="226">
        <f>SUM(Table_6[[#This Row],[Benzine 1]:[Benzine 2]])*Table_6[[#This Row],[Price]]</f>
        <v>1204.6665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6" hidden="1" x14ac:dyDescent="0.3">
      <c r="A108" s="5"/>
      <c r="B108" s="5"/>
      <c r="C108" s="5"/>
      <c r="D108" s="5"/>
      <c r="E108" s="5"/>
      <c r="F108" s="5"/>
      <c r="G108" s="5"/>
      <c r="H108" s="223">
        <v>46136</v>
      </c>
      <c r="I108" s="224">
        <v>10120</v>
      </c>
      <c r="J108" s="224">
        <v>2936</v>
      </c>
      <c r="K108" s="224"/>
      <c r="L108" s="224"/>
      <c r="M108" s="225">
        <f>24.51/20</f>
        <v>1.2255</v>
      </c>
      <c r="N108" s="226">
        <f>SUM(Table_6[[#This Row],[Benzine 1]:[Benzine 2]])*Table_6[[#This Row],[Price]]</f>
        <v>16000.128000000001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6" hidden="1" x14ac:dyDescent="0.3">
      <c r="A109" s="5"/>
      <c r="B109" s="5"/>
      <c r="C109" s="5"/>
      <c r="D109" s="5"/>
      <c r="E109" s="5"/>
      <c r="F109" s="5"/>
      <c r="G109" s="5"/>
      <c r="H109" s="223">
        <v>46139</v>
      </c>
      <c r="I109" s="224">
        <v>4645</v>
      </c>
      <c r="J109" s="224">
        <v>4879</v>
      </c>
      <c r="K109" s="224"/>
      <c r="L109" s="224"/>
      <c r="M109" s="225" t="s">
        <v>61</v>
      </c>
      <c r="N109" s="226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6" hidden="1" x14ac:dyDescent="0.3">
      <c r="A110" s="5"/>
      <c r="B110" s="5"/>
      <c r="C110" s="5"/>
      <c r="D110" s="5"/>
      <c r="E110" s="5"/>
      <c r="F110" s="5"/>
      <c r="G110" s="5"/>
      <c r="H110" s="223">
        <v>46140</v>
      </c>
      <c r="I110" s="224"/>
      <c r="J110" s="224"/>
      <c r="K110" s="224"/>
      <c r="L110" s="224">
        <v>4093</v>
      </c>
      <c r="M110" s="225">
        <f>25.13/20</f>
        <v>1.2565</v>
      </c>
      <c r="N110" s="226">
        <f>Table_6[[#This Row],[Mezout]]*Table_6[[#This Row],[Price]]</f>
        <v>5142.8544999999995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6" hidden="1" x14ac:dyDescent="0.3">
      <c r="A111" s="5"/>
      <c r="B111" s="5"/>
      <c r="C111" s="5"/>
      <c r="D111" s="5"/>
      <c r="E111" s="5"/>
      <c r="F111" s="5"/>
      <c r="G111" s="5"/>
      <c r="H111" s="223">
        <v>46141</v>
      </c>
      <c r="I111" s="224">
        <v>2999</v>
      </c>
      <c r="J111" s="224">
        <f>3068+2944</f>
        <v>6012</v>
      </c>
      <c r="K111" s="224"/>
      <c r="L111" s="224"/>
      <c r="M111" s="225">
        <f>24.6/20</f>
        <v>1.23</v>
      </c>
      <c r="N111" s="226">
        <f>(Table_6[[#This Row],[Benzine 1]]+Table_6[[#This Row],[Benzine 2]])*Table_6[[#This Row],[Price]]</f>
        <v>11083.53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6" hidden="1" x14ac:dyDescent="0.3">
      <c r="A112" s="5"/>
      <c r="B112" s="5"/>
      <c r="C112" s="5"/>
      <c r="D112" s="5"/>
      <c r="E112" s="5"/>
      <c r="F112" s="5"/>
      <c r="G112" s="5"/>
      <c r="H112" s="223">
        <v>46142</v>
      </c>
      <c r="I112" s="224">
        <v>4651</v>
      </c>
      <c r="J112" s="224"/>
      <c r="K112" s="224"/>
      <c r="L112" s="224"/>
      <c r="M112" s="225">
        <f>24.65/20</f>
        <v>1.2324999999999999</v>
      </c>
      <c r="N112" s="226">
        <f>Table_6[[#This Row],[Benzine 1]]*Table_6[[#This Row],[Price]]</f>
        <v>5732.3575000000001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6" hidden="1" x14ac:dyDescent="0.3">
      <c r="A113" s="5"/>
      <c r="B113" s="5"/>
      <c r="C113" s="5"/>
      <c r="D113" s="5"/>
      <c r="E113" s="5"/>
      <c r="F113" s="5"/>
      <c r="G113" s="5"/>
      <c r="H113" s="223">
        <v>46146</v>
      </c>
      <c r="I113" s="224">
        <f>4883+4649</f>
        <v>9532</v>
      </c>
      <c r="J113" s="224">
        <f>4102+4167+4087</f>
        <v>12356</v>
      </c>
      <c r="K113" s="224"/>
      <c r="L113" s="224"/>
      <c r="M113" s="225">
        <f>24.65/20</f>
        <v>1.2324999999999999</v>
      </c>
      <c r="N113" s="226">
        <f>SUM(Table_6[[#This Row],[Benzine 1]:[Benzine 2]])*Table_6[[#This Row],[Price]]</f>
        <v>26976.959999999999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6" hidden="1" x14ac:dyDescent="0.3">
      <c r="A114" s="5"/>
      <c r="B114" s="5"/>
      <c r="C114" s="5"/>
      <c r="D114" s="5"/>
      <c r="E114" s="5"/>
      <c r="F114" s="5"/>
      <c r="G114" s="5"/>
      <c r="H114" s="223">
        <v>46146</v>
      </c>
      <c r="I114" s="224"/>
      <c r="J114" s="224"/>
      <c r="K114" s="224"/>
      <c r="L114" s="224">
        <v>1000</v>
      </c>
      <c r="M114" s="225"/>
      <c r="N114" s="226">
        <f>900*Table_6[[#This Row],[Price]]</f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6" hidden="1" x14ac:dyDescent="0.3">
      <c r="A115" s="5"/>
      <c r="B115" s="5"/>
      <c r="C115" s="5"/>
      <c r="D115" s="5"/>
      <c r="E115" s="5"/>
      <c r="F115" s="5"/>
      <c r="G115" s="5"/>
      <c r="H115" s="223">
        <v>46147</v>
      </c>
      <c r="I115" s="224"/>
      <c r="J115" s="224"/>
      <c r="K115" s="224"/>
      <c r="L115" s="224">
        <v>3007</v>
      </c>
      <c r="M115" s="225">
        <f>24.6/20</f>
        <v>1.23</v>
      </c>
      <c r="N115" s="226">
        <f>Table_6[[#This Row],[Mezout]]*Table_6[[#This Row],[Price]]</f>
        <v>3698.61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6" hidden="1" x14ac:dyDescent="0.3">
      <c r="A116" s="5"/>
      <c r="B116" s="5"/>
      <c r="C116" s="5"/>
      <c r="D116" s="5"/>
      <c r="E116" s="5"/>
      <c r="F116" s="5"/>
      <c r="G116" s="5"/>
      <c r="H116" s="223">
        <v>46149</v>
      </c>
      <c r="I116" s="224">
        <v>4885</v>
      </c>
      <c r="J116" s="224"/>
      <c r="K116" s="224"/>
      <c r="L116" s="224"/>
      <c r="M116" s="225">
        <f>(1.3685*20-2)/20</f>
        <v>1.2685</v>
      </c>
      <c r="N116" s="226">
        <f>Table_6[[#This Row],[Benzine 1]]*Table_6[[#This Row],[Price]]</f>
        <v>6196.6224999999995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6" hidden="1" x14ac:dyDescent="0.3">
      <c r="A117" s="5"/>
      <c r="B117" s="5"/>
      <c r="C117" s="5"/>
      <c r="D117" s="5"/>
      <c r="E117" s="5"/>
      <c r="F117" s="5"/>
      <c r="G117" s="5"/>
      <c r="H117" s="223">
        <v>46150</v>
      </c>
      <c r="I117" s="224"/>
      <c r="J117" s="224"/>
      <c r="K117" s="224"/>
      <c r="L117" s="224">
        <v>3005</v>
      </c>
      <c r="M117" s="225">
        <f>24.41/20</f>
        <v>1.2204999999999999</v>
      </c>
      <c r="N117" s="226">
        <f>Table_6[[#This Row],[Mezout]]*Table_6[[#This Row],[Price]]</f>
        <v>3667.6025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6" hidden="1" x14ac:dyDescent="0.3">
      <c r="A118" s="5"/>
      <c r="B118" s="5"/>
      <c r="C118" s="5"/>
      <c r="D118" s="5"/>
      <c r="E118" s="5"/>
      <c r="F118" s="5"/>
      <c r="G118" s="5"/>
      <c r="H118" s="223">
        <v>46153</v>
      </c>
      <c r="I118" s="224">
        <f>4105+4169+4090</f>
        <v>12364</v>
      </c>
      <c r="J118" s="224">
        <f>4886+4652</f>
        <v>9538</v>
      </c>
      <c r="K118" s="224"/>
      <c r="L118" s="224"/>
      <c r="M118" s="225">
        <f>25.55/20</f>
        <v>1.2775000000000001</v>
      </c>
      <c r="N118" s="226">
        <f>Table_6[[#This Row],[Price]]*(Table_6[[#This Row],[Benzine 1]]+Table_6[[#This Row],[Benzine 2]])</f>
        <v>27979.805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6" hidden="1" x14ac:dyDescent="0.3">
      <c r="A119" s="5"/>
      <c r="B119" s="5"/>
      <c r="C119" s="5"/>
      <c r="D119" s="5"/>
      <c r="E119" s="5"/>
      <c r="F119" s="5"/>
      <c r="G119" s="5"/>
      <c r="H119" s="223">
        <v>46154</v>
      </c>
      <c r="I119" s="224"/>
      <c r="J119" s="224"/>
      <c r="K119" s="224"/>
      <c r="L119" s="224"/>
      <c r="M119" s="225"/>
      <c r="N119" s="226">
        <f>8938-5206</f>
        <v>3732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6" hidden="1" x14ac:dyDescent="0.3">
      <c r="A120" s="5"/>
      <c r="B120" s="5"/>
      <c r="C120" s="5"/>
      <c r="D120" s="5"/>
      <c r="E120" s="5"/>
      <c r="F120" s="5"/>
      <c r="G120" s="5"/>
      <c r="H120" s="223">
        <v>46154</v>
      </c>
      <c r="I120" s="224"/>
      <c r="J120" s="224"/>
      <c r="K120" s="224"/>
      <c r="L120" s="224">
        <v>3072</v>
      </c>
      <c r="M120" s="225">
        <f>24.05/20</f>
        <v>1.2025000000000001</v>
      </c>
      <c r="N120" s="226">
        <f>Table_6[[#This Row],[Price]]*Table_6[[#This Row],[Mezout]]</f>
        <v>3694.0800000000004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6" hidden="1" x14ac:dyDescent="0.3">
      <c r="A121" s="5"/>
      <c r="B121" s="5"/>
      <c r="C121" s="5"/>
      <c r="D121" s="5"/>
      <c r="E121" s="5"/>
      <c r="F121" s="5"/>
      <c r="G121" s="5"/>
      <c r="H121" s="223">
        <v>46155</v>
      </c>
      <c r="I121" s="224"/>
      <c r="J121" s="224"/>
      <c r="K121" s="224"/>
      <c r="L121" s="224">
        <v>3001</v>
      </c>
      <c r="M121" s="225">
        <f>24.05/20</f>
        <v>1.2025000000000001</v>
      </c>
      <c r="N121" s="226">
        <f>Table_6[[#This Row],[Price]]*Table_6[[#This Row],[Mezout]]</f>
        <v>3608.7025000000003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6" hidden="1" x14ac:dyDescent="0.3">
      <c r="A122" s="5"/>
      <c r="B122" s="5"/>
      <c r="C122" s="5"/>
      <c r="D122" s="5"/>
      <c r="E122" s="5"/>
      <c r="F122" s="5"/>
      <c r="G122" s="5"/>
      <c r="H122" s="223">
        <v>46156</v>
      </c>
      <c r="I122" s="224">
        <v>4644</v>
      </c>
      <c r="J122" s="224">
        <v>2944</v>
      </c>
      <c r="K122" s="224"/>
      <c r="L122" s="224"/>
      <c r="M122" s="225">
        <f>25.87/20</f>
        <v>1.2935000000000001</v>
      </c>
      <c r="N122" s="226">
        <f>Table_6[[#This Row],[Benzine 1]]*Table_6[[#This Row],[Price]]+Table_6[[#This Row],[Benzine 2]]*Table_6[[#This Row],[Price]]</f>
        <v>9815.0780000000013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6" hidden="1" x14ac:dyDescent="0.3">
      <c r="A123" s="5"/>
      <c r="B123" s="5"/>
      <c r="C123" s="5"/>
      <c r="D123" s="5"/>
      <c r="E123" s="5"/>
      <c r="F123" s="5"/>
      <c r="G123" s="5"/>
      <c r="H123" s="223">
        <v>46160</v>
      </c>
      <c r="I123" s="224">
        <f>4093+4158+4078</f>
        <v>12329</v>
      </c>
      <c r="J123" s="224">
        <f>4872+4639</f>
        <v>9511</v>
      </c>
      <c r="K123" s="224"/>
      <c r="L123" s="224"/>
      <c r="M123" s="225">
        <f>26.36/20</f>
        <v>1.3180000000000001</v>
      </c>
      <c r="N123" s="226">
        <f>(Table_6[[#This Row],[Benzine 1]]+Table_6[[#This Row],[Benzine 2]])*Table_6[[#This Row],[Price]]</f>
        <v>28785.120000000003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6" hidden="1" x14ac:dyDescent="0.3">
      <c r="A124" s="5"/>
      <c r="B124" s="5"/>
      <c r="C124" s="5"/>
      <c r="D124" s="5"/>
      <c r="E124" s="5"/>
      <c r="F124" s="5"/>
      <c r="G124" s="5"/>
      <c r="H124" s="223">
        <v>46161</v>
      </c>
      <c r="I124" s="224"/>
      <c r="J124" s="224"/>
      <c r="K124" s="224"/>
      <c r="L124" s="224">
        <v>500</v>
      </c>
      <c r="M124" s="225">
        <f>23.8/20</f>
        <v>1.19</v>
      </c>
      <c r="N124" s="226">
        <f>Table_6[[#This Row],[Mezout]]*Table_6[[#This Row],[Price]]</f>
        <v>595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6" hidden="1" x14ac:dyDescent="0.3">
      <c r="A125" s="5"/>
      <c r="B125" s="5"/>
      <c r="C125" s="5"/>
      <c r="D125" s="5"/>
      <c r="E125" s="5"/>
      <c r="F125" s="5"/>
      <c r="G125" s="5"/>
      <c r="H125" s="223">
        <v>46161</v>
      </c>
      <c r="I125" s="224"/>
      <c r="J125" s="224"/>
      <c r="K125" s="224"/>
      <c r="L125" s="224">
        <f>2956+2941</f>
        <v>5897</v>
      </c>
      <c r="M125" s="225">
        <f>23.8/20</f>
        <v>1.19</v>
      </c>
      <c r="N125" s="226">
        <f>Table_6[[#This Row],[Mezout]]*Table_6[[#This Row],[Price]]</f>
        <v>7017.4299999999994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6" hidden="1" x14ac:dyDescent="0.3">
      <c r="A126" s="5"/>
      <c r="B126" s="5"/>
      <c r="C126" s="5"/>
      <c r="D126" s="5"/>
      <c r="E126" s="5"/>
      <c r="F126" s="5"/>
      <c r="G126" s="5"/>
      <c r="H126" s="223">
        <v>46163</v>
      </c>
      <c r="I126" s="224">
        <v>2993</v>
      </c>
      <c r="J126" s="224"/>
      <c r="K126" s="224"/>
      <c r="L126" s="224"/>
      <c r="M126" s="225">
        <f>26.52/20</f>
        <v>1.3260000000000001</v>
      </c>
      <c r="N126" s="226">
        <f>Table_6[[#This Row],[Benzine 1]]*Table_6[[#This Row],[Price]]</f>
        <v>3968.7180000000003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6" hidden="1" x14ac:dyDescent="0.3">
      <c r="A127" s="5"/>
      <c r="B127" s="5"/>
      <c r="C127" s="5"/>
      <c r="D127" s="5"/>
      <c r="E127" s="5"/>
      <c r="F127" s="5"/>
      <c r="G127" s="5"/>
      <c r="H127" s="223">
        <v>46164</v>
      </c>
      <c r="I127" s="224"/>
      <c r="J127" s="224"/>
      <c r="K127" s="224"/>
      <c r="L127" s="224">
        <v>3066</v>
      </c>
      <c r="M127" s="225">
        <f>23.6/20</f>
        <v>1.1800000000000002</v>
      </c>
      <c r="N127" s="226">
        <f>Table_6[[#This Row],[Mezout]]*Table_6[[#This Row],[Price]]</f>
        <v>3617.8800000000006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6" hidden="1" x14ac:dyDescent="0.3">
      <c r="A128" s="5"/>
      <c r="B128" s="5"/>
      <c r="C128" s="5"/>
      <c r="D128" s="5"/>
      <c r="E128" s="5"/>
      <c r="F128" s="5"/>
      <c r="G128" s="5"/>
      <c r="H128" s="223">
        <v>46164</v>
      </c>
      <c r="I128" s="224">
        <v>1132</v>
      </c>
      <c r="J128" s="224"/>
      <c r="K128" s="224"/>
      <c r="L128" s="224"/>
      <c r="M128" s="281" t="s">
        <v>232</v>
      </c>
      <c r="N128" s="226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6" hidden="1" x14ac:dyDescent="0.3">
      <c r="A129" s="5"/>
      <c r="B129" s="5"/>
      <c r="C129" s="5"/>
      <c r="D129" s="5"/>
      <c r="E129" s="5"/>
      <c r="F129" s="5"/>
      <c r="G129" s="5"/>
      <c r="H129" s="223">
        <v>46167</v>
      </c>
      <c r="I129" s="224"/>
      <c r="J129" s="224"/>
      <c r="K129" s="224"/>
      <c r="L129" s="224">
        <v>2943</v>
      </c>
      <c r="M129" s="225">
        <f>23.6/20</f>
        <v>1.1800000000000002</v>
      </c>
      <c r="N129" s="226">
        <f>Table_6[[#This Row],[Price]]*Table_6[[#This Row],[Mezout]]</f>
        <v>3472.7400000000007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6" hidden="1" x14ac:dyDescent="0.3">
      <c r="A130" s="5"/>
      <c r="B130" s="5"/>
      <c r="C130" s="5"/>
      <c r="D130" s="5"/>
      <c r="E130" s="5"/>
      <c r="F130" s="5"/>
      <c r="G130" s="5"/>
      <c r="H130" s="223">
        <v>46167</v>
      </c>
      <c r="I130" s="224"/>
      <c r="J130" s="224"/>
      <c r="K130" s="224"/>
      <c r="L130" s="224">
        <v>500</v>
      </c>
      <c r="M130" s="225" t="s">
        <v>221</v>
      </c>
      <c r="N130" s="226" t="s">
        <v>226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6" hidden="1" x14ac:dyDescent="0.3">
      <c r="A131" s="5"/>
      <c r="B131" s="5"/>
      <c r="C131" s="5"/>
      <c r="D131" s="5"/>
      <c r="E131" s="5"/>
      <c r="F131" s="5"/>
      <c r="G131" s="5"/>
      <c r="H131" s="223">
        <v>46168</v>
      </c>
      <c r="I131" s="224">
        <v>2951</v>
      </c>
      <c r="J131" s="224">
        <v>4003</v>
      </c>
      <c r="K131" s="224"/>
      <c r="L131" s="224"/>
      <c r="M131" s="225">
        <f>26.79/20</f>
        <v>1.3394999999999999</v>
      </c>
      <c r="N131" s="226">
        <f>(Table_6[[#This Row],[Benzine 1]]+Table_6[[#This Row],[Benzine 2]])*Table_6[[#This Row],[Price]]</f>
        <v>9314.8829999999998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6" hidden="1" x14ac:dyDescent="0.3">
      <c r="A132" s="5"/>
      <c r="B132" s="5"/>
      <c r="C132" s="5"/>
      <c r="D132" s="5"/>
      <c r="E132" s="5"/>
      <c r="F132" s="5"/>
      <c r="G132" s="5"/>
      <c r="H132" s="223">
        <v>46170</v>
      </c>
      <c r="I132" s="224">
        <v>3985</v>
      </c>
      <c r="J132" s="224"/>
      <c r="K132" s="224"/>
      <c r="L132" s="224"/>
      <c r="M132" s="225">
        <f>26.79/20</f>
        <v>1.3394999999999999</v>
      </c>
      <c r="N132" s="226">
        <f>Table_6[[#This Row],[Benzine 1]]*Table_6[[#This Row],[Price]]</f>
        <v>5337.9074999999993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6" hidden="1" x14ac:dyDescent="0.3">
      <c r="A133" s="5"/>
      <c r="B133" s="5"/>
      <c r="C133" s="5"/>
      <c r="D133" s="5"/>
      <c r="E133" s="5"/>
      <c r="F133" s="5"/>
      <c r="G133" s="5"/>
      <c r="H133" s="223">
        <v>46171</v>
      </c>
      <c r="I133" s="224"/>
      <c r="J133" s="224"/>
      <c r="K133" s="224"/>
      <c r="L133" s="224">
        <v>7025</v>
      </c>
      <c r="M133" s="225">
        <f>23.3/20</f>
        <v>1.165</v>
      </c>
      <c r="N133" s="226">
        <f>Table_6[[#This Row],[Mezout]]*Table_6[[#This Row],[Price]]</f>
        <v>8184.125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6" hidden="1" x14ac:dyDescent="0.3">
      <c r="A134" s="5"/>
      <c r="B134" s="5"/>
      <c r="C134" s="5"/>
      <c r="D134" s="5"/>
      <c r="E134" s="5"/>
      <c r="F134" s="5"/>
      <c r="G134" s="5"/>
      <c r="H134" s="223">
        <v>46171</v>
      </c>
      <c r="I134" s="224">
        <v>8246</v>
      </c>
      <c r="J134" s="224">
        <v>4002</v>
      </c>
      <c r="K134" s="224"/>
      <c r="L134" s="224"/>
      <c r="M134" s="225">
        <f>26.8/20</f>
        <v>1.34</v>
      </c>
      <c r="N134" s="226">
        <f>(Table_6[[#This Row],[Benzine 1]]+Table_6[[#This Row],[Benzine 2]])*Table_6[[#This Row],[Price]]</f>
        <v>16412.32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6" hidden="1" x14ac:dyDescent="0.3">
      <c r="A135" s="5"/>
      <c r="B135" s="5"/>
      <c r="C135" s="5"/>
      <c r="D135" s="5"/>
      <c r="E135" s="5"/>
      <c r="F135" s="5"/>
      <c r="G135" s="5"/>
      <c r="H135" s="223">
        <v>46174</v>
      </c>
      <c r="I135" s="224"/>
      <c r="J135" s="224">
        <v>500</v>
      </c>
      <c r="K135" s="224"/>
      <c r="L135" s="224"/>
      <c r="M135" s="225" t="s">
        <v>221</v>
      </c>
      <c r="N135" s="226" t="s">
        <v>226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6" hidden="1" x14ac:dyDescent="0.3">
      <c r="A136" s="5"/>
      <c r="B136" s="5"/>
      <c r="C136" s="5"/>
      <c r="D136" s="5"/>
      <c r="E136" s="5"/>
      <c r="F136" s="5"/>
      <c r="G136" s="5"/>
      <c r="H136" s="223">
        <v>46174</v>
      </c>
      <c r="I136" s="224">
        <v>2000</v>
      </c>
      <c r="J136" s="224">
        <v>1000</v>
      </c>
      <c r="K136" s="224"/>
      <c r="L136" s="224"/>
      <c r="M136" s="225">
        <f>26.78/20</f>
        <v>1.339</v>
      </c>
      <c r="N136" s="226">
        <f>(Table_6[[#This Row],[Benzine 1]]+Table_6[[#This Row],[Benzine 2]])*Table_6[[#This Row],[Price]]</f>
        <v>4017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6" hidden="1" x14ac:dyDescent="0.3">
      <c r="A137" s="5"/>
      <c r="B137" s="5"/>
      <c r="C137" s="5"/>
      <c r="D137" s="5"/>
      <c r="E137" s="5"/>
      <c r="F137" s="5"/>
      <c r="G137" s="5"/>
      <c r="H137" s="223">
        <v>46175</v>
      </c>
      <c r="I137" s="224">
        <v>4076</v>
      </c>
      <c r="J137" s="224">
        <v>2947</v>
      </c>
      <c r="K137" s="224"/>
      <c r="L137" s="224"/>
      <c r="M137" s="225">
        <f>26.87/20</f>
        <v>1.3435000000000001</v>
      </c>
      <c r="N137" s="226">
        <f>Table_6[[#This Row],[Price]]*(Table_6[[#This Row],[Benzine 1]]+Table_6[[#This Row],[Benzine 2]])</f>
        <v>9435.4005000000016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6" hidden="1" x14ac:dyDescent="0.3">
      <c r="A138" s="5"/>
      <c r="B138" s="5"/>
      <c r="C138" s="5"/>
      <c r="D138" s="5"/>
      <c r="E138" s="5"/>
      <c r="F138" s="5"/>
      <c r="G138" s="5"/>
      <c r="H138" s="223">
        <v>46175</v>
      </c>
      <c r="I138" s="224"/>
      <c r="J138" s="224"/>
      <c r="K138" s="224"/>
      <c r="L138" s="224">
        <v>2994</v>
      </c>
      <c r="M138" s="225">
        <f>22.62/20</f>
        <v>1.131</v>
      </c>
      <c r="N138" s="226">
        <f>Table_6[[#This Row],[Mezout]]*Table_6[[#This Row],[Price]]</f>
        <v>3386.2139999999999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6" hidden="1" x14ac:dyDescent="0.3">
      <c r="A139" s="5"/>
      <c r="B139" s="5"/>
      <c r="C139" s="5"/>
      <c r="D139" s="5"/>
      <c r="E139" s="5"/>
      <c r="F139" s="5"/>
      <c r="G139" s="5"/>
      <c r="H139" s="223">
        <v>46176</v>
      </c>
      <c r="I139" s="224">
        <v>4862</v>
      </c>
      <c r="J139" s="224">
        <v>4629</v>
      </c>
      <c r="K139" s="224"/>
      <c r="L139" s="224"/>
      <c r="M139" s="225">
        <f>26.87/20</f>
        <v>1.3435000000000001</v>
      </c>
      <c r="N139" s="226">
        <f>(Table_6[[#This Row],[Benzine 1]]+Table_6[[#This Row],[Benzine 2]])*Table_6[[#This Row],[Price]]</f>
        <v>12751.158500000001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6" hidden="1" x14ac:dyDescent="0.3">
      <c r="A140" s="5"/>
      <c r="B140" s="5"/>
      <c r="C140" s="5"/>
      <c r="D140" s="5"/>
      <c r="E140" s="5"/>
      <c r="F140" s="5"/>
      <c r="G140" s="5"/>
      <c r="H140" s="223">
        <v>46176</v>
      </c>
      <c r="I140" s="224"/>
      <c r="J140" s="224"/>
      <c r="K140" s="224"/>
      <c r="L140" s="224">
        <v>3015</v>
      </c>
      <c r="M140" s="225">
        <f>22.62/20</f>
        <v>1.131</v>
      </c>
      <c r="N140" s="226">
        <f>Table_6[[#This Row],[Mezout]]*Table_6[[#This Row],[Price]]</f>
        <v>3409.9650000000001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6" hidden="1" x14ac:dyDescent="0.3">
      <c r="A141" s="5"/>
      <c r="B141" s="5"/>
      <c r="C141" s="5"/>
      <c r="D141" s="5"/>
      <c r="E141" s="5"/>
      <c r="F141" s="5"/>
      <c r="G141" s="5"/>
      <c r="H141" s="223">
        <v>46178</v>
      </c>
      <c r="I141" s="224">
        <v>4886</v>
      </c>
      <c r="J141" s="224">
        <v>4153</v>
      </c>
      <c r="K141" s="224"/>
      <c r="L141" s="224"/>
      <c r="M141" s="225">
        <f>25.759/20</f>
        <v>1.2879499999999999</v>
      </c>
      <c r="N141" s="226">
        <f>(Table_6[[#This Row],[Benzine 1]]+Table_6[[#This Row],[Benzine 2]])*Table_6[[#This Row],[Price]]</f>
        <v>11641.780049999999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6" hidden="1" x14ac:dyDescent="0.3">
      <c r="A142" s="5"/>
      <c r="B142" s="5"/>
      <c r="C142" s="5"/>
      <c r="D142" s="5"/>
      <c r="E142" s="5"/>
      <c r="F142" s="5"/>
      <c r="G142" s="5"/>
      <c r="H142" s="223">
        <v>46181</v>
      </c>
      <c r="I142" s="224">
        <f>4079+4143</f>
        <v>8222</v>
      </c>
      <c r="J142" s="224">
        <v>4623</v>
      </c>
      <c r="K142" s="224"/>
      <c r="L142" s="224"/>
      <c r="M142" s="225"/>
      <c r="N142" s="226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6" hidden="1" x14ac:dyDescent="0.3">
      <c r="A143" s="5"/>
      <c r="B143" s="5"/>
      <c r="C143" s="5"/>
      <c r="D143" s="5"/>
      <c r="E143" s="5"/>
      <c r="F143" s="5"/>
      <c r="G143" s="5"/>
      <c r="H143" s="223">
        <v>46182</v>
      </c>
      <c r="I143" s="224"/>
      <c r="J143" s="224"/>
      <c r="K143" s="224"/>
      <c r="L143" s="224">
        <v>4083</v>
      </c>
      <c r="M143" s="225">
        <f>22/20</f>
        <v>1.1000000000000001</v>
      </c>
      <c r="N143" s="226">
        <f>Table_6[[#This Row],[Mezout]]*Table_6[[#This Row],[Price]]</f>
        <v>4491.3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6" hidden="1" x14ac:dyDescent="0.3">
      <c r="A144" s="5"/>
      <c r="B144" s="5"/>
      <c r="C144" s="5"/>
      <c r="D144" s="5"/>
      <c r="E144" s="5"/>
      <c r="F144" s="5"/>
      <c r="G144" s="5"/>
      <c r="H144" s="223">
        <v>46183</v>
      </c>
      <c r="I144" s="224"/>
      <c r="J144" s="224">
        <v>2985</v>
      </c>
      <c r="K144" s="224"/>
      <c r="L144" s="224"/>
      <c r="M144" s="225">
        <f>25.3/20</f>
        <v>1.2650000000000001</v>
      </c>
      <c r="N144" s="226">
        <f>Table_6[[#This Row],[Benzine 2]]*Table_6[[#This Row],[Price]]</f>
        <v>3776.0250000000005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6" hidden="1" x14ac:dyDescent="0.3">
      <c r="A145" s="5"/>
      <c r="B145" s="5"/>
      <c r="C145" s="5"/>
      <c r="D145" s="5"/>
      <c r="E145" s="5"/>
      <c r="F145" s="5"/>
      <c r="G145" s="5"/>
      <c r="H145" s="223">
        <v>46185</v>
      </c>
      <c r="I145" s="224"/>
      <c r="J145" s="224">
        <v>4143</v>
      </c>
      <c r="K145" s="224"/>
      <c r="L145" s="224"/>
      <c r="M145" s="225">
        <f>24.55/20</f>
        <v>1.2275</v>
      </c>
      <c r="N145" s="226">
        <f>Table_6[[#This Row],[Benzine 2]]*Table_6[[#This Row],[Price]]</f>
        <v>5085.5325000000003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6" hidden="1" x14ac:dyDescent="0.3">
      <c r="A146" s="5"/>
      <c r="B146" s="5"/>
      <c r="C146" s="5"/>
      <c r="D146" s="5"/>
      <c r="E146" s="5"/>
      <c r="F146" s="5"/>
      <c r="G146" s="5"/>
      <c r="H146" s="223">
        <v>46185</v>
      </c>
      <c r="I146" s="224"/>
      <c r="J146" s="224"/>
      <c r="K146" s="224"/>
      <c r="L146" s="224">
        <v>4871</v>
      </c>
      <c r="M146" s="225">
        <f>21.47/20</f>
        <v>1.0734999999999999</v>
      </c>
      <c r="N146" s="226">
        <f>Table_6[[#This Row],[Mezout]]*Table_6[[#This Row],[Price]]</f>
        <v>5229.0184999999992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6" hidden="1" x14ac:dyDescent="0.3">
      <c r="A147" s="5"/>
      <c r="B147" s="5"/>
      <c r="C147" s="5"/>
      <c r="D147" s="5"/>
      <c r="E147" s="5"/>
      <c r="F147" s="5"/>
      <c r="G147" s="5"/>
      <c r="H147" s="223">
        <v>46185</v>
      </c>
      <c r="I147" s="224">
        <v>7501</v>
      </c>
      <c r="J147" s="224"/>
      <c r="K147" s="224"/>
      <c r="L147" s="224"/>
      <c r="M147" s="225">
        <f>24.55/20</f>
        <v>1.2275</v>
      </c>
      <c r="N147" s="226">
        <f>Table_6[[#This Row],[Price]]*Table_6[[#This Row],[Benzine 1]]</f>
        <v>9207.4775000000009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6" hidden="1" x14ac:dyDescent="0.3">
      <c r="A148" s="5"/>
      <c r="B148" s="5"/>
      <c r="C148" s="5"/>
      <c r="D148" s="5"/>
      <c r="E148" s="5"/>
      <c r="F148" s="5"/>
      <c r="G148" s="5"/>
      <c r="H148" s="223">
        <v>46187</v>
      </c>
      <c r="I148" s="224"/>
      <c r="J148" s="224"/>
      <c r="K148" s="224"/>
      <c r="L148" s="224">
        <v>100</v>
      </c>
      <c r="M148" s="225">
        <v>0</v>
      </c>
      <c r="N148" s="226"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6" hidden="1" x14ac:dyDescent="0.3">
      <c r="A149" s="5"/>
      <c r="B149" s="5"/>
      <c r="C149" s="5"/>
      <c r="D149" s="5"/>
      <c r="E149" s="5"/>
      <c r="F149" s="5"/>
      <c r="G149" s="5"/>
      <c r="H149" s="223">
        <v>46187</v>
      </c>
      <c r="I149" s="224">
        <v>1500</v>
      </c>
      <c r="J149" s="224"/>
      <c r="K149" s="224"/>
      <c r="L149" s="224"/>
      <c r="M149" s="225">
        <f>24.55/20</f>
        <v>1.2275</v>
      </c>
      <c r="N149" s="226">
        <f>Table_6[[#This Row],[Benzine 1]]*Table_6[[#This Row],[Price]]</f>
        <v>1841.25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6" hidden="1" x14ac:dyDescent="0.3">
      <c r="A150" s="5"/>
      <c r="B150" s="5"/>
      <c r="C150" s="5"/>
      <c r="D150" s="5"/>
      <c r="E150" s="5"/>
      <c r="F150" s="5"/>
      <c r="G150" s="5"/>
      <c r="H150" s="223">
        <v>46188</v>
      </c>
      <c r="I150" s="224">
        <v>1000</v>
      </c>
      <c r="J150" s="224"/>
      <c r="K150" s="224"/>
      <c r="L150" s="224"/>
      <c r="M150" s="225">
        <f>24.55/20</f>
        <v>1.2275</v>
      </c>
      <c r="N150" s="226">
        <f>Table_6[[#This Row],[Benzine 1]]*Table_6[[#This Row],[Price]]</f>
        <v>1227.5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6" hidden="1" x14ac:dyDescent="0.3">
      <c r="A151" s="5"/>
      <c r="B151" s="5"/>
      <c r="C151" s="5"/>
      <c r="D151" s="5"/>
      <c r="E151" s="5"/>
      <c r="F151" s="5"/>
      <c r="G151" s="5"/>
      <c r="H151" s="223">
        <v>46188</v>
      </c>
      <c r="I151" s="224">
        <v>500</v>
      </c>
      <c r="J151" s="224"/>
      <c r="K151" s="224"/>
      <c r="L151" s="224"/>
      <c r="M151" s="225">
        <f>24.19/20</f>
        <v>1.2095</v>
      </c>
      <c r="N151" s="226">
        <f>Table_6[[#This Row],[Price]]*Table_6[[#This Row],[Benzine 1]]</f>
        <v>604.75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6" hidden="1" x14ac:dyDescent="0.3">
      <c r="A152" s="5"/>
      <c r="B152" s="5"/>
      <c r="C152" s="5"/>
      <c r="D152" s="5"/>
      <c r="E152" s="5"/>
      <c r="F152" s="5"/>
      <c r="G152" s="5"/>
      <c r="H152" s="223">
        <v>46188</v>
      </c>
      <c r="I152" s="224"/>
      <c r="J152" s="224"/>
      <c r="K152" s="224"/>
      <c r="L152" s="224">
        <v>2988</v>
      </c>
      <c r="M152" s="225">
        <f>20.8/20</f>
        <v>1.04</v>
      </c>
      <c r="N152" s="226">
        <f>Table_6[[#This Row],[Mezout]]*Table_6[[#This Row],[Price]]</f>
        <v>3107.52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6" hidden="1" x14ac:dyDescent="0.3">
      <c r="A153" s="5"/>
      <c r="B153" s="5"/>
      <c r="C153" s="5"/>
      <c r="D153" s="5"/>
      <c r="E153" s="5"/>
      <c r="F153" s="5"/>
      <c r="G153" s="5"/>
      <c r="H153" s="223">
        <v>46188</v>
      </c>
      <c r="I153" s="224">
        <v>4855</v>
      </c>
      <c r="J153" s="224">
        <v>4622</v>
      </c>
      <c r="K153" s="224"/>
      <c r="L153" s="224"/>
      <c r="M153" s="225">
        <f>24.19/20</f>
        <v>1.2095</v>
      </c>
      <c r="N153" s="226">
        <f>Table_6[[#This Row],[Price]]*(Table_6[[#This Row],[Benzine 1]]+Table_6[[#This Row],[Benzine 2]])</f>
        <v>11462.431500000001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6" hidden="1" x14ac:dyDescent="0.3">
      <c r="A154" s="5"/>
      <c r="B154" s="5"/>
      <c r="C154" s="5"/>
      <c r="D154" s="5"/>
      <c r="E154" s="5"/>
      <c r="F154" s="5"/>
      <c r="G154" s="5"/>
      <c r="H154" s="223">
        <v>46190</v>
      </c>
      <c r="I154" s="224">
        <v>4077</v>
      </c>
      <c r="J154" s="224"/>
      <c r="K154" s="224"/>
      <c r="L154" s="224"/>
      <c r="M154" s="225">
        <f>24.19/20</f>
        <v>1.2095</v>
      </c>
      <c r="N154" s="226">
        <f>Table_6[[#This Row],[Price]]*Table_6[[#This Row],[Benzine 1]]</f>
        <v>4931.1315000000004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6" hidden="1" x14ac:dyDescent="0.3">
      <c r="A155" s="5"/>
      <c r="B155" s="5"/>
      <c r="C155" s="5"/>
      <c r="D155" s="5"/>
      <c r="E155" s="5"/>
      <c r="F155" s="5"/>
      <c r="G155" s="5"/>
      <c r="H155" s="223">
        <v>46191</v>
      </c>
      <c r="I155" s="224"/>
      <c r="J155" s="224">
        <v>4066</v>
      </c>
      <c r="K155" s="224"/>
      <c r="L155" s="224"/>
      <c r="M155" s="225">
        <f>24.19/20</f>
        <v>1.2095</v>
      </c>
      <c r="N155" s="226">
        <f>Table_6[[#This Row],[Price]]*Table_6[[#This Row],[Benzine 2]]</f>
        <v>4917.8270000000002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6" hidden="1" x14ac:dyDescent="0.3">
      <c r="A156" s="5"/>
      <c r="B156" s="5"/>
      <c r="C156" s="5"/>
      <c r="D156" s="5"/>
      <c r="E156" s="5"/>
      <c r="F156" s="5"/>
      <c r="G156" s="5"/>
      <c r="H156" s="223">
        <v>46192</v>
      </c>
      <c r="I156" s="224"/>
      <c r="J156" s="224"/>
      <c r="K156" s="224"/>
      <c r="L156" s="224">
        <v>4860</v>
      </c>
      <c r="M156" s="225">
        <f>20.6/20</f>
        <v>1.03</v>
      </c>
      <c r="N156" s="226">
        <f>Table_6[[#This Row],[Mezout]]*Table_6[[#This Row],[Price]]</f>
        <v>5005.8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6" hidden="1" x14ac:dyDescent="0.3">
      <c r="A157" s="5"/>
      <c r="B157" s="5"/>
      <c r="C157" s="5"/>
      <c r="D157" s="5"/>
      <c r="E157" s="5"/>
      <c r="F157" s="5"/>
      <c r="G157" s="5"/>
      <c r="H157" s="223">
        <v>46192</v>
      </c>
      <c r="I157" s="224">
        <f>4850+4610</f>
        <v>9460</v>
      </c>
      <c r="J157" s="224">
        <f>4075+4139</f>
        <v>8214</v>
      </c>
      <c r="K157" s="224"/>
      <c r="L157" s="224"/>
      <c r="M157" s="225">
        <f>23.77/20</f>
        <v>1.1884999999999999</v>
      </c>
      <c r="N157" s="226">
        <f>(Table_6[[#This Row],[Benzine 1]]+Table_6[[#This Row],[Benzine 2]])*Table_6[[#This Row],[Price]]</f>
        <v>21005.548999999999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6" hidden="1" x14ac:dyDescent="0.3">
      <c r="A158" s="5"/>
      <c r="B158" s="5"/>
      <c r="C158" s="5"/>
      <c r="D158" s="5"/>
      <c r="E158" s="5"/>
      <c r="F158" s="5"/>
      <c r="G158" s="5"/>
      <c r="H158" s="223">
        <v>46195</v>
      </c>
      <c r="I158" s="224">
        <v>4138</v>
      </c>
      <c r="J158" s="224"/>
      <c r="K158" s="224"/>
      <c r="L158" s="224"/>
      <c r="M158" s="225">
        <f>23.77/20</f>
        <v>1.1884999999999999</v>
      </c>
      <c r="N158" s="226">
        <f>Table_6[[#This Row],[Price]]*Table_6[[#This Row],[Benzine 1]]</f>
        <v>4918.0129999999999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6" hidden="1" x14ac:dyDescent="0.3">
      <c r="A159" s="5"/>
      <c r="B159" s="5"/>
      <c r="C159" s="5"/>
      <c r="D159" s="5"/>
      <c r="E159" s="5"/>
      <c r="F159" s="5"/>
      <c r="G159" s="5"/>
      <c r="H159" s="223">
        <v>46196</v>
      </c>
      <c r="I159" s="224">
        <v>4048</v>
      </c>
      <c r="J159" s="224">
        <v>4063</v>
      </c>
      <c r="K159" s="224"/>
      <c r="L159" s="224"/>
      <c r="M159" s="225">
        <f>23.54/20</f>
        <v>1.177</v>
      </c>
      <c r="N159" s="226">
        <f>Table_6[[#This Row],[Price]]*(Table_6[[#This Row],[Benzine 1]]+Table_6[[#This Row],[Benzine 2]])</f>
        <v>9546.6470000000008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6" hidden="1" x14ac:dyDescent="0.3">
      <c r="A160" s="5"/>
      <c r="B160" s="5"/>
      <c r="C160" s="5"/>
      <c r="D160" s="5"/>
      <c r="E160" s="5"/>
      <c r="F160" s="5"/>
      <c r="G160" s="5"/>
      <c r="H160" s="223">
        <v>46196</v>
      </c>
      <c r="I160" s="224"/>
      <c r="J160" s="224"/>
      <c r="K160" s="224"/>
      <c r="L160" s="224">
        <v>2930</v>
      </c>
      <c r="M160" s="225">
        <f>20.4/20</f>
        <v>1.02</v>
      </c>
      <c r="N160" s="226">
        <f>Table_6[[#This Row],[Mezout]]*Table_6[[#This Row],[Price]]</f>
        <v>2988.6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6" hidden="1" x14ac:dyDescent="0.3">
      <c r="A161" s="5"/>
      <c r="B161" s="5"/>
      <c r="C161" s="5"/>
      <c r="D161" s="5"/>
      <c r="E161" s="5"/>
      <c r="F161" s="5"/>
      <c r="G161" s="5"/>
      <c r="H161" s="223">
        <v>46197</v>
      </c>
      <c r="I161" s="224">
        <v>2976</v>
      </c>
      <c r="J161" s="224">
        <v>4050</v>
      </c>
      <c r="K161" s="224"/>
      <c r="L161" s="224"/>
      <c r="M161" s="225">
        <f>23.54/20</f>
        <v>1.177</v>
      </c>
      <c r="N161" s="226">
        <f>(Table_6[[#This Row],[Benzine 1]]+Table_6[[#This Row],[Benzine 2]])*Table_6[[#This Row],[Price]]</f>
        <v>8269.6020000000008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6" hidden="1" x14ac:dyDescent="0.3">
      <c r="A162" s="5"/>
      <c r="B162" s="5"/>
      <c r="C162" s="5"/>
      <c r="D162" s="5"/>
      <c r="E162" s="5"/>
      <c r="F162" s="5"/>
      <c r="G162" s="5"/>
      <c r="H162" s="223">
        <v>46198</v>
      </c>
      <c r="I162" s="224">
        <f>4071+3982</f>
        <v>8053</v>
      </c>
      <c r="J162" s="224">
        <f>4135+4056</f>
        <v>8191</v>
      </c>
      <c r="K162" s="224"/>
      <c r="L162" s="224"/>
      <c r="M162" s="225">
        <f>23.43/20</f>
        <v>1.1715</v>
      </c>
      <c r="N162" s="226">
        <f>(Table_6[[#This Row],[Benzine 1]]+Table_6[[#This Row],[Benzine 2]])*Table_6[[#This Row],[Price]]</f>
        <v>19029.846000000001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6" hidden="1" x14ac:dyDescent="0.3">
      <c r="A163" s="5"/>
      <c r="B163" s="5"/>
      <c r="C163" s="5"/>
      <c r="D163" s="5"/>
      <c r="E163" s="5"/>
      <c r="F163" s="5"/>
      <c r="G163" s="5"/>
      <c r="H163" s="223">
        <v>46198</v>
      </c>
      <c r="I163" s="224"/>
      <c r="J163" s="224"/>
      <c r="K163" s="224"/>
      <c r="L163" s="224">
        <v>2945</v>
      </c>
      <c r="M163" s="225">
        <f>19.99/20</f>
        <v>0.99949999999999994</v>
      </c>
      <c r="N163" s="226">
        <f>Table_6[[#This Row],[Mezout]]*Table_6[[#This Row],[Price]]</f>
        <v>2943.5274999999997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6" hidden="1" x14ac:dyDescent="0.3">
      <c r="A164" s="5"/>
      <c r="B164" s="5"/>
      <c r="C164" s="5"/>
      <c r="D164" s="5"/>
      <c r="E164" s="5"/>
      <c r="F164" s="5"/>
      <c r="G164" s="5"/>
      <c r="H164" s="223">
        <v>46201</v>
      </c>
      <c r="I164" s="224"/>
      <c r="J164" s="224"/>
      <c r="K164" s="224"/>
      <c r="L164" s="224">
        <v>1000</v>
      </c>
      <c r="M164" s="225">
        <f>19.99/20</f>
        <v>0.99949999999999994</v>
      </c>
      <c r="N164" s="226">
        <f>Table_6[[#This Row],[Mezout]]*Table_6[[#This Row],[Price]]</f>
        <v>999.5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6" hidden="1" x14ac:dyDescent="0.3">
      <c r="A165" s="5"/>
      <c r="B165" s="5"/>
      <c r="C165" s="5"/>
      <c r="D165" s="5"/>
      <c r="E165" s="5"/>
      <c r="F165" s="5"/>
      <c r="G165" s="5"/>
      <c r="H165" s="223">
        <v>46203</v>
      </c>
      <c r="I165" s="224">
        <v>4065</v>
      </c>
      <c r="J165" s="224">
        <v>2978</v>
      </c>
      <c r="K165" s="224"/>
      <c r="L165" s="224"/>
      <c r="M165" s="225">
        <f>22.94/20</f>
        <v>1.147</v>
      </c>
      <c r="N165" s="226">
        <f>(Table_6[[#This Row],[Benzine 1]]+Table_6[[#This Row],[Benzine 2]])*Table_6[[#This Row],[Price]]</f>
        <v>8078.3209999999999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6" hidden="1" x14ac:dyDescent="0.3">
      <c r="A166" s="5"/>
      <c r="B166" s="5"/>
      <c r="C166" s="5"/>
      <c r="D166" s="5"/>
      <c r="E166" s="5"/>
      <c r="F166" s="5"/>
      <c r="G166" s="5"/>
      <c r="H166" s="223">
        <v>46203</v>
      </c>
      <c r="I166" s="224"/>
      <c r="J166" s="224"/>
      <c r="K166" s="224"/>
      <c r="L166" s="224">
        <v>2930</v>
      </c>
      <c r="M166" s="225">
        <f>19.25/20</f>
        <v>0.96250000000000002</v>
      </c>
      <c r="N166" s="226">
        <f>Table_6[[#This Row],[Mezout]]*Table_6[[#This Row],[Price]]</f>
        <v>2820.125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6" x14ac:dyDescent="0.3">
      <c r="A167" s="5"/>
      <c r="B167" s="5"/>
      <c r="C167" s="5"/>
      <c r="D167" s="5"/>
      <c r="E167" s="5"/>
      <c r="F167" s="5"/>
      <c r="G167" s="5"/>
      <c r="H167" s="223">
        <v>46204</v>
      </c>
      <c r="I167" s="224">
        <f>4120+4042</f>
        <v>8162</v>
      </c>
      <c r="J167" s="224">
        <v>4828</v>
      </c>
      <c r="K167" s="224"/>
      <c r="L167" s="224"/>
      <c r="M167" s="225">
        <f>22.94/20</f>
        <v>1.147</v>
      </c>
      <c r="N167" s="226">
        <f>(Table_6[[#This Row],[Benzine 1]]+Table_6[[#This Row],[Benzine 2]])*Table_6[[#This Row],[Price]]</f>
        <v>14899.53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6" x14ac:dyDescent="0.3">
      <c r="A168" s="5"/>
      <c r="B168" s="5"/>
      <c r="C168" s="5"/>
      <c r="D168" s="5"/>
      <c r="E168" s="5"/>
      <c r="F168" s="5"/>
      <c r="G168" s="5"/>
      <c r="H168" s="223">
        <v>46204</v>
      </c>
      <c r="I168" s="224"/>
      <c r="J168" s="224"/>
      <c r="K168" s="224"/>
      <c r="L168" s="224">
        <v>3054</v>
      </c>
      <c r="M168" s="225">
        <f>19.25/20</f>
        <v>0.96250000000000002</v>
      </c>
      <c r="N168" s="226">
        <f>Table_6[[#This Row],[Mezout]]*Table_6[[#This Row],[Price]]</f>
        <v>2939.4749999999999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6" x14ac:dyDescent="0.3">
      <c r="A169" s="5"/>
      <c r="B169" s="5"/>
      <c r="C169" s="5"/>
      <c r="D169" s="5"/>
      <c r="E169" s="5"/>
      <c r="F169" s="5"/>
      <c r="G169" s="5"/>
      <c r="H169" s="223">
        <v>46206</v>
      </c>
      <c r="I169" s="224">
        <v>8117</v>
      </c>
      <c r="J169" s="224">
        <v>8976</v>
      </c>
      <c r="K169" s="224"/>
      <c r="L169" s="224"/>
      <c r="M169" s="225">
        <f>22.75/20</f>
        <v>1.1375</v>
      </c>
      <c r="N169" s="226">
        <f>(Table_6[[#This Row],[Benzine 1]]+Table_6[[#This Row],[Benzine 2]])*Table_6[[#This Row],[Price]]</f>
        <v>19443.287499999999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6" x14ac:dyDescent="0.3">
      <c r="A170" s="5"/>
      <c r="B170" s="5"/>
      <c r="C170" s="5"/>
      <c r="D170" s="5"/>
      <c r="E170" s="5"/>
      <c r="F170" s="5"/>
      <c r="G170" s="5"/>
      <c r="H170" s="223"/>
      <c r="I170" s="224"/>
      <c r="J170" s="224"/>
      <c r="K170" s="224"/>
      <c r="L170" s="224">
        <v>2929</v>
      </c>
      <c r="M170" s="225">
        <f>18.8/20</f>
        <v>0.94000000000000006</v>
      </c>
      <c r="N170" s="226">
        <f>Table_6[[#This Row],[Mezout]]*Table_6[[#This Row],[Price]]</f>
        <v>2753.26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6" x14ac:dyDescent="0.3">
      <c r="A171" s="5"/>
      <c r="B171" s="5"/>
      <c r="C171" s="5"/>
      <c r="D171" s="5"/>
      <c r="E171" s="5"/>
      <c r="F171" s="5"/>
      <c r="G171" s="5"/>
      <c r="H171" s="223">
        <v>46209</v>
      </c>
      <c r="I171" s="224"/>
      <c r="J171" s="224"/>
      <c r="K171" s="224"/>
      <c r="L171" s="224">
        <v>4053</v>
      </c>
      <c r="M171" s="225">
        <f>18.8/20</f>
        <v>0.94000000000000006</v>
      </c>
      <c r="N171" s="226">
        <f>Table_6[[#This Row],[Mezout]]*Table_6[[#This Row],[Price]]</f>
        <v>3809.82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6" x14ac:dyDescent="0.3">
      <c r="A172" s="5"/>
      <c r="B172" s="5"/>
      <c r="C172" s="5"/>
      <c r="D172" s="5"/>
      <c r="E172" s="5"/>
      <c r="F172" s="5"/>
      <c r="G172" s="5"/>
      <c r="H172" s="223">
        <v>46209</v>
      </c>
      <c r="I172" s="224">
        <v>4058</v>
      </c>
      <c r="J172" s="224">
        <v>4122</v>
      </c>
      <c r="K172" s="224"/>
      <c r="L172" s="224"/>
      <c r="M172" s="225">
        <f>22.75/20</f>
        <v>1.1375</v>
      </c>
      <c r="N172" s="226">
        <f>Table_6[[#This Row],[Price]]*(Table_6[[#This Row],[Benzine 1]]+Table_6[[#This Row],[Benzine 2]])</f>
        <v>9304.75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6" x14ac:dyDescent="0.3">
      <c r="A173" s="5"/>
      <c r="B173" s="5"/>
      <c r="C173" s="5"/>
      <c r="D173" s="5"/>
      <c r="E173" s="5"/>
      <c r="F173" s="5"/>
      <c r="G173" s="5"/>
      <c r="H173" s="223">
        <v>46210</v>
      </c>
      <c r="I173" s="224">
        <v>4055</v>
      </c>
      <c r="J173" s="224"/>
      <c r="K173" s="224"/>
      <c r="L173" s="224"/>
      <c r="M173" s="225">
        <f>22.6/20</f>
        <v>1.1300000000000001</v>
      </c>
      <c r="N173" s="226">
        <f>Table_6[[#This Row],[Benzine 1]]*Table_6[[#This Row],[Price]]</f>
        <v>4582.1500000000005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6" x14ac:dyDescent="0.3">
      <c r="A174" s="5"/>
      <c r="B174" s="5"/>
      <c r="C174" s="5"/>
      <c r="D174" s="5"/>
      <c r="E174" s="5"/>
      <c r="F174" s="5"/>
      <c r="G174" s="5"/>
      <c r="H174" s="223">
        <v>46211</v>
      </c>
      <c r="I174" s="224">
        <v>5955</v>
      </c>
      <c r="J174" s="224">
        <v>3974</v>
      </c>
      <c r="K174" s="224"/>
      <c r="L174" s="224"/>
      <c r="M174" s="225" t="s">
        <v>61</v>
      </c>
      <c r="N174" s="226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6" x14ac:dyDescent="0.3">
      <c r="A175" s="5"/>
      <c r="B175" s="5"/>
      <c r="C175" s="5"/>
      <c r="D175" s="5"/>
      <c r="E175" s="5"/>
      <c r="F175" s="5"/>
      <c r="G175" s="5"/>
      <c r="H175" s="223">
        <v>46211</v>
      </c>
      <c r="I175" s="224"/>
      <c r="J175" s="224"/>
      <c r="K175" s="224"/>
      <c r="L175" s="224">
        <v>8687</v>
      </c>
      <c r="M175" s="225">
        <f>18.64/20</f>
        <v>0.93200000000000005</v>
      </c>
      <c r="N175" s="226">
        <f>Table_6[[#This Row],[Mezout]]*Table_6[[#This Row],[Price]]</f>
        <v>8096.2840000000006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6" x14ac:dyDescent="0.3">
      <c r="A176" s="5"/>
      <c r="B176" s="5"/>
      <c r="C176" s="5"/>
      <c r="D176" s="5"/>
      <c r="E176" s="5"/>
      <c r="F176" s="5"/>
      <c r="G176" s="5"/>
      <c r="H176" s="223">
        <v>46212</v>
      </c>
      <c r="I176" s="224">
        <v>2932</v>
      </c>
      <c r="J176" s="224">
        <v>3040</v>
      </c>
      <c r="K176" s="224"/>
      <c r="L176" s="224"/>
      <c r="M176" s="225">
        <f>22.6/20</f>
        <v>1.1300000000000001</v>
      </c>
      <c r="N176" s="226">
        <f>Table_6[[#This Row],[Price]]*(Table_6[[#This Row],[Benzine 1]]+Table_6[[#This Row],[Benzine 2]])</f>
        <v>6748.3600000000006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6" x14ac:dyDescent="0.3">
      <c r="A177" s="5"/>
      <c r="B177" s="5"/>
      <c r="C177" s="5"/>
      <c r="D177" s="5"/>
      <c r="E177" s="5"/>
      <c r="F177" s="5"/>
      <c r="G177" s="5"/>
      <c r="H177" s="223">
        <v>46213</v>
      </c>
      <c r="I177" s="224">
        <v>4607</v>
      </c>
      <c r="J177" s="224">
        <v>4129</v>
      </c>
      <c r="K177" s="224"/>
      <c r="L177" s="224"/>
      <c r="M177" s="225">
        <f>22.76/20</f>
        <v>1.1380000000000001</v>
      </c>
      <c r="N177" s="226">
        <f>(Table_6[[#This Row],[Benzine 1]]+Table_6[[#This Row],[Benzine 2]])*Table_6[[#This Row],[Price]]</f>
        <v>9941.5680000000011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6" x14ac:dyDescent="0.3">
      <c r="A178" s="5"/>
      <c r="B178" s="5"/>
      <c r="C178" s="5"/>
      <c r="D178" s="5"/>
      <c r="E178" s="5"/>
      <c r="F178" s="5"/>
      <c r="G178" s="5"/>
      <c r="H178" s="223">
        <v>46216</v>
      </c>
      <c r="I178" s="224">
        <f>2040+3975</f>
        <v>6015</v>
      </c>
      <c r="J178" s="224">
        <f>2971+4055</f>
        <v>7026</v>
      </c>
      <c r="K178" s="224"/>
      <c r="L178" s="224"/>
      <c r="M178" s="225">
        <f>22.76/20</f>
        <v>1.1380000000000001</v>
      </c>
      <c r="N178" s="226">
        <f>(Table_6[[#This Row],[Benzine 1]]+Table_6[[#This Row],[Benzine 2]])*Table_6[[#This Row],[Price]]</f>
        <v>14840.658000000001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6" x14ac:dyDescent="0.3">
      <c r="A179" s="5"/>
      <c r="B179" s="5"/>
      <c r="C179" s="5"/>
      <c r="D179" s="5"/>
      <c r="E179" s="5"/>
      <c r="F179" s="5"/>
      <c r="G179" s="5"/>
      <c r="H179" s="223">
        <v>46216</v>
      </c>
      <c r="I179" s="224"/>
      <c r="J179" s="224"/>
      <c r="K179" s="224"/>
      <c r="L179" s="224">
        <f>2942+2927</f>
        <v>5869</v>
      </c>
      <c r="M179" s="225">
        <f>18.64/20</f>
        <v>0.93200000000000005</v>
      </c>
      <c r="N179" s="226">
        <f>Table_6[[#This Row],[Mezout]]*Table_6[[#This Row],[Price]]</f>
        <v>5469.9080000000004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6" x14ac:dyDescent="0.3">
      <c r="A180" s="5"/>
      <c r="B180" s="5"/>
      <c r="C180" s="5"/>
      <c r="D180" s="5"/>
      <c r="E180" s="5"/>
      <c r="F180" s="5"/>
      <c r="G180" s="5"/>
      <c r="H180" s="223">
        <v>46125</v>
      </c>
      <c r="I180" s="224">
        <v>4586</v>
      </c>
      <c r="J180" s="224"/>
      <c r="K180" s="224"/>
      <c r="L180" s="224"/>
      <c r="M180" s="225" t="s">
        <v>61</v>
      </c>
      <c r="N180" s="226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6" x14ac:dyDescent="0.3">
      <c r="A181" s="5"/>
      <c r="B181" s="5"/>
      <c r="C181" s="5"/>
      <c r="D181" s="5"/>
      <c r="E181" s="5"/>
      <c r="F181" s="5"/>
      <c r="G181" s="5"/>
      <c r="H181" s="223"/>
      <c r="I181" s="224"/>
      <c r="J181" s="224"/>
      <c r="K181" s="224"/>
      <c r="L181" s="224"/>
      <c r="M181" s="225"/>
      <c r="N181" s="226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6" x14ac:dyDescent="0.3">
      <c r="A182" s="5"/>
      <c r="B182" s="5"/>
      <c r="C182" s="5"/>
      <c r="D182" s="5"/>
      <c r="E182" s="5"/>
      <c r="F182" s="5"/>
      <c r="G182" s="5"/>
      <c r="H182" s="223"/>
      <c r="I182" s="224"/>
      <c r="J182" s="224"/>
      <c r="K182" s="224"/>
      <c r="L182" s="224"/>
      <c r="M182" s="225"/>
      <c r="N182" s="226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6" x14ac:dyDescent="0.3">
      <c r="A183" s="5"/>
      <c r="B183" s="5"/>
      <c r="C183" s="5"/>
      <c r="D183" s="5"/>
      <c r="E183" s="5"/>
      <c r="F183" s="5"/>
      <c r="G183" s="5"/>
      <c r="H183" s="223"/>
      <c r="I183" s="224"/>
      <c r="J183" s="224"/>
      <c r="K183" s="224"/>
      <c r="L183" s="224"/>
      <c r="M183" s="225"/>
      <c r="N183" s="226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6" x14ac:dyDescent="0.3">
      <c r="A184" s="5"/>
      <c r="B184" s="5"/>
      <c r="C184" s="5"/>
      <c r="D184" s="5"/>
      <c r="E184" s="5"/>
      <c r="F184" s="5"/>
      <c r="G184" s="5"/>
      <c r="H184" s="271" t="s">
        <v>107</v>
      </c>
      <c r="I184" s="382">
        <f>SUM(I3:I183)</f>
        <v>494820</v>
      </c>
      <c r="J184" s="382">
        <f>SUM(J3:J183)</f>
        <v>401968</v>
      </c>
      <c r="K184" s="382">
        <f>SUM('BM Stock Halba'!$K$3:$K$183)</f>
        <v>0</v>
      </c>
      <c r="L184" s="383">
        <f>SUM(L3:L183)</f>
        <v>303103</v>
      </c>
      <c r="M184" s="381"/>
      <c r="N184" s="384">
        <f>SUM(N3:N183)</f>
        <v>1100428.8835500001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6" x14ac:dyDescent="0.3">
      <c r="A185" s="5"/>
      <c r="B185" s="5"/>
      <c r="C185" s="5"/>
      <c r="D185" s="5"/>
      <c r="E185" s="5"/>
      <c r="F185" s="5"/>
      <c r="G185" s="5"/>
      <c r="H185" s="11"/>
      <c r="I185" s="101"/>
      <c r="J185" s="101"/>
      <c r="K185" s="101"/>
      <c r="L185" s="101"/>
      <c r="M185" s="5"/>
      <c r="N185" s="101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6" x14ac:dyDescent="0.3">
      <c r="A186" s="5"/>
      <c r="B186" s="5"/>
      <c r="C186" s="5"/>
      <c r="D186" s="5"/>
      <c r="E186" s="5"/>
      <c r="F186" s="5"/>
      <c r="G186" s="5"/>
      <c r="H186" s="11"/>
      <c r="I186" s="5"/>
      <c r="J186" s="5"/>
      <c r="K186" s="5"/>
      <c r="L186" s="5"/>
      <c r="M186" s="5"/>
      <c r="N186" s="101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6" x14ac:dyDescent="0.3">
      <c r="A187" s="5"/>
      <c r="B187" s="5"/>
      <c r="C187" s="5"/>
      <c r="D187" s="5"/>
      <c r="E187" s="5"/>
      <c r="F187" s="5"/>
      <c r="G187" s="5"/>
      <c r="H187" s="1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6" x14ac:dyDescent="0.3">
      <c r="A188" s="5"/>
      <c r="B188" s="5"/>
      <c r="C188" s="5"/>
      <c r="D188" s="5"/>
      <c r="E188" s="5"/>
      <c r="F188" s="5"/>
      <c r="G188" s="5"/>
      <c r="H188" s="1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6" x14ac:dyDescent="0.3">
      <c r="A189" s="5"/>
      <c r="B189" s="5"/>
      <c r="C189" s="5"/>
      <c r="D189" s="5"/>
      <c r="E189" s="5"/>
      <c r="F189" s="5"/>
      <c r="G189" s="5"/>
      <c r="H189" s="1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6" x14ac:dyDescent="0.3">
      <c r="A190" s="5"/>
      <c r="B190" s="5"/>
      <c r="C190" s="5"/>
      <c r="D190" s="5"/>
      <c r="E190" s="5"/>
      <c r="F190" s="5"/>
      <c r="G190" s="5"/>
      <c r="H190" s="1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6" x14ac:dyDescent="0.3">
      <c r="A191" s="5"/>
      <c r="B191" s="5"/>
      <c r="C191" s="5"/>
      <c r="D191" s="5"/>
      <c r="E191" s="5"/>
      <c r="F191" s="5"/>
      <c r="G191" s="5"/>
      <c r="H191" s="1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6" x14ac:dyDescent="0.3">
      <c r="A192" s="5"/>
      <c r="B192" s="5"/>
      <c r="C192" s="5"/>
      <c r="D192" s="5"/>
      <c r="E192" s="5"/>
      <c r="F192" s="5"/>
      <c r="G192" s="5"/>
      <c r="H192" s="1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6" x14ac:dyDescent="0.3">
      <c r="A193" s="5"/>
      <c r="B193" s="5"/>
      <c r="C193" s="5"/>
      <c r="D193" s="5"/>
      <c r="E193" s="5"/>
      <c r="F193" s="5"/>
      <c r="G193" s="5"/>
      <c r="H193" s="1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6" x14ac:dyDescent="0.3">
      <c r="A194" s="5"/>
      <c r="B194" s="5"/>
      <c r="C194" s="5"/>
      <c r="D194" s="5"/>
      <c r="E194" s="5"/>
      <c r="F194" s="5"/>
      <c r="G194" s="5"/>
      <c r="H194" s="1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6" x14ac:dyDescent="0.3">
      <c r="A195" s="5"/>
      <c r="B195" s="5"/>
      <c r="C195" s="5"/>
      <c r="D195" s="5"/>
      <c r="E195" s="5"/>
      <c r="F195" s="5"/>
      <c r="G195" s="5"/>
      <c r="H195" s="1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6" x14ac:dyDescent="0.3">
      <c r="A196" s="5"/>
      <c r="B196" s="5"/>
      <c r="C196" s="5"/>
      <c r="D196" s="5"/>
      <c r="E196" s="5"/>
      <c r="F196" s="5"/>
      <c r="G196" s="5"/>
      <c r="H196" s="1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6" x14ac:dyDescent="0.3">
      <c r="A197" s="5"/>
      <c r="B197" s="5"/>
      <c r="C197" s="5"/>
      <c r="D197" s="5"/>
      <c r="E197" s="5"/>
      <c r="F197" s="5"/>
      <c r="G197" s="5"/>
      <c r="H197" s="1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6" x14ac:dyDescent="0.3">
      <c r="A198" s="5"/>
      <c r="B198" s="5"/>
      <c r="C198" s="5"/>
      <c r="D198" s="5"/>
      <c r="E198" s="5"/>
      <c r="F198" s="5"/>
      <c r="G198" s="5"/>
      <c r="H198" s="1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6" x14ac:dyDescent="0.3">
      <c r="A199" s="5"/>
      <c r="B199" s="5"/>
      <c r="C199" s="5"/>
      <c r="D199" s="5"/>
      <c r="E199" s="5"/>
      <c r="F199" s="5"/>
      <c r="G199" s="5"/>
      <c r="H199" s="1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6" x14ac:dyDescent="0.3">
      <c r="A200" s="5"/>
      <c r="B200" s="5"/>
      <c r="C200" s="5"/>
      <c r="D200" s="5"/>
      <c r="E200" s="5"/>
      <c r="F200" s="5"/>
      <c r="G200" s="5"/>
      <c r="H200" s="1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6" x14ac:dyDescent="0.3">
      <c r="A201" s="5"/>
      <c r="B201" s="5"/>
      <c r="C201" s="5"/>
      <c r="D201" s="5"/>
      <c r="E201" s="5"/>
      <c r="F201" s="5"/>
      <c r="G201" s="5"/>
      <c r="H201" s="1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6" x14ac:dyDescent="0.3">
      <c r="A202" s="5"/>
      <c r="B202" s="5"/>
      <c r="C202" s="5"/>
      <c r="D202" s="5"/>
      <c r="E202" s="5"/>
      <c r="F202" s="5"/>
      <c r="G202" s="5"/>
      <c r="H202" s="1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6" x14ac:dyDescent="0.3">
      <c r="A203" s="5"/>
      <c r="B203" s="5"/>
      <c r="C203" s="5"/>
      <c r="D203" s="5"/>
      <c r="E203" s="5"/>
      <c r="F203" s="5"/>
      <c r="G203" s="5"/>
      <c r="H203" s="1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6" x14ac:dyDescent="0.3">
      <c r="A204" s="5"/>
      <c r="B204" s="5"/>
      <c r="C204" s="5"/>
      <c r="D204" s="5"/>
      <c r="E204" s="5"/>
      <c r="F204" s="5"/>
      <c r="G204" s="5"/>
      <c r="H204" s="1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6" x14ac:dyDescent="0.3">
      <c r="A205" s="5"/>
      <c r="B205" s="5"/>
      <c r="C205" s="5"/>
      <c r="D205" s="5"/>
      <c r="E205" s="5"/>
      <c r="F205" s="5"/>
      <c r="G205" s="5"/>
      <c r="H205" s="1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6" x14ac:dyDescent="0.3">
      <c r="A206" s="5"/>
      <c r="B206" s="5"/>
      <c r="C206" s="5"/>
      <c r="D206" s="5"/>
      <c r="E206" s="5"/>
      <c r="F206" s="5"/>
      <c r="G206" s="5"/>
      <c r="H206" s="1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6" x14ac:dyDescent="0.3">
      <c r="A207" s="5"/>
      <c r="B207" s="5"/>
      <c r="C207" s="5"/>
      <c r="D207" s="5"/>
      <c r="E207" s="5"/>
      <c r="F207" s="5"/>
      <c r="G207" s="5"/>
      <c r="H207" s="1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6" x14ac:dyDescent="0.3">
      <c r="A208" s="5"/>
      <c r="B208" s="5"/>
      <c r="C208" s="5"/>
      <c r="D208" s="5"/>
      <c r="E208" s="5"/>
      <c r="F208" s="5"/>
      <c r="G208" s="5"/>
      <c r="H208" s="1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6" x14ac:dyDescent="0.3">
      <c r="A209" s="5"/>
      <c r="B209" s="5"/>
      <c r="C209" s="5"/>
      <c r="D209" s="5"/>
      <c r="E209" s="5"/>
      <c r="F209" s="5"/>
      <c r="G209" s="5"/>
      <c r="H209" s="1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6" x14ac:dyDescent="0.3">
      <c r="A210" s="5"/>
      <c r="B210" s="5"/>
      <c r="C210" s="5"/>
      <c r="D210" s="5"/>
      <c r="E210" s="5"/>
      <c r="F210" s="5"/>
      <c r="G210" s="5"/>
      <c r="H210" s="1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6" x14ac:dyDescent="0.3">
      <c r="A211" s="5"/>
      <c r="B211" s="5"/>
      <c r="C211" s="5"/>
      <c r="D211" s="5"/>
      <c r="E211" s="5"/>
      <c r="F211" s="5"/>
      <c r="G211" s="5"/>
      <c r="H211" s="1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6" x14ac:dyDescent="0.3">
      <c r="A212" s="5"/>
      <c r="B212" s="5"/>
      <c r="C212" s="5"/>
      <c r="D212" s="5"/>
      <c r="E212" s="5"/>
      <c r="F212" s="5"/>
      <c r="G212" s="5"/>
      <c r="H212" s="1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6" x14ac:dyDescent="0.3">
      <c r="A213" s="5"/>
      <c r="B213" s="5"/>
      <c r="C213" s="5"/>
      <c r="D213" s="5"/>
      <c r="E213" s="5"/>
      <c r="F213" s="5"/>
      <c r="G213" s="5"/>
      <c r="H213" s="1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6" x14ac:dyDescent="0.3">
      <c r="A214" s="5"/>
      <c r="B214" s="5"/>
      <c r="C214" s="5"/>
      <c r="D214" s="5"/>
      <c r="E214" s="5"/>
      <c r="F214" s="5"/>
      <c r="G214" s="5"/>
      <c r="H214" s="1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6" x14ac:dyDescent="0.3">
      <c r="A215" s="5"/>
      <c r="B215" s="5"/>
      <c r="C215" s="5"/>
      <c r="D215" s="5"/>
      <c r="E215" s="5"/>
      <c r="F215" s="5"/>
      <c r="G215" s="5"/>
      <c r="H215" s="1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6" x14ac:dyDescent="0.3">
      <c r="A216" s="5"/>
      <c r="B216" s="5"/>
      <c r="C216" s="5"/>
      <c r="D216" s="5"/>
      <c r="E216" s="5"/>
      <c r="F216" s="5"/>
      <c r="G216" s="5"/>
      <c r="H216" s="1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6" x14ac:dyDescent="0.3">
      <c r="A217" s="5"/>
      <c r="B217" s="5"/>
      <c r="C217" s="5"/>
      <c r="D217" s="5"/>
      <c r="E217" s="5"/>
      <c r="F217" s="5"/>
      <c r="G217" s="5"/>
      <c r="H217" s="1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6" x14ac:dyDescent="0.3">
      <c r="A218" s="5"/>
      <c r="B218" s="5"/>
      <c r="C218" s="5"/>
      <c r="D218" s="5"/>
      <c r="E218" s="5"/>
      <c r="F218" s="5"/>
      <c r="G218" s="5"/>
      <c r="H218" s="1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6" x14ac:dyDescent="0.3">
      <c r="A219" s="5"/>
      <c r="B219" s="5"/>
      <c r="C219" s="5"/>
      <c r="D219" s="5"/>
      <c r="E219" s="5"/>
      <c r="F219" s="5"/>
      <c r="G219" s="5"/>
      <c r="H219" s="1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6" x14ac:dyDescent="0.3">
      <c r="A220" s="5"/>
      <c r="B220" s="5"/>
      <c r="C220" s="5"/>
      <c r="D220" s="5"/>
      <c r="E220" s="5"/>
      <c r="F220" s="5"/>
      <c r="G220" s="5"/>
      <c r="H220" s="1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6" x14ac:dyDescent="0.3">
      <c r="A221" s="5"/>
      <c r="B221" s="5"/>
      <c r="C221" s="5"/>
      <c r="D221" s="5"/>
      <c r="E221" s="5"/>
      <c r="F221" s="5"/>
      <c r="G221" s="5"/>
      <c r="H221" s="1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6" x14ac:dyDescent="0.3">
      <c r="A222" s="5"/>
      <c r="B222" s="5"/>
      <c r="C222" s="5"/>
      <c r="D222" s="5"/>
      <c r="E222" s="5"/>
      <c r="F222" s="5"/>
      <c r="G222" s="5"/>
      <c r="H222" s="1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6" x14ac:dyDescent="0.3">
      <c r="A223" s="5"/>
      <c r="B223" s="5"/>
      <c r="C223" s="5"/>
      <c r="D223" s="5"/>
      <c r="E223" s="5"/>
      <c r="F223" s="5"/>
      <c r="G223" s="5"/>
      <c r="H223" s="1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6" x14ac:dyDescent="0.3">
      <c r="A224" s="5"/>
      <c r="B224" s="5"/>
      <c r="C224" s="5"/>
      <c r="D224" s="5"/>
      <c r="E224" s="5"/>
      <c r="F224" s="5"/>
      <c r="G224" s="5"/>
      <c r="H224" s="1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6" x14ac:dyDescent="0.3">
      <c r="A225" s="5"/>
      <c r="B225" s="5"/>
      <c r="C225" s="5"/>
      <c r="D225" s="5"/>
      <c r="E225" s="5"/>
      <c r="F225" s="5"/>
      <c r="G225" s="5"/>
      <c r="H225" s="1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6" x14ac:dyDescent="0.3">
      <c r="A226" s="5"/>
      <c r="B226" s="5"/>
      <c r="C226" s="5"/>
      <c r="D226" s="5"/>
      <c r="E226" s="5"/>
      <c r="F226" s="5"/>
      <c r="G226" s="5"/>
      <c r="H226" s="1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6" x14ac:dyDescent="0.3">
      <c r="A227" s="5"/>
      <c r="B227" s="5"/>
      <c r="C227" s="5"/>
      <c r="D227" s="5"/>
      <c r="E227" s="5"/>
      <c r="F227" s="5"/>
      <c r="G227" s="5"/>
      <c r="H227" s="1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6" x14ac:dyDescent="0.3">
      <c r="A228" s="5"/>
      <c r="B228" s="5"/>
      <c r="C228" s="5"/>
      <c r="D228" s="5"/>
      <c r="E228" s="5"/>
      <c r="F228" s="5"/>
      <c r="G228" s="5"/>
      <c r="H228" s="1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6" x14ac:dyDescent="0.3">
      <c r="A229" s="5"/>
      <c r="B229" s="5"/>
      <c r="C229" s="5"/>
      <c r="D229" s="5"/>
      <c r="E229" s="5"/>
      <c r="F229" s="5"/>
      <c r="G229" s="5"/>
      <c r="H229" s="1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6" x14ac:dyDescent="0.3">
      <c r="A230" s="5"/>
      <c r="B230" s="5"/>
      <c r="C230" s="5"/>
      <c r="D230" s="5"/>
      <c r="E230" s="5"/>
      <c r="F230" s="5"/>
      <c r="G230" s="5"/>
      <c r="H230" s="1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6" x14ac:dyDescent="0.3">
      <c r="A231" s="5"/>
      <c r="B231" s="5"/>
      <c r="C231" s="5"/>
      <c r="D231" s="5"/>
      <c r="E231" s="5"/>
      <c r="F231" s="5"/>
      <c r="G231" s="5"/>
      <c r="H231" s="1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6" x14ac:dyDescent="0.3">
      <c r="A232" s="5"/>
      <c r="B232" s="5"/>
      <c r="C232" s="5"/>
      <c r="D232" s="5"/>
      <c r="E232" s="5"/>
      <c r="F232" s="5"/>
      <c r="G232" s="5"/>
      <c r="H232" s="1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6" x14ac:dyDescent="0.3">
      <c r="A233" s="5"/>
      <c r="B233" s="5"/>
      <c r="C233" s="5"/>
      <c r="D233" s="5"/>
      <c r="E233" s="5"/>
      <c r="F233" s="5"/>
      <c r="G233" s="5"/>
      <c r="H233" s="1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6" x14ac:dyDescent="0.3">
      <c r="A234" s="5"/>
      <c r="B234" s="5"/>
      <c r="C234" s="5"/>
      <c r="D234" s="5"/>
      <c r="E234" s="5"/>
      <c r="F234" s="5"/>
      <c r="G234" s="5"/>
      <c r="H234" s="1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6" x14ac:dyDescent="0.3">
      <c r="A235" s="5"/>
      <c r="B235" s="5"/>
      <c r="C235" s="5"/>
      <c r="D235" s="5"/>
      <c r="E235" s="5"/>
      <c r="F235" s="5"/>
      <c r="G235" s="5"/>
      <c r="H235" s="1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6" x14ac:dyDescent="0.3">
      <c r="A236" s="5"/>
      <c r="B236" s="5"/>
      <c r="C236" s="5"/>
      <c r="D236" s="5"/>
      <c r="E236" s="5"/>
      <c r="F236" s="5"/>
      <c r="G236" s="5"/>
      <c r="H236" s="1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6" x14ac:dyDescent="0.3">
      <c r="A237" s="5"/>
      <c r="B237" s="5"/>
      <c r="C237" s="5"/>
      <c r="D237" s="5"/>
      <c r="E237" s="5"/>
      <c r="F237" s="5"/>
      <c r="G237" s="5"/>
      <c r="H237" s="1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6" x14ac:dyDescent="0.3">
      <c r="A238" s="5"/>
      <c r="B238" s="5"/>
      <c r="C238" s="5"/>
      <c r="D238" s="5"/>
      <c r="E238" s="5"/>
      <c r="F238" s="5"/>
      <c r="G238" s="5"/>
      <c r="H238" s="1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6" x14ac:dyDescent="0.3">
      <c r="A239" s="5"/>
      <c r="B239" s="5"/>
      <c r="C239" s="5"/>
      <c r="D239" s="5"/>
      <c r="E239" s="5"/>
      <c r="F239" s="5"/>
      <c r="G239" s="5"/>
      <c r="H239" s="1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6" x14ac:dyDescent="0.3">
      <c r="A240" s="5"/>
      <c r="B240" s="5"/>
      <c r="C240" s="5"/>
      <c r="D240" s="5"/>
      <c r="E240" s="5"/>
      <c r="F240" s="5"/>
      <c r="G240" s="5"/>
      <c r="H240" s="1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6" x14ac:dyDescent="0.3">
      <c r="A241" s="5"/>
      <c r="B241" s="5"/>
      <c r="C241" s="5"/>
      <c r="D241" s="5"/>
      <c r="E241" s="5"/>
      <c r="F241" s="5"/>
      <c r="G241" s="5"/>
      <c r="H241" s="1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6" x14ac:dyDescent="0.3">
      <c r="A242" s="5"/>
      <c r="B242" s="5"/>
      <c r="C242" s="5"/>
      <c r="D242" s="5"/>
      <c r="E242" s="5"/>
      <c r="F242" s="5"/>
      <c r="G242" s="5"/>
      <c r="H242" s="1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6" x14ac:dyDescent="0.3">
      <c r="A243" s="5"/>
      <c r="B243" s="5"/>
      <c r="C243" s="5"/>
      <c r="D243" s="5"/>
      <c r="E243" s="5"/>
      <c r="F243" s="5"/>
      <c r="G243" s="5"/>
      <c r="H243" s="1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6" x14ac:dyDescent="0.3">
      <c r="A244" s="5"/>
      <c r="B244" s="5"/>
      <c r="C244" s="5"/>
      <c r="D244" s="5"/>
      <c r="E244" s="5"/>
      <c r="F244" s="5"/>
      <c r="G244" s="5"/>
      <c r="H244" s="1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6" x14ac:dyDescent="0.3">
      <c r="A245" s="5"/>
      <c r="B245" s="5"/>
      <c r="C245" s="5"/>
      <c r="D245" s="5"/>
      <c r="E245" s="5"/>
      <c r="F245" s="5"/>
      <c r="G245" s="5"/>
      <c r="H245" s="1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6" x14ac:dyDescent="0.3">
      <c r="A246" s="5"/>
      <c r="B246" s="5"/>
      <c r="C246" s="5"/>
      <c r="D246" s="5"/>
      <c r="E246" s="5"/>
      <c r="F246" s="5"/>
      <c r="G246" s="5"/>
      <c r="H246" s="1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6" x14ac:dyDescent="0.3">
      <c r="A247" s="5"/>
      <c r="B247" s="5"/>
      <c r="C247" s="5"/>
      <c r="D247" s="5"/>
      <c r="E247" s="5"/>
      <c r="F247" s="5"/>
      <c r="G247" s="5"/>
      <c r="H247" s="1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6" x14ac:dyDescent="0.3">
      <c r="A248" s="5"/>
      <c r="B248" s="5"/>
      <c r="C248" s="5"/>
      <c r="D248" s="5"/>
      <c r="E248" s="5"/>
      <c r="F248" s="5"/>
      <c r="G248" s="5"/>
      <c r="H248" s="1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6" x14ac:dyDescent="0.3">
      <c r="A249" s="5"/>
      <c r="B249" s="5"/>
      <c r="C249" s="5"/>
      <c r="D249" s="5"/>
      <c r="E249" s="5"/>
      <c r="F249" s="5"/>
      <c r="G249" s="5"/>
      <c r="H249" s="1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6" x14ac:dyDescent="0.3">
      <c r="A250" s="5"/>
      <c r="B250" s="5"/>
      <c r="C250" s="5"/>
      <c r="D250" s="5"/>
      <c r="E250" s="5"/>
      <c r="F250" s="5"/>
      <c r="G250" s="5"/>
      <c r="H250" s="1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6" x14ac:dyDescent="0.3">
      <c r="A251" s="5"/>
      <c r="B251" s="5"/>
      <c r="C251" s="5"/>
      <c r="D251" s="5"/>
      <c r="E251" s="5"/>
      <c r="F251" s="5"/>
      <c r="G251" s="5"/>
      <c r="H251" s="1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6" x14ac:dyDescent="0.3">
      <c r="A252" s="5"/>
      <c r="B252" s="5"/>
      <c r="C252" s="5"/>
      <c r="D252" s="5"/>
      <c r="E252" s="5"/>
      <c r="F252" s="5"/>
      <c r="G252" s="5"/>
      <c r="H252" s="1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6" x14ac:dyDescent="0.3">
      <c r="A253" s="5"/>
      <c r="B253" s="5"/>
      <c r="C253" s="5"/>
      <c r="D253" s="5"/>
      <c r="E253" s="5"/>
      <c r="F253" s="5"/>
      <c r="G253" s="5"/>
      <c r="H253" s="1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6" x14ac:dyDescent="0.3">
      <c r="A254" s="5"/>
      <c r="B254" s="5"/>
      <c r="C254" s="5"/>
      <c r="D254" s="5"/>
      <c r="E254" s="5"/>
      <c r="F254" s="5"/>
      <c r="G254" s="5"/>
      <c r="H254" s="1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6" x14ac:dyDescent="0.3">
      <c r="A255" s="5"/>
      <c r="B255" s="5"/>
      <c r="C255" s="5"/>
      <c r="D255" s="5"/>
      <c r="E255" s="5"/>
      <c r="F255" s="5"/>
      <c r="G255" s="5"/>
      <c r="H255" s="1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6" x14ac:dyDescent="0.3">
      <c r="A256" s="5"/>
      <c r="B256" s="5"/>
      <c r="C256" s="5"/>
      <c r="D256" s="5"/>
      <c r="E256" s="5"/>
      <c r="F256" s="5"/>
      <c r="G256" s="5"/>
      <c r="H256" s="1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6" x14ac:dyDescent="0.3">
      <c r="A257" s="5"/>
      <c r="B257" s="5"/>
      <c r="C257" s="5"/>
      <c r="D257" s="5"/>
      <c r="E257" s="5"/>
      <c r="F257" s="5"/>
      <c r="G257" s="5"/>
      <c r="H257" s="1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6" x14ac:dyDescent="0.3">
      <c r="A258" s="5"/>
      <c r="B258" s="5"/>
      <c r="C258" s="5"/>
      <c r="D258" s="5"/>
      <c r="E258" s="5"/>
      <c r="F258" s="5"/>
      <c r="G258" s="5"/>
      <c r="H258" s="1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6" x14ac:dyDescent="0.3">
      <c r="A259" s="5"/>
      <c r="B259" s="5"/>
      <c r="C259" s="5"/>
      <c r="D259" s="5"/>
      <c r="E259" s="5"/>
      <c r="F259" s="5"/>
      <c r="G259" s="5"/>
      <c r="H259" s="1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6" x14ac:dyDescent="0.3">
      <c r="A260" s="5"/>
      <c r="B260" s="5"/>
      <c r="C260" s="5"/>
      <c r="D260" s="5"/>
      <c r="E260" s="5"/>
      <c r="F260" s="5"/>
      <c r="G260" s="5"/>
      <c r="H260" s="1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6" x14ac:dyDescent="0.3">
      <c r="A261" s="5"/>
      <c r="B261" s="5"/>
      <c r="C261" s="5"/>
      <c r="D261" s="5"/>
      <c r="E261" s="5"/>
      <c r="F261" s="5"/>
      <c r="G261" s="5"/>
      <c r="H261" s="1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6" x14ac:dyDescent="0.3">
      <c r="A262" s="5"/>
      <c r="B262" s="5"/>
      <c r="C262" s="5"/>
      <c r="D262" s="5"/>
      <c r="E262" s="5"/>
      <c r="F262" s="5"/>
      <c r="G262" s="5"/>
      <c r="H262" s="1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6" x14ac:dyDescent="0.3">
      <c r="A263" s="5"/>
      <c r="B263" s="5"/>
      <c r="C263" s="5"/>
      <c r="D263" s="5"/>
      <c r="E263" s="5"/>
      <c r="F263" s="5"/>
      <c r="G263" s="5"/>
      <c r="H263" s="1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6" x14ac:dyDescent="0.3">
      <c r="A264" s="5"/>
      <c r="B264" s="5"/>
      <c r="C264" s="5"/>
      <c r="D264" s="5"/>
      <c r="E264" s="5"/>
      <c r="F264" s="5"/>
      <c r="G264" s="5"/>
      <c r="H264" s="1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6" x14ac:dyDescent="0.3">
      <c r="A265" s="5"/>
      <c r="B265" s="5"/>
      <c r="C265" s="5"/>
      <c r="D265" s="5"/>
      <c r="E265" s="5"/>
      <c r="F265" s="5"/>
      <c r="G265" s="5"/>
      <c r="H265" s="1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6" x14ac:dyDescent="0.3">
      <c r="A266" s="5"/>
      <c r="B266" s="5"/>
      <c r="C266" s="5"/>
      <c r="D266" s="5"/>
      <c r="E266" s="5"/>
      <c r="F266" s="5"/>
      <c r="G266" s="5"/>
      <c r="H266" s="1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6" x14ac:dyDescent="0.3">
      <c r="A267" s="5"/>
      <c r="B267" s="5"/>
      <c r="C267" s="5"/>
      <c r="D267" s="5"/>
      <c r="E267" s="5"/>
      <c r="F267" s="5"/>
      <c r="G267" s="5"/>
      <c r="H267" s="1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6" x14ac:dyDescent="0.3">
      <c r="A268" s="5"/>
      <c r="B268" s="5"/>
      <c r="C268" s="5"/>
      <c r="D268" s="5"/>
      <c r="E268" s="5"/>
      <c r="F268" s="5"/>
      <c r="G268" s="5"/>
      <c r="H268" s="1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6" x14ac:dyDescent="0.3">
      <c r="A269" s="5"/>
      <c r="B269" s="5"/>
      <c r="C269" s="5"/>
      <c r="D269" s="5"/>
      <c r="E269" s="5"/>
      <c r="F269" s="5"/>
      <c r="G269" s="5"/>
      <c r="H269" s="1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6" x14ac:dyDescent="0.3">
      <c r="A270" s="5"/>
      <c r="B270" s="5"/>
      <c r="C270" s="5"/>
      <c r="D270" s="5"/>
      <c r="E270" s="5"/>
      <c r="F270" s="5"/>
      <c r="G270" s="5"/>
      <c r="H270" s="1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6" x14ac:dyDescent="0.3">
      <c r="A271" s="5"/>
      <c r="B271" s="5"/>
      <c r="C271" s="5"/>
      <c r="D271" s="5"/>
      <c r="E271" s="5"/>
      <c r="F271" s="5"/>
      <c r="G271" s="5"/>
      <c r="H271" s="1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6" x14ac:dyDescent="0.3">
      <c r="A272" s="5"/>
      <c r="B272" s="5"/>
      <c r="C272" s="5"/>
      <c r="D272" s="5"/>
      <c r="E272" s="5"/>
      <c r="F272" s="5"/>
      <c r="G272" s="5"/>
      <c r="H272" s="1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6" x14ac:dyDescent="0.3">
      <c r="A273" s="5"/>
      <c r="B273" s="5"/>
      <c r="C273" s="5"/>
      <c r="D273" s="5"/>
      <c r="E273" s="5"/>
      <c r="F273" s="5"/>
      <c r="G273" s="5"/>
      <c r="H273" s="1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6" x14ac:dyDescent="0.3">
      <c r="A274" s="5"/>
      <c r="B274" s="5"/>
      <c r="C274" s="5"/>
      <c r="D274" s="5"/>
      <c r="E274" s="5"/>
      <c r="F274" s="5"/>
      <c r="G274" s="5"/>
      <c r="H274" s="1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6" x14ac:dyDescent="0.3">
      <c r="A275" s="5"/>
      <c r="B275" s="5"/>
      <c r="C275" s="5"/>
      <c r="D275" s="5"/>
      <c r="E275" s="5"/>
      <c r="F275" s="5"/>
      <c r="G275" s="5"/>
      <c r="H275" s="1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6" x14ac:dyDescent="0.3">
      <c r="A276" s="5"/>
      <c r="B276" s="5"/>
      <c r="C276" s="5"/>
      <c r="D276" s="5"/>
      <c r="E276" s="5"/>
      <c r="F276" s="5"/>
      <c r="G276" s="5"/>
      <c r="H276" s="1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6" x14ac:dyDescent="0.3">
      <c r="A277" s="5"/>
      <c r="B277" s="5"/>
      <c r="C277" s="5"/>
      <c r="D277" s="5"/>
      <c r="E277" s="5"/>
      <c r="F277" s="5"/>
      <c r="G277" s="5"/>
      <c r="H277" s="1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6" x14ac:dyDescent="0.3">
      <c r="A278" s="5"/>
      <c r="B278" s="5"/>
      <c r="C278" s="5"/>
      <c r="D278" s="5"/>
      <c r="E278" s="5"/>
      <c r="F278" s="5"/>
      <c r="G278" s="5"/>
      <c r="H278" s="1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6" x14ac:dyDescent="0.3">
      <c r="A279" s="5"/>
      <c r="B279" s="5"/>
      <c r="C279" s="5"/>
      <c r="D279" s="5"/>
      <c r="E279" s="5"/>
      <c r="F279" s="5"/>
      <c r="G279" s="5"/>
      <c r="H279" s="1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6" x14ac:dyDescent="0.3">
      <c r="A280" s="5"/>
      <c r="B280" s="5"/>
      <c r="C280" s="5"/>
      <c r="D280" s="5"/>
      <c r="E280" s="5"/>
      <c r="F280" s="5"/>
      <c r="G280" s="5"/>
      <c r="H280" s="1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6" x14ac:dyDescent="0.3">
      <c r="A281" s="5"/>
      <c r="B281" s="5"/>
      <c r="C281" s="5"/>
      <c r="D281" s="5"/>
      <c r="E281" s="5"/>
      <c r="F281" s="5"/>
      <c r="G281" s="5"/>
      <c r="H281" s="1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6" x14ac:dyDescent="0.3">
      <c r="A282" s="5"/>
      <c r="B282" s="5"/>
      <c r="C282" s="5"/>
      <c r="D282" s="5"/>
      <c r="E282" s="5"/>
      <c r="F282" s="5"/>
      <c r="G282" s="5"/>
      <c r="H282" s="1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6" x14ac:dyDescent="0.3">
      <c r="A283" s="5"/>
      <c r="B283" s="5"/>
      <c r="C283" s="5"/>
      <c r="D283" s="5"/>
      <c r="E283" s="5"/>
      <c r="F283" s="5"/>
      <c r="G283" s="5"/>
      <c r="H283" s="1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6" x14ac:dyDescent="0.3">
      <c r="A284" s="5"/>
      <c r="B284" s="5"/>
      <c r="C284" s="5"/>
      <c r="D284" s="5"/>
      <c r="E284" s="5"/>
      <c r="F284" s="5"/>
      <c r="G284" s="5"/>
      <c r="H284" s="1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6" x14ac:dyDescent="0.3">
      <c r="A285" s="5"/>
      <c r="B285" s="5"/>
      <c r="C285" s="5"/>
      <c r="D285" s="5"/>
      <c r="E285" s="5"/>
      <c r="F285" s="5"/>
      <c r="G285" s="5"/>
      <c r="H285" s="1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6" x14ac:dyDescent="0.3">
      <c r="A286" s="5"/>
      <c r="B286" s="5"/>
      <c r="C286" s="5"/>
      <c r="D286" s="5"/>
      <c r="E286" s="5"/>
      <c r="F286" s="5"/>
      <c r="G286" s="5"/>
      <c r="H286" s="1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6" x14ac:dyDescent="0.3">
      <c r="A287" s="5"/>
      <c r="B287" s="5"/>
      <c r="C287" s="5"/>
      <c r="D287" s="5"/>
      <c r="E287" s="5"/>
      <c r="F287" s="5"/>
      <c r="G287" s="5"/>
      <c r="H287" s="1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6" x14ac:dyDescent="0.3">
      <c r="A288" s="5"/>
      <c r="B288" s="5"/>
      <c r="C288" s="5"/>
      <c r="D288" s="5"/>
      <c r="E288" s="5"/>
      <c r="F288" s="5"/>
      <c r="G288" s="5"/>
      <c r="H288" s="1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6" x14ac:dyDescent="0.3">
      <c r="A289" s="5"/>
      <c r="B289" s="5"/>
      <c r="C289" s="5"/>
      <c r="D289" s="5"/>
      <c r="E289" s="5"/>
      <c r="F289" s="5"/>
      <c r="G289" s="5"/>
      <c r="H289" s="1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6" x14ac:dyDescent="0.3">
      <c r="A290" s="5"/>
      <c r="B290" s="5"/>
      <c r="C290" s="5"/>
      <c r="D290" s="5"/>
      <c r="E290" s="5"/>
      <c r="F290" s="5"/>
      <c r="G290" s="5"/>
      <c r="H290" s="1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6" x14ac:dyDescent="0.3">
      <c r="A291" s="5"/>
      <c r="B291" s="5"/>
      <c r="C291" s="5"/>
      <c r="D291" s="5"/>
      <c r="E291" s="5"/>
      <c r="F291" s="5"/>
      <c r="G291" s="5"/>
      <c r="H291" s="1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6" x14ac:dyDescent="0.3">
      <c r="A292" s="5"/>
      <c r="B292" s="5"/>
      <c r="C292" s="5"/>
      <c r="D292" s="5"/>
      <c r="E292" s="5"/>
      <c r="F292" s="5"/>
      <c r="G292" s="5"/>
      <c r="H292" s="1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6" x14ac:dyDescent="0.3">
      <c r="A293" s="5"/>
      <c r="B293" s="5"/>
      <c r="C293" s="5"/>
      <c r="D293" s="5"/>
      <c r="E293" s="5"/>
      <c r="F293" s="5"/>
      <c r="G293" s="5"/>
      <c r="H293" s="1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6" x14ac:dyDescent="0.3">
      <c r="A294" s="5"/>
      <c r="B294" s="5"/>
      <c r="C294" s="5"/>
      <c r="D294" s="5"/>
      <c r="E294" s="5"/>
      <c r="F294" s="5"/>
      <c r="G294" s="5"/>
      <c r="H294" s="1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6" x14ac:dyDescent="0.3">
      <c r="A295" s="5"/>
      <c r="B295" s="5"/>
      <c r="C295" s="5"/>
      <c r="D295" s="5"/>
      <c r="E295" s="5"/>
      <c r="F295" s="5"/>
      <c r="G295" s="5"/>
      <c r="H295" s="1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6" x14ac:dyDescent="0.3">
      <c r="A296" s="5"/>
      <c r="B296" s="5"/>
      <c r="C296" s="5"/>
      <c r="D296" s="5"/>
      <c r="E296" s="5"/>
      <c r="F296" s="5"/>
      <c r="G296" s="5"/>
      <c r="H296" s="1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6" x14ac:dyDescent="0.3">
      <c r="A297" s="5"/>
      <c r="B297" s="5"/>
      <c r="C297" s="5"/>
      <c r="D297" s="5"/>
      <c r="E297" s="5"/>
      <c r="F297" s="5"/>
      <c r="G297" s="5"/>
      <c r="H297" s="1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6" x14ac:dyDescent="0.3">
      <c r="A298" s="5"/>
      <c r="B298" s="5"/>
      <c r="C298" s="5"/>
      <c r="D298" s="5"/>
      <c r="E298" s="5"/>
      <c r="F298" s="5"/>
      <c r="G298" s="5"/>
      <c r="H298" s="1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6" x14ac:dyDescent="0.3">
      <c r="A299" s="5"/>
      <c r="B299" s="5"/>
      <c r="C299" s="5"/>
      <c r="D299" s="5"/>
      <c r="E299" s="5"/>
      <c r="F299" s="5"/>
      <c r="G299" s="5"/>
      <c r="H299" s="1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6" x14ac:dyDescent="0.3">
      <c r="A300" s="5"/>
      <c r="B300" s="5"/>
      <c r="C300" s="5"/>
      <c r="D300" s="5"/>
      <c r="E300" s="5"/>
      <c r="F300" s="5"/>
      <c r="G300" s="5"/>
      <c r="H300" s="1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6" x14ac:dyDescent="0.3">
      <c r="A301" s="5"/>
      <c r="B301" s="5"/>
      <c r="C301" s="5"/>
      <c r="D301" s="5"/>
      <c r="E301" s="5"/>
      <c r="F301" s="5"/>
      <c r="G301" s="5"/>
      <c r="H301" s="1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6" x14ac:dyDescent="0.3">
      <c r="A302" s="5"/>
      <c r="B302" s="5"/>
      <c r="C302" s="5"/>
      <c r="D302" s="5"/>
      <c r="E302" s="5"/>
      <c r="F302" s="5"/>
      <c r="G302" s="5"/>
      <c r="H302" s="1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6" x14ac:dyDescent="0.3">
      <c r="A303" s="5"/>
      <c r="B303" s="5"/>
      <c r="C303" s="5"/>
      <c r="D303" s="5"/>
      <c r="E303" s="5"/>
      <c r="F303" s="5"/>
      <c r="G303" s="5"/>
      <c r="H303" s="1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6" x14ac:dyDescent="0.3">
      <c r="A304" s="5"/>
      <c r="B304" s="5"/>
      <c r="C304" s="5"/>
      <c r="D304" s="5"/>
      <c r="E304" s="5"/>
      <c r="F304" s="5"/>
      <c r="G304" s="5"/>
      <c r="H304" s="1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6" x14ac:dyDescent="0.3">
      <c r="A305" s="5"/>
      <c r="B305" s="5"/>
      <c r="C305" s="5"/>
      <c r="D305" s="5"/>
      <c r="E305" s="5"/>
      <c r="F305" s="5"/>
      <c r="G305" s="5"/>
      <c r="H305" s="1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6" x14ac:dyDescent="0.3">
      <c r="A306" s="5"/>
      <c r="B306" s="5"/>
      <c r="C306" s="5"/>
      <c r="D306" s="5"/>
      <c r="E306" s="5"/>
      <c r="F306" s="5"/>
      <c r="G306" s="5"/>
      <c r="H306" s="1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6" x14ac:dyDescent="0.3">
      <c r="A307" s="5"/>
      <c r="B307" s="5"/>
      <c r="C307" s="5"/>
      <c r="D307" s="5"/>
      <c r="E307" s="5"/>
      <c r="F307" s="5"/>
      <c r="G307" s="5"/>
      <c r="H307" s="1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6" x14ac:dyDescent="0.3">
      <c r="A308" s="5"/>
      <c r="B308" s="5"/>
      <c r="C308" s="5"/>
      <c r="D308" s="5"/>
      <c r="E308" s="5"/>
      <c r="F308" s="5"/>
      <c r="G308" s="5"/>
      <c r="H308" s="1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6" x14ac:dyDescent="0.3">
      <c r="A309" s="5"/>
      <c r="B309" s="5"/>
      <c r="C309" s="5"/>
      <c r="D309" s="5"/>
      <c r="E309" s="5"/>
      <c r="F309" s="5"/>
      <c r="G309" s="5"/>
      <c r="H309" s="1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6" x14ac:dyDescent="0.3">
      <c r="A310" s="5"/>
      <c r="B310" s="5"/>
      <c r="C310" s="5"/>
      <c r="D310" s="5"/>
      <c r="E310" s="5"/>
      <c r="F310" s="5"/>
      <c r="G310" s="5"/>
      <c r="H310" s="1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6" x14ac:dyDescent="0.3">
      <c r="A311" s="5"/>
      <c r="B311" s="5"/>
      <c r="C311" s="5"/>
      <c r="D311" s="5"/>
      <c r="E311" s="5"/>
      <c r="F311" s="5"/>
      <c r="G311" s="5"/>
      <c r="H311" s="1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6" x14ac:dyDescent="0.3">
      <c r="A312" s="5"/>
      <c r="B312" s="5"/>
      <c r="C312" s="5"/>
      <c r="D312" s="5"/>
      <c r="E312" s="5"/>
      <c r="F312" s="5"/>
      <c r="G312" s="5"/>
      <c r="H312" s="1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6" x14ac:dyDescent="0.3">
      <c r="A313" s="5"/>
      <c r="B313" s="5"/>
      <c r="C313" s="5"/>
      <c r="D313" s="5"/>
      <c r="E313" s="5"/>
      <c r="F313" s="5"/>
      <c r="G313" s="5"/>
      <c r="H313" s="1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6" x14ac:dyDescent="0.3">
      <c r="A314" s="5"/>
      <c r="B314" s="5"/>
      <c r="C314" s="5"/>
      <c r="D314" s="5"/>
      <c r="E314" s="5"/>
      <c r="F314" s="5"/>
      <c r="G314" s="5"/>
      <c r="H314" s="1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6" x14ac:dyDescent="0.3">
      <c r="A315" s="5"/>
      <c r="B315" s="5"/>
      <c r="C315" s="5"/>
      <c r="D315" s="5"/>
      <c r="E315" s="5"/>
      <c r="F315" s="5"/>
      <c r="G315" s="5"/>
      <c r="H315" s="1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6" x14ac:dyDescent="0.3">
      <c r="A316" s="5"/>
      <c r="B316" s="5"/>
      <c r="C316" s="5"/>
      <c r="D316" s="5"/>
      <c r="E316" s="5"/>
      <c r="F316" s="5"/>
      <c r="G316" s="5"/>
      <c r="H316" s="1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6" x14ac:dyDescent="0.3">
      <c r="A317" s="5"/>
      <c r="B317" s="5"/>
      <c r="C317" s="5"/>
      <c r="D317" s="5"/>
      <c r="E317" s="5"/>
      <c r="F317" s="5"/>
      <c r="G317" s="5"/>
      <c r="H317" s="1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6" x14ac:dyDescent="0.3">
      <c r="A318" s="5"/>
      <c r="B318" s="5"/>
      <c r="C318" s="5"/>
      <c r="D318" s="5"/>
      <c r="E318" s="5"/>
      <c r="F318" s="5"/>
      <c r="G318" s="5"/>
      <c r="H318" s="1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6" x14ac:dyDescent="0.3">
      <c r="A319" s="5"/>
      <c r="B319" s="5"/>
      <c r="C319" s="5"/>
      <c r="D319" s="5"/>
      <c r="E319" s="5"/>
      <c r="F319" s="5"/>
      <c r="G319" s="5"/>
      <c r="H319" s="1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6" x14ac:dyDescent="0.3">
      <c r="A320" s="5"/>
      <c r="B320" s="5"/>
      <c r="C320" s="5"/>
      <c r="D320" s="5"/>
      <c r="E320" s="5"/>
      <c r="F320" s="5"/>
      <c r="G320" s="5"/>
      <c r="H320" s="1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6" x14ac:dyDescent="0.3">
      <c r="A321" s="5"/>
      <c r="B321" s="5"/>
      <c r="C321" s="5"/>
      <c r="D321" s="5"/>
      <c r="E321" s="5"/>
      <c r="F321" s="5"/>
      <c r="G321" s="5"/>
      <c r="H321" s="1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6" x14ac:dyDescent="0.3">
      <c r="A322" s="5"/>
      <c r="B322" s="5"/>
      <c r="C322" s="5"/>
      <c r="D322" s="5"/>
      <c r="E322" s="5"/>
      <c r="F322" s="5"/>
      <c r="G322" s="5"/>
      <c r="H322" s="1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6" x14ac:dyDescent="0.3">
      <c r="A323" s="5"/>
      <c r="B323" s="5"/>
      <c r="C323" s="5"/>
      <c r="D323" s="5"/>
      <c r="E323" s="5"/>
      <c r="F323" s="5"/>
      <c r="G323" s="5"/>
      <c r="H323" s="1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6" x14ac:dyDescent="0.3">
      <c r="A324" s="5"/>
      <c r="B324" s="5"/>
      <c r="C324" s="5"/>
      <c r="D324" s="5"/>
      <c r="E324" s="5"/>
      <c r="F324" s="5"/>
      <c r="G324" s="5"/>
      <c r="H324" s="1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6" x14ac:dyDescent="0.3">
      <c r="A325" s="5"/>
      <c r="B325" s="5"/>
      <c r="C325" s="5"/>
      <c r="D325" s="5"/>
      <c r="E325" s="5"/>
      <c r="F325" s="5"/>
      <c r="G325" s="5"/>
      <c r="H325" s="1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6" x14ac:dyDescent="0.3">
      <c r="A326" s="5"/>
      <c r="B326" s="5"/>
      <c r="C326" s="5"/>
      <c r="D326" s="5"/>
      <c r="E326" s="5"/>
      <c r="F326" s="5"/>
      <c r="G326" s="5"/>
      <c r="H326" s="1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6" x14ac:dyDescent="0.3">
      <c r="A327" s="5"/>
      <c r="B327" s="5"/>
      <c r="C327" s="5"/>
      <c r="D327" s="5"/>
      <c r="E327" s="5"/>
      <c r="F327" s="5"/>
      <c r="G327" s="5"/>
      <c r="H327" s="1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6" x14ac:dyDescent="0.3">
      <c r="A328" s="5"/>
      <c r="B328" s="5"/>
      <c r="C328" s="5"/>
      <c r="D328" s="5"/>
      <c r="E328" s="5"/>
      <c r="F328" s="5"/>
      <c r="G328" s="5"/>
      <c r="H328" s="1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6" x14ac:dyDescent="0.3">
      <c r="A329" s="5"/>
      <c r="B329" s="5"/>
      <c r="C329" s="5"/>
      <c r="D329" s="5"/>
      <c r="E329" s="5"/>
      <c r="F329" s="5"/>
      <c r="G329" s="5"/>
      <c r="H329" s="1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6" x14ac:dyDescent="0.3">
      <c r="A330" s="5"/>
      <c r="B330" s="5"/>
      <c r="C330" s="5"/>
      <c r="D330" s="5"/>
      <c r="E330" s="5"/>
      <c r="F330" s="5"/>
      <c r="G330" s="5"/>
      <c r="H330" s="1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6" x14ac:dyDescent="0.3">
      <c r="A331" s="5"/>
      <c r="B331" s="5"/>
      <c r="C331" s="5"/>
      <c r="D331" s="5"/>
      <c r="E331" s="5"/>
      <c r="F331" s="5"/>
      <c r="G331" s="5"/>
      <c r="H331" s="1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6" x14ac:dyDescent="0.3">
      <c r="A332" s="5"/>
      <c r="B332" s="5"/>
      <c r="C332" s="5"/>
      <c r="D332" s="5"/>
      <c r="E332" s="5"/>
      <c r="F332" s="5"/>
      <c r="G332" s="5"/>
      <c r="H332" s="1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6" x14ac:dyDescent="0.3">
      <c r="A333" s="5"/>
      <c r="B333" s="5"/>
      <c r="C333" s="5"/>
      <c r="D333" s="5"/>
      <c r="E333" s="5"/>
      <c r="F333" s="5"/>
      <c r="G333" s="5"/>
      <c r="H333" s="1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6" x14ac:dyDescent="0.3">
      <c r="A334" s="5"/>
      <c r="B334" s="5"/>
      <c r="C334" s="5"/>
      <c r="D334" s="5"/>
      <c r="E334" s="5"/>
      <c r="F334" s="5"/>
      <c r="G334" s="5"/>
      <c r="H334" s="1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6" x14ac:dyDescent="0.3">
      <c r="A335" s="5"/>
      <c r="B335" s="5"/>
      <c r="C335" s="5"/>
      <c r="D335" s="5"/>
      <c r="E335" s="5"/>
      <c r="F335" s="5"/>
      <c r="G335" s="5"/>
      <c r="H335" s="1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6" x14ac:dyDescent="0.3">
      <c r="A336" s="5"/>
      <c r="B336" s="5"/>
      <c r="C336" s="5"/>
      <c r="D336" s="5"/>
      <c r="E336" s="5"/>
      <c r="F336" s="5"/>
      <c r="G336" s="5"/>
      <c r="H336" s="1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6" x14ac:dyDescent="0.3">
      <c r="A337" s="5"/>
      <c r="B337" s="5"/>
      <c r="C337" s="5"/>
      <c r="D337" s="5"/>
      <c r="E337" s="5"/>
      <c r="F337" s="5"/>
      <c r="G337" s="5"/>
      <c r="H337" s="1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6" x14ac:dyDescent="0.3">
      <c r="A338" s="5"/>
      <c r="B338" s="5"/>
      <c r="C338" s="5"/>
      <c r="D338" s="5"/>
      <c r="E338" s="5"/>
      <c r="F338" s="5"/>
      <c r="G338" s="5"/>
      <c r="H338" s="1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6" x14ac:dyDescent="0.3">
      <c r="A339" s="5"/>
      <c r="B339" s="5"/>
      <c r="C339" s="5"/>
      <c r="D339" s="5"/>
      <c r="E339" s="5"/>
      <c r="F339" s="5"/>
      <c r="G339" s="5"/>
      <c r="H339" s="1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6" x14ac:dyDescent="0.3">
      <c r="A340" s="5"/>
      <c r="B340" s="5"/>
      <c r="C340" s="5"/>
      <c r="D340" s="5"/>
      <c r="E340" s="5"/>
      <c r="F340" s="5"/>
      <c r="G340" s="5"/>
      <c r="H340" s="1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6" x14ac:dyDescent="0.3">
      <c r="A341" s="5"/>
      <c r="B341" s="5"/>
      <c r="C341" s="5"/>
      <c r="D341" s="5"/>
      <c r="E341" s="5"/>
      <c r="F341" s="5"/>
      <c r="G341" s="5"/>
      <c r="H341" s="1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6" x14ac:dyDescent="0.3">
      <c r="A342" s="5"/>
      <c r="B342" s="5"/>
      <c r="C342" s="5"/>
      <c r="D342" s="5"/>
      <c r="E342" s="5"/>
      <c r="F342" s="5"/>
      <c r="G342" s="5"/>
      <c r="H342" s="1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6" x14ac:dyDescent="0.3">
      <c r="A343" s="5"/>
      <c r="B343" s="5"/>
      <c r="C343" s="5"/>
      <c r="D343" s="5"/>
      <c r="E343" s="5"/>
      <c r="F343" s="5"/>
      <c r="G343" s="5"/>
      <c r="H343" s="1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6" x14ac:dyDescent="0.3">
      <c r="A344" s="5"/>
      <c r="B344" s="5"/>
      <c r="C344" s="5"/>
      <c r="D344" s="5"/>
      <c r="E344" s="5"/>
      <c r="F344" s="5"/>
      <c r="G344" s="5"/>
      <c r="H344" s="1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6" x14ac:dyDescent="0.3">
      <c r="A345" s="5"/>
      <c r="B345" s="5"/>
      <c r="C345" s="5"/>
      <c r="D345" s="5"/>
      <c r="E345" s="5"/>
      <c r="F345" s="5"/>
      <c r="G345" s="5"/>
      <c r="H345" s="1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6" x14ac:dyDescent="0.3">
      <c r="A346" s="5"/>
      <c r="B346" s="5"/>
      <c r="C346" s="5"/>
      <c r="D346" s="5"/>
      <c r="E346" s="5"/>
      <c r="F346" s="5"/>
      <c r="G346" s="5"/>
      <c r="H346" s="1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6" x14ac:dyDescent="0.3">
      <c r="A347" s="5"/>
      <c r="B347" s="5"/>
      <c r="C347" s="5"/>
      <c r="D347" s="5"/>
      <c r="E347" s="5"/>
      <c r="F347" s="5"/>
      <c r="G347" s="5"/>
      <c r="H347" s="1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6" x14ac:dyDescent="0.3">
      <c r="A348" s="5"/>
      <c r="B348" s="5"/>
      <c r="C348" s="5"/>
      <c r="D348" s="5"/>
      <c r="E348" s="5"/>
      <c r="F348" s="5"/>
      <c r="G348" s="5"/>
      <c r="H348" s="11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6" x14ac:dyDescent="0.3">
      <c r="A349" s="5"/>
      <c r="B349" s="5"/>
      <c r="C349" s="5"/>
      <c r="D349" s="5"/>
      <c r="E349" s="5"/>
      <c r="F349" s="5"/>
      <c r="G349" s="5"/>
      <c r="H349" s="11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6" x14ac:dyDescent="0.3">
      <c r="A350" s="5"/>
      <c r="B350" s="5"/>
      <c r="C350" s="5"/>
      <c r="D350" s="5"/>
      <c r="E350" s="5"/>
      <c r="F350" s="5"/>
      <c r="G350" s="5"/>
      <c r="H350" s="11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6" x14ac:dyDescent="0.3">
      <c r="A351" s="5"/>
      <c r="B351" s="5"/>
      <c r="C351" s="5"/>
      <c r="D351" s="5"/>
      <c r="E351" s="5"/>
      <c r="F351" s="5"/>
      <c r="G351" s="5"/>
      <c r="H351" s="11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6" x14ac:dyDescent="0.3">
      <c r="A352" s="5"/>
      <c r="B352" s="5"/>
      <c r="C352" s="5"/>
      <c r="D352" s="5"/>
      <c r="E352" s="5"/>
      <c r="F352" s="5"/>
      <c r="G352" s="5"/>
      <c r="H352" s="11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6" x14ac:dyDescent="0.3">
      <c r="A353" s="5"/>
      <c r="B353" s="5"/>
      <c r="C353" s="5"/>
      <c r="D353" s="5"/>
      <c r="E353" s="5"/>
      <c r="F353" s="5"/>
      <c r="G353" s="5"/>
      <c r="H353" s="11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6" x14ac:dyDescent="0.3">
      <c r="A354" s="5"/>
      <c r="B354" s="5"/>
      <c r="C354" s="5"/>
      <c r="D354" s="5"/>
      <c r="E354" s="5"/>
      <c r="F354" s="5"/>
      <c r="G354" s="5"/>
      <c r="H354" s="11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6" x14ac:dyDescent="0.3">
      <c r="A355" s="5"/>
      <c r="B355" s="5"/>
      <c r="C355" s="5"/>
      <c r="D355" s="5"/>
      <c r="E355" s="5"/>
      <c r="F355" s="5"/>
      <c r="G355" s="5"/>
      <c r="H355" s="1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6" x14ac:dyDescent="0.3">
      <c r="A356" s="5"/>
      <c r="B356" s="5"/>
      <c r="C356" s="5"/>
      <c r="D356" s="5"/>
      <c r="E356" s="5"/>
      <c r="F356" s="5"/>
      <c r="G356" s="5"/>
      <c r="H356" s="11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6" x14ac:dyDescent="0.3">
      <c r="A357" s="5"/>
      <c r="B357" s="5"/>
      <c r="C357" s="5"/>
      <c r="D357" s="5"/>
      <c r="E357" s="5"/>
      <c r="F357" s="5"/>
      <c r="G357" s="5"/>
      <c r="H357" s="11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6" x14ac:dyDescent="0.3">
      <c r="A358" s="5"/>
      <c r="B358" s="5"/>
      <c r="C358" s="5"/>
      <c r="D358" s="5"/>
      <c r="E358" s="5"/>
      <c r="F358" s="5"/>
      <c r="G358" s="5"/>
      <c r="H358" s="11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6" x14ac:dyDescent="0.3">
      <c r="A359" s="5"/>
      <c r="B359" s="5"/>
      <c r="C359" s="5"/>
      <c r="D359" s="5"/>
      <c r="E359" s="5"/>
      <c r="F359" s="5"/>
      <c r="G359" s="5"/>
      <c r="H359" s="11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6" x14ac:dyDescent="0.3">
      <c r="A360" s="5"/>
      <c r="B360" s="5"/>
      <c r="C360" s="5"/>
      <c r="D360" s="5"/>
      <c r="E360" s="5"/>
      <c r="F360" s="5"/>
      <c r="G360" s="5"/>
      <c r="H360" s="11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6" x14ac:dyDescent="0.3">
      <c r="A361" s="5"/>
      <c r="B361" s="5"/>
      <c r="C361" s="5"/>
      <c r="D361" s="5"/>
      <c r="E361" s="5"/>
      <c r="F361" s="5"/>
      <c r="G361" s="5"/>
      <c r="H361" s="11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6" x14ac:dyDescent="0.3">
      <c r="A362" s="5"/>
      <c r="B362" s="5"/>
      <c r="C362" s="5"/>
      <c r="D362" s="5"/>
      <c r="E362" s="5"/>
      <c r="F362" s="5"/>
      <c r="G362" s="5"/>
      <c r="H362" s="11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6" x14ac:dyDescent="0.3">
      <c r="A363" s="5"/>
      <c r="B363" s="5"/>
      <c r="C363" s="5"/>
      <c r="D363" s="5"/>
      <c r="E363" s="5"/>
      <c r="F363" s="5"/>
      <c r="G363" s="5"/>
      <c r="H363" s="11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6" x14ac:dyDescent="0.3">
      <c r="A364" s="5"/>
      <c r="B364" s="5"/>
      <c r="C364" s="5"/>
      <c r="D364" s="5"/>
      <c r="E364" s="5"/>
      <c r="F364" s="5"/>
      <c r="G364" s="5"/>
      <c r="H364" s="11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6" x14ac:dyDescent="0.3">
      <c r="A365" s="5"/>
      <c r="B365" s="5"/>
      <c r="C365" s="5"/>
      <c r="D365" s="5"/>
      <c r="E365" s="5"/>
      <c r="F365" s="5"/>
      <c r="G365" s="5"/>
      <c r="H365" s="11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6" x14ac:dyDescent="0.3">
      <c r="A366" s="5"/>
      <c r="B366" s="5"/>
      <c r="C366" s="5"/>
      <c r="D366" s="5"/>
      <c r="E366" s="5"/>
      <c r="F366" s="5"/>
      <c r="G366" s="5"/>
      <c r="H366" s="11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6" x14ac:dyDescent="0.3">
      <c r="A367" s="5"/>
      <c r="B367" s="5"/>
      <c r="C367" s="5"/>
      <c r="D367" s="5"/>
      <c r="E367" s="5"/>
      <c r="F367" s="5"/>
      <c r="G367" s="5"/>
      <c r="H367" s="11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6" x14ac:dyDescent="0.3">
      <c r="A368" s="5"/>
      <c r="B368" s="5"/>
      <c r="C368" s="5"/>
      <c r="D368" s="5"/>
      <c r="E368" s="5"/>
      <c r="F368" s="5"/>
      <c r="G368" s="5"/>
      <c r="H368" s="11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6" x14ac:dyDescent="0.3">
      <c r="A369" s="5"/>
      <c r="B369" s="5"/>
      <c r="C369" s="5"/>
      <c r="D369" s="5"/>
      <c r="E369" s="5"/>
      <c r="F369" s="5"/>
      <c r="G369" s="5"/>
      <c r="H369" s="11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6" x14ac:dyDescent="0.3">
      <c r="A370" s="5"/>
      <c r="B370" s="5"/>
      <c r="C370" s="5"/>
      <c r="D370" s="5"/>
      <c r="E370" s="5"/>
      <c r="F370" s="5"/>
      <c r="G370" s="5"/>
      <c r="H370" s="11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6" x14ac:dyDescent="0.3">
      <c r="A371" s="5"/>
      <c r="B371" s="5"/>
      <c r="C371" s="5"/>
      <c r="D371" s="5"/>
      <c r="E371" s="5"/>
      <c r="F371" s="5"/>
      <c r="G371" s="5"/>
      <c r="H371" s="11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6" x14ac:dyDescent="0.3">
      <c r="A372" s="5"/>
      <c r="B372" s="5"/>
      <c r="C372" s="5"/>
      <c r="D372" s="5"/>
      <c r="E372" s="5"/>
      <c r="F372" s="5"/>
      <c r="G372" s="5"/>
      <c r="H372" s="11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6" x14ac:dyDescent="0.3">
      <c r="A373" s="5"/>
      <c r="B373" s="5"/>
      <c r="C373" s="5"/>
      <c r="D373" s="5"/>
      <c r="E373" s="5"/>
      <c r="F373" s="5"/>
      <c r="G373" s="5"/>
      <c r="H373" s="11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6" x14ac:dyDescent="0.3">
      <c r="A374" s="5"/>
      <c r="B374" s="5"/>
      <c r="C374" s="5"/>
      <c r="D374" s="5"/>
      <c r="E374" s="5"/>
      <c r="F374" s="5"/>
      <c r="G374" s="5"/>
      <c r="H374" s="11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6" x14ac:dyDescent="0.3">
      <c r="A375" s="5"/>
      <c r="B375" s="5"/>
      <c r="C375" s="5"/>
      <c r="D375" s="5"/>
      <c r="E375" s="5"/>
      <c r="F375" s="5"/>
      <c r="G375" s="5"/>
      <c r="H375" s="11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6" x14ac:dyDescent="0.3">
      <c r="A376" s="5"/>
      <c r="B376" s="5"/>
      <c r="C376" s="5"/>
      <c r="D376" s="5"/>
      <c r="E376" s="5"/>
      <c r="F376" s="5"/>
      <c r="G376" s="5"/>
      <c r="H376" s="11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6" x14ac:dyDescent="0.3">
      <c r="A377" s="5"/>
      <c r="B377" s="5"/>
      <c r="C377" s="5"/>
      <c r="D377" s="5"/>
      <c r="E377" s="5"/>
      <c r="F377" s="5"/>
      <c r="G377" s="5"/>
      <c r="H377" s="11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6" x14ac:dyDescent="0.3">
      <c r="A378" s="5"/>
      <c r="B378" s="5"/>
      <c r="C378" s="5"/>
      <c r="D378" s="5"/>
      <c r="E378" s="5"/>
      <c r="F378" s="5"/>
      <c r="G378" s="5"/>
      <c r="H378" s="11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6" x14ac:dyDescent="0.3">
      <c r="A379" s="5"/>
      <c r="B379" s="5"/>
      <c r="C379" s="5"/>
      <c r="D379" s="5"/>
      <c r="E379" s="5"/>
      <c r="F379" s="5"/>
      <c r="G379" s="5"/>
      <c r="H379" s="11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6" x14ac:dyDescent="0.3">
      <c r="A380" s="5"/>
      <c r="B380" s="5"/>
      <c r="C380" s="5"/>
      <c r="D380" s="5"/>
      <c r="E380" s="5"/>
      <c r="F380" s="5"/>
      <c r="G380" s="5"/>
      <c r="H380" s="11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6" x14ac:dyDescent="0.3">
      <c r="A381" s="5"/>
      <c r="B381" s="5"/>
      <c r="C381" s="5"/>
      <c r="D381" s="5"/>
      <c r="E381" s="5"/>
      <c r="F381" s="5"/>
      <c r="G381" s="5"/>
      <c r="H381" s="11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6" x14ac:dyDescent="0.3">
      <c r="A382" s="5"/>
      <c r="B382" s="5"/>
      <c r="C382" s="5"/>
      <c r="D382" s="5"/>
      <c r="E382" s="5"/>
      <c r="F382" s="5"/>
      <c r="G382" s="5"/>
      <c r="H382" s="11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6" x14ac:dyDescent="0.3">
      <c r="A383" s="5"/>
      <c r="B383" s="5"/>
      <c r="C383" s="5"/>
      <c r="D383" s="5"/>
      <c r="E383" s="5"/>
      <c r="F383" s="5"/>
      <c r="G383" s="5"/>
      <c r="H383" s="11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6" x14ac:dyDescent="0.3">
      <c r="A384" s="5"/>
      <c r="B384" s="5"/>
      <c r="C384" s="5"/>
      <c r="D384" s="5"/>
      <c r="E384" s="5"/>
      <c r="F384" s="5"/>
      <c r="G384" s="5"/>
      <c r="H384" s="11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6" x14ac:dyDescent="0.3">
      <c r="A385" s="5"/>
      <c r="B385" s="5"/>
      <c r="C385" s="5"/>
      <c r="D385" s="5"/>
      <c r="E385" s="5"/>
      <c r="F385" s="5"/>
      <c r="G385" s="5"/>
      <c r="H385" s="11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6" x14ac:dyDescent="0.3">
      <c r="A386" s="5"/>
      <c r="B386" s="5"/>
      <c r="C386" s="5"/>
      <c r="D386" s="5"/>
      <c r="E386" s="5"/>
      <c r="F386" s="5"/>
      <c r="G386" s="5"/>
      <c r="H386" s="11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6" x14ac:dyDescent="0.3">
      <c r="A387" s="5"/>
      <c r="B387" s="5"/>
      <c r="C387" s="5"/>
      <c r="D387" s="5"/>
      <c r="E387" s="5"/>
      <c r="F387" s="5"/>
      <c r="G387" s="5"/>
      <c r="H387" s="11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6" x14ac:dyDescent="0.3">
      <c r="A388" s="5"/>
      <c r="B388" s="5"/>
      <c r="C388" s="5"/>
      <c r="D388" s="5"/>
      <c r="E388" s="5"/>
      <c r="F388" s="5"/>
      <c r="G388" s="5"/>
      <c r="H388" s="11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6" x14ac:dyDescent="0.3">
      <c r="A389" s="5"/>
      <c r="B389" s="5"/>
      <c r="C389" s="5"/>
      <c r="D389" s="5"/>
      <c r="E389" s="5"/>
      <c r="F389" s="5"/>
      <c r="G389" s="5"/>
      <c r="H389" s="11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6" x14ac:dyDescent="0.3">
      <c r="A390" s="5"/>
      <c r="B390" s="5"/>
      <c r="C390" s="5"/>
      <c r="D390" s="5"/>
      <c r="E390" s="5"/>
      <c r="F390" s="5"/>
      <c r="G390" s="5"/>
      <c r="H390" s="11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6" x14ac:dyDescent="0.3">
      <c r="A391" s="5"/>
      <c r="B391" s="5"/>
      <c r="C391" s="5"/>
      <c r="D391" s="5"/>
      <c r="E391" s="5"/>
      <c r="F391" s="5"/>
      <c r="G391" s="5"/>
      <c r="H391" s="1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6" x14ac:dyDescent="0.3">
      <c r="A392" s="5"/>
      <c r="B392" s="5"/>
      <c r="C392" s="5"/>
      <c r="D392" s="5"/>
      <c r="E392" s="5"/>
      <c r="F392" s="5"/>
      <c r="G392" s="5"/>
      <c r="H392" s="1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6" x14ac:dyDescent="0.3">
      <c r="A393" s="5"/>
      <c r="B393" s="5"/>
      <c r="C393" s="5"/>
      <c r="D393" s="5"/>
      <c r="E393" s="5"/>
      <c r="F393" s="5"/>
      <c r="G393" s="5"/>
      <c r="H393" s="1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6" x14ac:dyDescent="0.3">
      <c r="A394" s="5"/>
      <c r="B394" s="5"/>
      <c r="C394" s="5"/>
      <c r="D394" s="5"/>
      <c r="E394" s="5"/>
      <c r="F394" s="5"/>
      <c r="G394" s="5"/>
      <c r="H394" s="1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6" x14ac:dyDescent="0.3">
      <c r="A395" s="5"/>
      <c r="B395" s="5"/>
      <c r="C395" s="5"/>
      <c r="D395" s="5"/>
      <c r="E395" s="5"/>
      <c r="F395" s="5"/>
      <c r="G395" s="5"/>
      <c r="H395" s="1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6" x14ac:dyDescent="0.3">
      <c r="A396" s="5"/>
      <c r="B396" s="5"/>
      <c r="C396" s="5"/>
      <c r="D396" s="5"/>
      <c r="E396" s="5"/>
      <c r="F396" s="5"/>
      <c r="G396" s="5"/>
      <c r="H396" s="1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6" x14ac:dyDescent="0.3">
      <c r="A397" s="5"/>
      <c r="B397" s="5"/>
      <c r="C397" s="5"/>
      <c r="D397" s="5"/>
      <c r="E397" s="5"/>
      <c r="F397" s="5"/>
      <c r="G397" s="5"/>
      <c r="H397" s="1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6" x14ac:dyDescent="0.3">
      <c r="A398" s="5"/>
      <c r="B398" s="5"/>
      <c r="C398" s="5"/>
      <c r="D398" s="5"/>
      <c r="E398" s="5"/>
      <c r="F398" s="5"/>
      <c r="G398" s="5"/>
      <c r="H398" s="1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6" x14ac:dyDescent="0.3">
      <c r="A399" s="5"/>
      <c r="B399" s="5"/>
      <c r="C399" s="5"/>
      <c r="D399" s="5"/>
      <c r="E399" s="5"/>
      <c r="F399" s="5"/>
      <c r="G399" s="5"/>
      <c r="H399" s="11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6" x14ac:dyDescent="0.3">
      <c r="A400" s="5"/>
      <c r="B400" s="5"/>
      <c r="C400" s="5"/>
      <c r="D400" s="5"/>
      <c r="E400" s="5"/>
      <c r="F400" s="5"/>
      <c r="G400" s="5"/>
      <c r="H400" s="11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6" x14ac:dyDescent="0.3">
      <c r="A401" s="5"/>
      <c r="B401" s="5"/>
      <c r="C401" s="5"/>
      <c r="D401" s="5"/>
      <c r="E401" s="5"/>
      <c r="F401" s="5"/>
      <c r="G401" s="5"/>
      <c r="H401" s="11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6" x14ac:dyDescent="0.3">
      <c r="A402" s="5"/>
      <c r="B402" s="5"/>
      <c r="C402" s="5"/>
      <c r="D402" s="5"/>
      <c r="E402" s="5"/>
      <c r="F402" s="5"/>
      <c r="G402" s="5"/>
      <c r="H402" s="11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6" x14ac:dyDescent="0.3">
      <c r="A403" s="5"/>
      <c r="B403" s="5"/>
      <c r="C403" s="5"/>
      <c r="D403" s="5"/>
      <c r="E403" s="5"/>
      <c r="F403" s="5"/>
      <c r="G403" s="5"/>
      <c r="H403" s="11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6" x14ac:dyDescent="0.3">
      <c r="A404" s="5"/>
      <c r="B404" s="5"/>
      <c r="C404" s="5"/>
      <c r="D404" s="5"/>
      <c r="E404" s="5"/>
      <c r="F404" s="5"/>
      <c r="G404" s="5"/>
      <c r="H404" s="11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6" x14ac:dyDescent="0.3">
      <c r="A405" s="5"/>
      <c r="B405" s="5"/>
      <c r="C405" s="5"/>
      <c r="D405" s="5"/>
      <c r="E405" s="5"/>
      <c r="F405" s="5"/>
      <c r="G405" s="5"/>
      <c r="H405" s="11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6" x14ac:dyDescent="0.3">
      <c r="A406" s="5"/>
      <c r="B406" s="5"/>
      <c r="C406" s="5"/>
      <c r="D406" s="5"/>
      <c r="E406" s="5"/>
      <c r="F406" s="5"/>
      <c r="G406" s="5"/>
      <c r="H406" s="11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6" x14ac:dyDescent="0.3">
      <c r="A407" s="5"/>
      <c r="B407" s="5"/>
      <c r="C407" s="5"/>
      <c r="D407" s="5"/>
      <c r="E407" s="5"/>
      <c r="F407" s="5"/>
      <c r="G407" s="5"/>
      <c r="H407" s="11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6" x14ac:dyDescent="0.3">
      <c r="A408" s="5"/>
      <c r="B408" s="5"/>
      <c r="C408" s="5"/>
      <c r="D408" s="5"/>
      <c r="E408" s="5"/>
      <c r="F408" s="5"/>
      <c r="G408" s="5"/>
      <c r="H408" s="11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6" x14ac:dyDescent="0.3">
      <c r="A409" s="5"/>
      <c r="B409" s="5"/>
      <c r="C409" s="5"/>
      <c r="D409" s="5"/>
      <c r="E409" s="5"/>
      <c r="F409" s="5"/>
      <c r="G409" s="5"/>
      <c r="H409" s="11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6" x14ac:dyDescent="0.3">
      <c r="A410" s="5"/>
      <c r="B410" s="5"/>
      <c r="C410" s="5"/>
      <c r="D410" s="5"/>
      <c r="E410" s="5"/>
      <c r="F410" s="5"/>
      <c r="G410" s="5"/>
      <c r="H410" s="11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6" x14ac:dyDescent="0.3">
      <c r="A411" s="5"/>
      <c r="B411" s="5"/>
      <c r="C411" s="5"/>
      <c r="D411" s="5"/>
      <c r="E411" s="5"/>
      <c r="F411" s="5"/>
      <c r="G411" s="5"/>
      <c r="H411" s="11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6" x14ac:dyDescent="0.3">
      <c r="A412" s="5"/>
      <c r="B412" s="5"/>
      <c r="C412" s="5"/>
      <c r="D412" s="5"/>
      <c r="E412" s="5"/>
      <c r="F412" s="5"/>
      <c r="G412" s="5"/>
      <c r="H412" s="11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6" x14ac:dyDescent="0.3">
      <c r="A413" s="5"/>
      <c r="B413" s="5"/>
      <c r="C413" s="5"/>
      <c r="D413" s="5"/>
      <c r="E413" s="5"/>
      <c r="F413" s="5"/>
      <c r="G413" s="5"/>
      <c r="H413" s="11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6" x14ac:dyDescent="0.3">
      <c r="A414" s="5"/>
      <c r="B414" s="5"/>
      <c r="C414" s="5"/>
      <c r="D414" s="5"/>
      <c r="E414" s="5"/>
      <c r="F414" s="5"/>
      <c r="G414" s="5"/>
      <c r="H414" s="11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6" x14ac:dyDescent="0.3">
      <c r="A415" s="5"/>
      <c r="B415" s="5"/>
      <c r="C415" s="5"/>
      <c r="D415" s="5"/>
      <c r="E415" s="5"/>
      <c r="F415" s="5"/>
      <c r="G415" s="5"/>
      <c r="H415" s="11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6" x14ac:dyDescent="0.3">
      <c r="A416" s="5"/>
      <c r="B416" s="5"/>
      <c r="C416" s="5"/>
      <c r="D416" s="5"/>
      <c r="E416" s="5"/>
      <c r="F416" s="5"/>
      <c r="G416" s="5"/>
      <c r="H416" s="11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6" x14ac:dyDescent="0.3">
      <c r="A417" s="5"/>
      <c r="B417" s="5"/>
      <c r="C417" s="5"/>
      <c r="D417" s="5"/>
      <c r="E417" s="5"/>
      <c r="F417" s="5"/>
      <c r="G417" s="5"/>
      <c r="H417" s="11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6" x14ac:dyDescent="0.3">
      <c r="A418" s="5"/>
      <c r="B418" s="5"/>
      <c r="C418" s="5"/>
      <c r="D418" s="5"/>
      <c r="E418" s="5"/>
      <c r="F418" s="5"/>
      <c r="G418" s="5"/>
      <c r="H418" s="11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6" x14ac:dyDescent="0.3">
      <c r="A419" s="5"/>
      <c r="B419" s="5"/>
      <c r="C419" s="5"/>
      <c r="D419" s="5"/>
      <c r="E419" s="5"/>
      <c r="F419" s="5"/>
      <c r="G419" s="5"/>
      <c r="H419" s="11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6" x14ac:dyDescent="0.3">
      <c r="A420" s="5"/>
      <c r="B420" s="5"/>
      <c r="C420" s="5"/>
      <c r="D420" s="5"/>
      <c r="E420" s="5"/>
      <c r="F420" s="5"/>
      <c r="G420" s="5"/>
      <c r="H420" s="11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6" x14ac:dyDescent="0.3">
      <c r="A421" s="5"/>
      <c r="B421" s="5"/>
      <c r="C421" s="5"/>
      <c r="D421" s="5"/>
      <c r="E421" s="5"/>
      <c r="F421" s="5"/>
      <c r="G421" s="5"/>
      <c r="H421" s="11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6" x14ac:dyDescent="0.3">
      <c r="A422" s="5"/>
      <c r="B422" s="5"/>
      <c r="C422" s="5"/>
      <c r="D422" s="5"/>
      <c r="E422" s="5"/>
      <c r="F422" s="5"/>
      <c r="G422" s="5"/>
      <c r="H422" s="11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6" x14ac:dyDescent="0.3">
      <c r="A423" s="5"/>
      <c r="B423" s="5"/>
      <c r="C423" s="5"/>
      <c r="D423" s="5"/>
      <c r="E423" s="5"/>
      <c r="F423" s="5"/>
      <c r="G423" s="5"/>
      <c r="H423" s="11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6" x14ac:dyDescent="0.3">
      <c r="A424" s="5"/>
      <c r="B424" s="5"/>
      <c r="C424" s="5"/>
      <c r="D424" s="5"/>
      <c r="E424" s="5"/>
      <c r="F424" s="5"/>
      <c r="G424" s="5"/>
      <c r="H424" s="11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6" x14ac:dyDescent="0.3">
      <c r="A425" s="5"/>
      <c r="B425" s="5"/>
      <c r="C425" s="5"/>
      <c r="D425" s="5"/>
      <c r="E425" s="5"/>
      <c r="F425" s="5"/>
      <c r="G425" s="5"/>
      <c r="H425" s="11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6" x14ac:dyDescent="0.3">
      <c r="A426" s="5"/>
      <c r="B426" s="5"/>
      <c r="C426" s="5"/>
      <c r="D426" s="5"/>
      <c r="E426" s="5"/>
      <c r="F426" s="5"/>
      <c r="G426" s="5"/>
      <c r="H426" s="11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6" x14ac:dyDescent="0.3">
      <c r="A427" s="5"/>
      <c r="B427" s="5"/>
      <c r="C427" s="5"/>
      <c r="D427" s="5"/>
      <c r="E427" s="5"/>
      <c r="F427" s="5"/>
      <c r="G427" s="5"/>
      <c r="H427" s="11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6" x14ac:dyDescent="0.3">
      <c r="A428" s="5"/>
      <c r="B428" s="5"/>
      <c r="C428" s="5"/>
      <c r="D428" s="5"/>
      <c r="E428" s="5"/>
      <c r="F428" s="5"/>
      <c r="G428" s="5"/>
      <c r="H428" s="11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6" x14ac:dyDescent="0.3">
      <c r="A429" s="5"/>
      <c r="B429" s="5"/>
      <c r="C429" s="5"/>
      <c r="D429" s="5"/>
      <c r="E429" s="5"/>
      <c r="F429" s="5"/>
      <c r="G429" s="5"/>
      <c r="H429" s="11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6" x14ac:dyDescent="0.3">
      <c r="A430" s="5"/>
      <c r="B430" s="5"/>
      <c r="C430" s="5"/>
      <c r="D430" s="5"/>
      <c r="E430" s="5"/>
      <c r="F430" s="5"/>
      <c r="G430" s="5"/>
      <c r="H430" s="11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6" x14ac:dyDescent="0.3">
      <c r="A431" s="5"/>
      <c r="B431" s="5"/>
      <c r="C431" s="5"/>
      <c r="D431" s="5"/>
      <c r="E431" s="5"/>
      <c r="F431" s="5"/>
      <c r="G431" s="5"/>
      <c r="H431" s="11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6" x14ac:dyDescent="0.3">
      <c r="A432" s="5"/>
      <c r="B432" s="5"/>
      <c r="C432" s="5"/>
      <c r="D432" s="5"/>
      <c r="E432" s="5"/>
      <c r="F432" s="5"/>
      <c r="G432" s="5"/>
      <c r="H432" s="11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6" x14ac:dyDescent="0.3">
      <c r="A433" s="5"/>
      <c r="B433" s="5"/>
      <c r="C433" s="5"/>
      <c r="D433" s="5"/>
      <c r="E433" s="5"/>
      <c r="F433" s="5"/>
      <c r="G433" s="5"/>
      <c r="H433" s="11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6" x14ac:dyDescent="0.3">
      <c r="A434" s="5"/>
      <c r="B434" s="5"/>
      <c r="C434" s="5"/>
      <c r="D434" s="5"/>
      <c r="E434" s="5"/>
      <c r="F434" s="5"/>
      <c r="G434" s="5"/>
      <c r="H434" s="11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6" x14ac:dyDescent="0.3">
      <c r="A435" s="5"/>
      <c r="B435" s="5"/>
      <c r="C435" s="5"/>
      <c r="D435" s="5"/>
      <c r="E435" s="5"/>
      <c r="F435" s="5"/>
      <c r="G435" s="5"/>
      <c r="H435" s="11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6" x14ac:dyDescent="0.3">
      <c r="A436" s="5"/>
      <c r="B436" s="5"/>
      <c r="C436" s="5"/>
      <c r="D436" s="5"/>
      <c r="E436" s="5"/>
      <c r="F436" s="5"/>
      <c r="G436" s="5"/>
      <c r="H436" s="11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6" x14ac:dyDescent="0.3">
      <c r="A437" s="5"/>
      <c r="B437" s="5"/>
      <c r="C437" s="5"/>
      <c r="D437" s="5"/>
      <c r="E437" s="5"/>
      <c r="F437" s="5"/>
      <c r="G437" s="5"/>
      <c r="H437" s="11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6" x14ac:dyDescent="0.3">
      <c r="A438" s="5"/>
      <c r="B438" s="5"/>
      <c r="C438" s="5"/>
      <c r="D438" s="5"/>
      <c r="E438" s="5"/>
      <c r="F438" s="5"/>
      <c r="G438" s="5"/>
      <c r="H438" s="11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6" x14ac:dyDescent="0.3">
      <c r="A439" s="5"/>
      <c r="B439" s="5"/>
      <c r="C439" s="5"/>
      <c r="D439" s="5"/>
      <c r="E439" s="5"/>
      <c r="F439" s="5"/>
      <c r="G439" s="5"/>
      <c r="H439" s="11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6" x14ac:dyDescent="0.3">
      <c r="A440" s="5"/>
      <c r="B440" s="5"/>
      <c r="C440" s="5"/>
      <c r="D440" s="5"/>
      <c r="E440" s="5"/>
      <c r="F440" s="5"/>
      <c r="G440" s="5"/>
      <c r="H440" s="11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6" x14ac:dyDescent="0.3">
      <c r="A441" s="5"/>
      <c r="B441" s="5"/>
      <c r="C441" s="5"/>
      <c r="D441" s="5"/>
      <c r="E441" s="5"/>
      <c r="F441" s="5"/>
      <c r="G441" s="5"/>
      <c r="H441" s="11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6" x14ac:dyDescent="0.3">
      <c r="A442" s="5"/>
      <c r="B442" s="5"/>
      <c r="C442" s="5"/>
      <c r="D442" s="5"/>
      <c r="E442" s="5"/>
      <c r="F442" s="5"/>
      <c r="G442" s="5"/>
      <c r="H442" s="11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6" x14ac:dyDescent="0.3">
      <c r="A443" s="5"/>
      <c r="B443" s="5"/>
      <c r="C443" s="5"/>
      <c r="D443" s="5"/>
      <c r="E443" s="5"/>
      <c r="F443" s="5"/>
      <c r="G443" s="5"/>
      <c r="H443" s="11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6" x14ac:dyDescent="0.3">
      <c r="A444" s="5"/>
      <c r="B444" s="5"/>
      <c r="C444" s="5"/>
      <c r="D444" s="5"/>
      <c r="E444" s="5"/>
      <c r="F444" s="5"/>
      <c r="G444" s="5"/>
      <c r="H444" s="11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6" x14ac:dyDescent="0.3">
      <c r="A445" s="5"/>
      <c r="B445" s="5"/>
      <c r="C445" s="5"/>
      <c r="D445" s="5"/>
      <c r="E445" s="5"/>
      <c r="F445" s="5"/>
      <c r="G445" s="5"/>
      <c r="H445" s="11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6" x14ac:dyDescent="0.3">
      <c r="A446" s="5"/>
      <c r="B446" s="5"/>
      <c r="C446" s="5"/>
      <c r="D446" s="5"/>
      <c r="E446" s="5"/>
      <c r="F446" s="5"/>
      <c r="G446" s="5"/>
      <c r="H446" s="11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6" x14ac:dyDescent="0.3">
      <c r="A447" s="5"/>
      <c r="B447" s="5"/>
      <c r="C447" s="5"/>
      <c r="D447" s="5"/>
      <c r="E447" s="5"/>
      <c r="F447" s="5"/>
      <c r="G447" s="5"/>
      <c r="H447" s="11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6" x14ac:dyDescent="0.3">
      <c r="A448" s="5"/>
      <c r="B448" s="5"/>
      <c r="C448" s="5"/>
      <c r="D448" s="5"/>
      <c r="E448" s="5"/>
      <c r="F448" s="5"/>
      <c r="G448" s="5"/>
      <c r="H448" s="11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6" x14ac:dyDescent="0.3">
      <c r="A449" s="5"/>
      <c r="B449" s="5"/>
      <c r="C449" s="5"/>
      <c r="D449" s="5"/>
      <c r="E449" s="5"/>
      <c r="F449" s="5"/>
      <c r="G449" s="5"/>
      <c r="H449" s="11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6" x14ac:dyDescent="0.3">
      <c r="A450" s="5"/>
      <c r="B450" s="5"/>
      <c r="C450" s="5"/>
      <c r="D450" s="5"/>
      <c r="E450" s="5"/>
      <c r="F450" s="5"/>
      <c r="G450" s="5"/>
      <c r="H450" s="11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6" x14ac:dyDescent="0.3">
      <c r="A451" s="5"/>
      <c r="B451" s="5"/>
      <c r="C451" s="5"/>
      <c r="D451" s="5"/>
      <c r="E451" s="5"/>
      <c r="F451" s="5"/>
      <c r="G451" s="5"/>
      <c r="H451" s="11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6" x14ac:dyDescent="0.3">
      <c r="A452" s="5"/>
      <c r="B452" s="5"/>
      <c r="C452" s="5"/>
      <c r="D452" s="5"/>
      <c r="E452" s="5"/>
      <c r="F452" s="5"/>
      <c r="G452" s="5"/>
      <c r="H452" s="11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6" x14ac:dyDescent="0.3">
      <c r="A453" s="5"/>
      <c r="B453" s="5"/>
      <c r="C453" s="5"/>
      <c r="D453" s="5"/>
      <c r="E453" s="5"/>
      <c r="F453" s="5"/>
      <c r="G453" s="5"/>
      <c r="H453" s="11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6" x14ac:dyDescent="0.3">
      <c r="A454" s="5"/>
      <c r="B454" s="5"/>
      <c r="C454" s="5"/>
      <c r="D454" s="5"/>
      <c r="E454" s="5"/>
      <c r="F454" s="5"/>
      <c r="G454" s="5"/>
      <c r="H454" s="11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6" x14ac:dyDescent="0.3">
      <c r="A455" s="5"/>
      <c r="B455" s="5"/>
      <c r="C455" s="5"/>
      <c r="D455" s="5"/>
      <c r="E455" s="5"/>
      <c r="F455" s="5"/>
      <c r="G455" s="5"/>
      <c r="H455" s="11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6" x14ac:dyDescent="0.3">
      <c r="A456" s="5"/>
      <c r="B456" s="5"/>
      <c r="C456" s="5"/>
      <c r="D456" s="5"/>
      <c r="E456" s="5"/>
      <c r="F456" s="5"/>
      <c r="G456" s="5"/>
      <c r="H456" s="11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6" x14ac:dyDescent="0.3">
      <c r="A457" s="5"/>
      <c r="B457" s="5"/>
      <c r="C457" s="5"/>
      <c r="D457" s="5"/>
      <c r="E457" s="5"/>
      <c r="F457" s="5"/>
      <c r="G457" s="5"/>
      <c r="H457" s="11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6" x14ac:dyDescent="0.3">
      <c r="A458" s="5"/>
      <c r="B458" s="5"/>
      <c r="C458" s="5"/>
      <c r="D458" s="5"/>
      <c r="E458" s="5"/>
      <c r="F458" s="5"/>
      <c r="G458" s="5"/>
      <c r="H458" s="11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6" x14ac:dyDescent="0.3">
      <c r="A459" s="5"/>
      <c r="B459" s="5"/>
      <c r="C459" s="5"/>
      <c r="D459" s="5"/>
      <c r="E459" s="5"/>
      <c r="F459" s="5"/>
      <c r="G459" s="5"/>
      <c r="H459" s="11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6" x14ac:dyDescent="0.3">
      <c r="A460" s="5"/>
      <c r="B460" s="5"/>
      <c r="C460" s="5"/>
      <c r="D460" s="5"/>
      <c r="E460" s="5"/>
      <c r="F460" s="5"/>
      <c r="G460" s="5"/>
      <c r="H460" s="11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6" x14ac:dyDescent="0.3">
      <c r="A461" s="5"/>
      <c r="B461" s="5"/>
      <c r="C461" s="5"/>
      <c r="D461" s="5"/>
      <c r="E461" s="5"/>
      <c r="F461" s="5"/>
      <c r="G461" s="5"/>
      <c r="H461" s="11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6" x14ac:dyDescent="0.3">
      <c r="A462" s="5"/>
      <c r="B462" s="5"/>
      <c r="C462" s="5"/>
      <c r="D462" s="5"/>
      <c r="E462" s="5"/>
      <c r="F462" s="5"/>
      <c r="G462" s="5"/>
      <c r="H462" s="11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6" x14ac:dyDescent="0.3">
      <c r="A463" s="5"/>
      <c r="B463" s="5"/>
      <c r="C463" s="5"/>
      <c r="D463" s="5"/>
      <c r="E463" s="5"/>
      <c r="F463" s="5"/>
      <c r="G463" s="5"/>
      <c r="H463" s="11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6" x14ac:dyDescent="0.3">
      <c r="A464" s="5"/>
      <c r="B464" s="5"/>
      <c r="C464" s="5"/>
      <c r="D464" s="5"/>
      <c r="E464" s="5"/>
      <c r="F464" s="5"/>
      <c r="G464" s="5"/>
      <c r="H464" s="11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6" x14ac:dyDescent="0.3">
      <c r="A465" s="5"/>
      <c r="B465" s="5"/>
      <c r="C465" s="5"/>
      <c r="D465" s="5"/>
      <c r="E465" s="5"/>
      <c r="F465" s="5"/>
      <c r="G465" s="5"/>
      <c r="H465" s="11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6" x14ac:dyDescent="0.3">
      <c r="A466" s="5"/>
      <c r="B466" s="5"/>
      <c r="C466" s="5"/>
      <c r="D466" s="5"/>
      <c r="E466" s="5"/>
      <c r="F466" s="5"/>
      <c r="G466" s="5"/>
      <c r="H466" s="11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6" x14ac:dyDescent="0.3">
      <c r="A467" s="5"/>
      <c r="B467" s="5"/>
      <c r="C467" s="5"/>
      <c r="D467" s="5"/>
      <c r="E467" s="5"/>
      <c r="F467" s="5"/>
      <c r="G467" s="5"/>
      <c r="H467" s="11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6" x14ac:dyDescent="0.3">
      <c r="A468" s="5"/>
      <c r="B468" s="5"/>
      <c r="C468" s="5"/>
      <c r="D468" s="5"/>
      <c r="E468" s="5"/>
      <c r="F468" s="5"/>
      <c r="G468" s="5"/>
      <c r="H468" s="11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6" x14ac:dyDescent="0.3">
      <c r="A469" s="5"/>
      <c r="B469" s="5"/>
      <c r="C469" s="5"/>
      <c r="D469" s="5"/>
      <c r="E469" s="5"/>
      <c r="F469" s="5"/>
      <c r="G469" s="5"/>
      <c r="H469" s="11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6" x14ac:dyDescent="0.3">
      <c r="A470" s="5"/>
      <c r="B470" s="5"/>
      <c r="C470" s="5"/>
      <c r="D470" s="5"/>
      <c r="E470" s="5"/>
      <c r="F470" s="5"/>
      <c r="G470" s="5"/>
      <c r="H470" s="11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6" x14ac:dyDescent="0.3">
      <c r="A471" s="5"/>
      <c r="B471" s="5"/>
      <c r="C471" s="5"/>
      <c r="D471" s="5"/>
      <c r="E471" s="5"/>
      <c r="F471" s="5"/>
      <c r="G471" s="5"/>
      <c r="H471" s="11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6" x14ac:dyDescent="0.3">
      <c r="A472" s="5"/>
      <c r="B472" s="5"/>
      <c r="C472" s="5"/>
      <c r="D472" s="5"/>
      <c r="E472" s="5"/>
      <c r="F472" s="5"/>
      <c r="G472" s="5"/>
      <c r="H472" s="11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6" x14ac:dyDescent="0.3">
      <c r="A473" s="5"/>
      <c r="B473" s="5"/>
      <c r="C473" s="5"/>
      <c r="D473" s="5"/>
      <c r="E473" s="5"/>
      <c r="F473" s="5"/>
      <c r="G473" s="5"/>
      <c r="H473" s="11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6" x14ac:dyDescent="0.3">
      <c r="A474" s="5"/>
      <c r="B474" s="5"/>
      <c r="C474" s="5"/>
      <c r="D474" s="5"/>
      <c r="E474" s="5"/>
      <c r="F474" s="5"/>
      <c r="G474" s="5"/>
      <c r="H474" s="11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6" x14ac:dyDescent="0.3">
      <c r="A475" s="5"/>
      <c r="B475" s="5"/>
      <c r="C475" s="5"/>
      <c r="D475" s="5"/>
      <c r="E475" s="5"/>
      <c r="F475" s="5"/>
      <c r="G475" s="5"/>
      <c r="H475" s="11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6" x14ac:dyDescent="0.3">
      <c r="A476" s="5"/>
      <c r="B476" s="5"/>
      <c r="C476" s="5"/>
      <c r="D476" s="5"/>
      <c r="E476" s="5"/>
      <c r="F476" s="5"/>
      <c r="G476" s="5"/>
      <c r="H476" s="11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6" x14ac:dyDescent="0.3">
      <c r="A477" s="5"/>
      <c r="B477" s="5"/>
      <c r="C477" s="5"/>
      <c r="D477" s="5"/>
      <c r="E477" s="5"/>
      <c r="F477" s="5"/>
      <c r="G477" s="5"/>
      <c r="H477" s="11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6" x14ac:dyDescent="0.3">
      <c r="A478" s="5"/>
      <c r="B478" s="5"/>
      <c r="C478" s="5"/>
      <c r="D478" s="5"/>
      <c r="E478" s="5"/>
      <c r="F478" s="5"/>
      <c r="G478" s="5"/>
      <c r="H478" s="11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6" x14ac:dyDescent="0.3">
      <c r="A479" s="5"/>
      <c r="B479" s="5"/>
      <c r="C479" s="5"/>
      <c r="D479" s="5"/>
      <c r="E479" s="5"/>
      <c r="F479" s="5"/>
      <c r="G479" s="5"/>
      <c r="H479" s="11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6" x14ac:dyDescent="0.3">
      <c r="A480" s="5"/>
      <c r="B480" s="5"/>
      <c r="C480" s="5"/>
      <c r="D480" s="5"/>
      <c r="E480" s="5"/>
      <c r="F480" s="5"/>
      <c r="G480" s="5"/>
      <c r="H480" s="11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6" x14ac:dyDescent="0.3">
      <c r="A481" s="5"/>
      <c r="B481" s="5"/>
      <c r="C481" s="5"/>
      <c r="D481" s="5"/>
      <c r="E481" s="5"/>
      <c r="F481" s="5"/>
      <c r="G481" s="5"/>
      <c r="H481" s="11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6" x14ac:dyDescent="0.3">
      <c r="A482" s="5"/>
      <c r="B482" s="5"/>
      <c r="C482" s="5"/>
      <c r="D482" s="5"/>
      <c r="E482" s="5"/>
      <c r="F482" s="5"/>
      <c r="G482" s="5"/>
      <c r="H482" s="11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6" x14ac:dyDescent="0.3">
      <c r="A483" s="5"/>
      <c r="B483" s="5"/>
      <c r="C483" s="5"/>
      <c r="D483" s="5"/>
      <c r="E483" s="5"/>
      <c r="F483" s="5"/>
      <c r="G483" s="5"/>
      <c r="H483" s="11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6" x14ac:dyDescent="0.3">
      <c r="A484" s="5"/>
      <c r="B484" s="5"/>
      <c r="C484" s="5"/>
      <c r="D484" s="5"/>
      <c r="E484" s="5"/>
      <c r="F484" s="5"/>
      <c r="G484" s="5"/>
      <c r="H484" s="11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6" x14ac:dyDescent="0.3">
      <c r="A485" s="5"/>
      <c r="B485" s="5"/>
      <c r="C485" s="5"/>
      <c r="D485" s="5"/>
      <c r="E485" s="5"/>
      <c r="F485" s="5"/>
      <c r="G485" s="5"/>
      <c r="H485" s="11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6" x14ac:dyDescent="0.3">
      <c r="A486" s="5"/>
      <c r="B486" s="5"/>
      <c r="C486" s="5"/>
      <c r="D486" s="5"/>
      <c r="E486" s="5"/>
      <c r="F486" s="5"/>
      <c r="G486" s="5"/>
      <c r="H486" s="11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6" x14ac:dyDescent="0.3">
      <c r="A487" s="5"/>
      <c r="B487" s="5"/>
      <c r="C487" s="5"/>
      <c r="D487" s="5"/>
      <c r="E487" s="5"/>
      <c r="F487" s="5"/>
      <c r="G487" s="5"/>
      <c r="H487" s="11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6" x14ac:dyDescent="0.3">
      <c r="A488" s="5"/>
      <c r="B488" s="5"/>
      <c r="C488" s="5"/>
      <c r="D488" s="5"/>
      <c r="E488" s="5"/>
      <c r="F488" s="5"/>
      <c r="G488" s="5"/>
      <c r="H488" s="11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6" x14ac:dyDescent="0.3">
      <c r="A489" s="5"/>
      <c r="B489" s="5"/>
      <c r="C489" s="5"/>
      <c r="D489" s="5"/>
      <c r="E489" s="5"/>
      <c r="F489" s="5"/>
      <c r="G489" s="5"/>
      <c r="H489" s="11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6" x14ac:dyDescent="0.3">
      <c r="A490" s="5"/>
      <c r="B490" s="5"/>
      <c r="C490" s="5"/>
      <c r="D490" s="5"/>
      <c r="E490" s="5"/>
      <c r="F490" s="5"/>
      <c r="G490" s="5"/>
      <c r="H490" s="11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6" x14ac:dyDescent="0.3">
      <c r="A491" s="5"/>
      <c r="B491" s="5"/>
      <c r="C491" s="5"/>
      <c r="D491" s="5"/>
      <c r="E491" s="5"/>
      <c r="F491" s="5"/>
      <c r="G491" s="5"/>
      <c r="H491" s="11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6" x14ac:dyDescent="0.3">
      <c r="A492" s="5"/>
      <c r="B492" s="5"/>
      <c r="C492" s="5"/>
      <c r="D492" s="5"/>
      <c r="E492" s="5"/>
      <c r="F492" s="5"/>
      <c r="G492" s="5"/>
      <c r="H492" s="11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6" x14ac:dyDescent="0.3">
      <c r="A493" s="5"/>
      <c r="B493" s="5"/>
      <c r="C493" s="5"/>
      <c r="D493" s="5"/>
      <c r="E493" s="5"/>
      <c r="F493" s="5"/>
      <c r="G493" s="5"/>
      <c r="H493" s="11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6" x14ac:dyDescent="0.3">
      <c r="A494" s="5"/>
      <c r="B494" s="5"/>
      <c r="C494" s="5"/>
      <c r="D494" s="5"/>
      <c r="E494" s="5"/>
      <c r="F494" s="5"/>
      <c r="G494" s="5"/>
      <c r="H494" s="11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6" x14ac:dyDescent="0.3">
      <c r="A495" s="5"/>
      <c r="B495" s="5"/>
      <c r="C495" s="5"/>
      <c r="D495" s="5"/>
      <c r="E495" s="5"/>
      <c r="F495" s="5"/>
      <c r="G495" s="5"/>
      <c r="H495" s="11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6" x14ac:dyDescent="0.3">
      <c r="A496" s="5"/>
      <c r="B496" s="5"/>
      <c r="C496" s="5"/>
      <c r="D496" s="5"/>
      <c r="E496" s="5"/>
      <c r="F496" s="5"/>
      <c r="G496" s="5"/>
      <c r="H496" s="11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6" x14ac:dyDescent="0.3">
      <c r="A497" s="5"/>
      <c r="B497" s="5"/>
      <c r="C497" s="5"/>
      <c r="D497" s="5"/>
      <c r="E497" s="5"/>
      <c r="F497" s="5"/>
      <c r="G497" s="5"/>
      <c r="H497" s="11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6" x14ac:dyDescent="0.3">
      <c r="A498" s="5"/>
      <c r="B498" s="5"/>
      <c r="C498" s="5"/>
      <c r="D498" s="5"/>
      <c r="E498" s="5"/>
      <c r="F498" s="5"/>
      <c r="G498" s="5"/>
      <c r="H498" s="11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6" x14ac:dyDescent="0.3">
      <c r="A499" s="5"/>
      <c r="B499" s="5"/>
      <c r="C499" s="5"/>
      <c r="D499" s="5"/>
      <c r="E499" s="5"/>
      <c r="F499" s="5"/>
      <c r="G499" s="5"/>
      <c r="H499" s="11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6" x14ac:dyDescent="0.3">
      <c r="A500" s="5"/>
      <c r="B500" s="5"/>
      <c r="C500" s="5"/>
      <c r="D500" s="5"/>
      <c r="E500" s="5"/>
      <c r="F500" s="5"/>
      <c r="G500" s="5"/>
      <c r="H500" s="11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6" x14ac:dyDescent="0.3">
      <c r="A501" s="5"/>
      <c r="B501" s="5"/>
      <c r="C501" s="5"/>
      <c r="D501" s="5"/>
      <c r="E501" s="5"/>
      <c r="F501" s="5"/>
      <c r="G501" s="5"/>
      <c r="H501" s="11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6" x14ac:dyDescent="0.3">
      <c r="A502" s="5"/>
      <c r="B502" s="5"/>
      <c r="C502" s="5"/>
      <c r="D502" s="5"/>
      <c r="E502" s="5"/>
      <c r="F502" s="5"/>
      <c r="G502" s="5"/>
      <c r="H502" s="11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6" x14ac:dyDescent="0.3">
      <c r="A503" s="5"/>
      <c r="B503" s="5"/>
      <c r="C503" s="5"/>
      <c r="D503" s="5"/>
      <c r="E503" s="5"/>
      <c r="F503" s="5"/>
      <c r="G503" s="5"/>
      <c r="H503" s="11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6" x14ac:dyDescent="0.3">
      <c r="A504" s="5"/>
      <c r="B504" s="5"/>
      <c r="C504" s="5"/>
      <c r="D504" s="5"/>
      <c r="E504" s="5"/>
      <c r="F504" s="5"/>
      <c r="G504" s="5"/>
      <c r="H504" s="11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6" x14ac:dyDescent="0.3">
      <c r="A505" s="5"/>
      <c r="B505" s="5"/>
      <c r="C505" s="5"/>
      <c r="D505" s="5"/>
      <c r="E505" s="5"/>
      <c r="F505" s="5"/>
      <c r="G505" s="5"/>
      <c r="H505" s="11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6" x14ac:dyDescent="0.3">
      <c r="A506" s="5"/>
      <c r="B506" s="5"/>
      <c r="C506" s="5"/>
      <c r="D506" s="5"/>
      <c r="E506" s="5"/>
      <c r="F506" s="5"/>
      <c r="G506" s="5"/>
      <c r="H506" s="11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6" x14ac:dyDescent="0.3">
      <c r="A507" s="5"/>
      <c r="B507" s="5"/>
      <c r="C507" s="5"/>
      <c r="D507" s="5"/>
      <c r="E507" s="5"/>
      <c r="F507" s="5"/>
      <c r="G507" s="5"/>
      <c r="H507" s="11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6" x14ac:dyDescent="0.3">
      <c r="A508" s="5"/>
      <c r="B508" s="5"/>
      <c r="C508" s="5"/>
      <c r="D508" s="5"/>
      <c r="E508" s="5"/>
      <c r="F508" s="5"/>
      <c r="G508" s="5"/>
      <c r="H508" s="11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6" x14ac:dyDescent="0.3">
      <c r="A509" s="5"/>
      <c r="B509" s="5"/>
      <c r="C509" s="5"/>
      <c r="D509" s="5"/>
      <c r="E509" s="5"/>
      <c r="F509" s="5"/>
      <c r="G509" s="5"/>
      <c r="H509" s="11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6" x14ac:dyDescent="0.3">
      <c r="A510" s="5"/>
      <c r="B510" s="5"/>
      <c r="C510" s="5"/>
      <c r="D510" s="5"/>
      <c r="E510" s="5"/>
      <c r="F510" s="5"/>
      <c r="G510" s="5"/>
      <c r="H510" s="11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6" x14ac:dyDescent="0.3">
      <c r="A511" s="5"/>
      <c r="B511" s="5"/>
      <c r="C511" s="5"/>
      <c r="D511" s="5"/>
      <c r="E511" s="5"/>
      <c r="F511" s="5"/>
      <c r="G511" s="5"/>
      <c r="H511" s="11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6" x14ac:dyDescent="0.3">
      <c r="A512" s="5"/>
      <c r="B512" s="5"/>
      <c r="C512" s="5"/>
      <c r="D512" s="5"/>
      <c r="E512" s="5"/>
      <c r="F512" s="5"/>
      <c r="G512" s="5"/>
      <c r="H512" s="11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6" x14ac:dyDescent="0.3">
      <c r="A513" s="5"/>
      <c r="B513" s="5"/>
      <c r="C513" s="5"/>
      <c r="D513" s="5"/>
      <c r="E513" s="5"/>
      <c r="F513" s="5"/>
      <c r="G513" s="5"/>
      <c r="H513" s="11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6" x14ac:dyDescent="0.3">
      <c r="A514" s="5"/>
      <c r="B514" s="5"/>
      <c r="C514" s="5"/>
      <c r="D514" s="5"/>
      <c r="E514" s="5"/>
      <c r="F514" s="5"/>
      <c r="G514" s="5"/>
      <c r="H514" s="11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6" x14ac:dyDescent="0.3">
      <c r="A515" s="5"/>
      <c r="B515" s="5"/>
      <c r="C515" s="5"/>
      <c r="D515" s="5"/>
      <c r="E515" s="5"/>
      <c r="F515" s="5"/>
      <c r="G515" s="5"/>
      <c r="H515" s="11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6" x14ac:dyDescent="0.3">
      <c r="A516" s="5"/>
      <c r="B516" s="5"/>
      <c r="C516" s="5"/>
      <c r="D516" s="5"/>
      <c r="E516" s="5"/>
      <c r="F516" s="5"/>
      <c r="G516" s="5"/>
      <c r="H516" s="11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6" x14ac:dyDescent="0.3">
      <c r="A517" s="5"/>
      <c r="B517" s="5"/>
      <c r="C517" s="5"/>
      <c r="D517" s="5"/>
      <c r="E517" s="5"/>
      <c r="F517" s="5"/>
      <c r="G517" s="5"/>
      <c r="H517" s="11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6" x14ac:dyDescent="0.3">
      <c r="A518" s="5"/>
      <c r="B518" s="5"/>
      <c r="C518" s="5"/>
      <c r="D518" s="5"/>
      <c r="E518" s="5"/>
      <c r="F518" s="5"/>
      <c r="G518" s="5"/>
      <c r="H518" s="11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6" x14ac:dyDescent="0.3">
      <c r="A519" s="5"/>
      <c r="B519" s="5"/>
      <c r="C519" s="5"/>
      <c r="D519" s="5"/>
      <c r="E519" s="5"/>
      <c r="F519" s="5"/>
      <c r="G519" s="5"/>
      <c r="H519" s="11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6" x14ac:dyDescent="0.3">
      <c r="A520" s="5"/>
      <c r="B520" s="5"/>
      <c r="C520" s="5"/>
      <c r="D520" s="5"/>
      <c r="E520" s="5"/>
      <c r="F520" s="5"/>
      <c r="G520" s="5"/>
      <c r="H520" s="11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6" x14ac:dyDescent="0.3">
      <c r="A521" s="5"/>
      <c r="B521" s="5"/>
      <c r="C521" s="5"/>
      <c r="D521" s="5"/>
      <c r="E521" s="5"/>
      <c r="F521" s="5"/>
      <c r="G521" s="5"/>
      <c r="H521" s="11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6" x14ac:dyDescent="0.3">
      <c r="A522" s="5"/>
      <c r="B522" s="5"/>
      <c r="C522" s="5"/>
      <c r="D522" s="5"/>
      <c r="E522" s="5"/>
      <c r="F522" s="5"/>
      <c r="G522" s="5"/>
      <c r="H522" s="11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6" x14ac:dyDescent="0.3">
      <c r="A523" s="5"/>
      <c r="B523" s="5"/>
      <c r="C523" s="5"/>
      <c r="D523" s="5"/>
      <c r="E523" s="5"/>
      <c r="F523" s="5"/>
      <c r="G523" s="5"/>
      <c r="H523" s="11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6" x14ac:dyDescent="0.3">
      <c r="A524" s="5"/>
      <c r="B524" s="5"/>
      <c r="C524" s="5"/>
      <c r="D524" s="5"/>
      <c r="E524" s="5"/>
      <c r="F524" s="5"/>
      <c r="G524" s="5"/>
      <c r="H524" s="11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6" x14ac:dyDescent="0.3">
      <c r="A525" s="5"/>
      <c r="B525" s="5"/>
      <c r="C525" s="5"/>
      <c r="D525" s="5"/>
      <c r="E525" s="5"/>
      <c r="F525" s="5"/>
      <c r="G525" s="5"/>
      <c r="H525" s="11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6" x14ac:dyDescent="0.3">
      <c r="A526" s="5"/>
      <c r="B526" s="5"/>
      <c r="C526" s="5"/>
      <c r="D526" s="5"/>
      <c r="E526" s="5"/>
      <c r="F526" s="5"/>
      <c r="G526" s="5"/>
      <c r="H526" s="11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6" x14ac:dyDescent="0.3">
      <c r="A527" s="5"/>
      <c r="B527" s="5"/>
      <c r="C527" s="5"/>
      <c r="D527" s="5"/>
      <c r="E527" s="5"/>
      <c r="F527" s="5"/>
      <c r="G527" s="5"/>
      <c r="H527" s="11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6" x14ac:dyDescent="0.3">
      <c r="A528" s="5"/>
      <c r="B528" s="5"/>
      <c r="C528" s="5"/>
      <c r="D528" s="5"/>
      <c r="E528" s="5"/>
      <c r="F528" s="5"/>
      <c r="G528" s="5"/>
      <c r="H528" s="11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6" x14ac:dyDescent="0.3">
      <c r="A529" s="5"/>
      <c r="B529" s="5"/>
      <c r="C529" s="5"/>
      <c r="D529" s="5"/>
      <c r="E529" s="5"/>
      <c r="F529" s="5"/>
      <c r="G529" s="5"/>
      <c r="H529" s="11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6" x14ac:dyDescent="0.3">
      <c r="A530" s="5"/>
      <c r="B530" s="5"/>
      <c r="C530" s="5"/>
      <c r="D530" s="5"/>
      <c r="E530" s="5"/>
      <c r="F530" s="5"/>
      <c r="G530" s="5"/>
      <c r="H530" s="11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6" x14ac:dyDescent="0.3">
      <c r="A531" s="5"/>
      <c r="B531" s="5"/>
      <c r="C531" s="5"/>
      <c r="D531" s="5"/>
      <c r="E531" s="5"/>
      <c r="F531" s="5"/>
      <c r="G531" s="5"/>
      <c r="H531" s="11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6" x14ac:dyDescent="0.3">
      <c r="A532" s="5"/>
      <c r="B532" s="5"/>
      <c r="C532" s="5"/>
      <c r="D532" s="5"/>
      <c r="E532" s="5"/>
      <c r="F532" s="5"/>
      <c r="G532" s="5"/>
      <c r="H532" s="11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6" x14ac:dyDescent="0.3">
      <c r="A533" s="5"/>
      <c r="B533" s="5"/>
      <c r="C533" s="5"/>
      <c r="D533" s="5"/>
      <c r="E533" s="5"/>
      <c r="F533" s="5"/>
      <c r="G533" s="5"/>
      <c r="H533" s="11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6" x14ac:dyDescent="0.3">
      <c r="A534" s="5"/>
      <c r="B534" s="5"/>
      <c r="C534" s="5"/>
      <c r="D534" s="5"/>
      <c r="E534" s="5"/>
      <c r="F534" s="5"/>
      <c r="G534" s="5"/>
      <c r="H534" s="11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6" x14ac:dyDescent="0.3">
      <c r="A535" s="5"/>
      <c r="B535" s="5"/>
      <c r="C535" s="5"/>
      <c r="D535" s="5"/>
      <c r="E535" s="5"/>
      <c r="F535" s="5"/>
      <c r="G535" s="5"/>
      <c r="H535" s="11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6" x14ac:dyDescent="0.3">
      <c r="A536" s="5"/>
      <c r="B536" s="5"/>
      <c r="C536" s="5"/>
      <c r="D536" s="5"/>
      <c r="E536" s="5"/>
      <c r="F536" s="5"/>
      <c r="G536" s="5"/>
      <c r="H536" s="11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6" x14ac:dyDescent="0.3">
      <c r="A537" s="5"/>
      <c r="B537" s="5"/>
      <c r="C537" s="5"/>
      <c r="D537" s="5"/>
      <c r="E537" s="5"/>
      <c r="F537" s="5"/>
      <c r="G537" s="5"/>
      <c r="H537" s="11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6" x14ac:dyDescent="0.3">
      <c r="A538" s="5"/>
      <c r="B538" s="5"/>
      <c r="C538" s="5"/>
      <c r="D538" s="5"/>
      <c r="E538" s="5"/>
      <c r="F538" s="5"/>
      <c r="G538" s="5"/>
      <c r="H538" s="11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6" x14ac:dyDescent="0.3">
      <c r="A539" s="5"/>
      <c r="B539" s="5"/>
      <c r="C539" s="5"/>
      <c r="D539" s="5"/>
      <c r="E539" s="5"/>
      <c r="F539" s="5"/>
      <c r="G539" s="5"/>
      <c r="H539" s="11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6" x14ac:dyDescent="0.3">
      <c r="A540" s="5"/>
      <c r="B540" s="5"/>
      <c r="C540" s="5"/>
      <c r="D540" s="5"/>
      <c r="E540" s="5"/>
      <c r="F540" s="5"/>
      <c r="G540" s="5"/>
      <c r="H540" s="11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6" x14ac:dyDescent="0.3">
      <c r="A541" s="5"/>
      <c r="B541" s="5"/>
      <c r="C541" s="5"/>
      <c r="D541" s="5"/>
      <c r="E541" s="5"/>
      <c r="F541" s="5"/>
      <c r="G541" s="5"/>
      <c r="H541" s="11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6" x14ac:dyDescent="0.3">
      <c r="A542" s="5"/>
      <c r="B542" s="5"/>
      <c r="C542" s="5"/>
      <c r="D542" s="5"/>
      <c r="E542" s="5"/>
      <c r="F542" s="5"/>
      <c r="G542" s="5"/>
      <c r="H542" s="11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6" x14ac:dyDescent="0.3">
      <c r="A543" s="5"/>
      <c r="B543" s="5"/>
      <c r="C543" s="5"/>
      <c r="D543" s="5"/>
      <c r="E543" s="5"/>
      <c r="F543" s="5"/>
      <c r="G543" s="5"/>
      <c r="H543" s="11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6" x14ac:dyDescent="0.3">
      <c r="A544" s="5"/>
      <c r="B544" s="5"/>
      <c r="C544" s="5"/>
      <c r="D544" s="5"/>
      <c r="E544" s="5"/>
      <c r="F544" s="5"/>
      <c r="G544" s="5"/>
      <c r="H544" s="11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6" x14ac:dyDescent="0.3">
      <c r="A545" s="5"/>
      <c r="B545" s="5"/>
      <c r="C545" s="5"/>
      <c r="D545" s="5"/>
      <c r="E545" s="5"/>
      <c r="F545" s="5"/>
      <c r="G545" s="5"/>
      <c r="H545" s="11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6" x14ac:dyDescent="0.3">
      <c r="A546" s="5"/>
      <c r="B546" s="5"/>
      <c r="C546" s="5"/>
      <c r="D546" s="5"/>
      <c r="E546" s="5"/>
      <c r="F546" s="5"/>
      <c r="G546" s="5"/>
      <c r="H546" s="11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6" x14ac:dyDescent="0.3">
      <c r="A547" s="5"/>
      <c r="B547" s="5"/>
      <c r="C547" s="5"/>
      <c r="D547" s="5"/>
      <c r="E547" s="5"/>
      <c r="F547" s="5"/>
      <c r="G547" s="5"/>
      <c r="H547" s="11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6" x14ac:dyDescent="0.3">
      <c r="A548" s="5"/>
      <c r="B548" s="5"/>
      <c r="C548" s="5"/>
      <c r="D548" s="5"/>
      <c r="E548" s="5"/>
      <c r="F548" s="5"/>
      <c r="G548" s="5"/>
      <c r="H548" s="11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6" x14ac:dyDescent="0.3">
      <c r="A549" s="5"/>
      <c r="B549" s="5"/>
      <c r="C549" s="5"/>
      <c r="D549" s="5"/>
      <c r="E549" s="5"/>
      <c r="F549" s="5"/>
      <c r="G549" s="5"/>
      <c r="H549" s="11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6" x14ac:dyDescent="0.3">
      <c r="A550" s="5"/>
      <c r="B550" s="5"/>
      <c r="C550" s="5"/>
      <c r="D550" s="5"/>
      <c r="E550" s="5"/>
      <c r="F550" s="5"/>
      <c r="G550" s="5"/>
      <c r="H550" s="11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6" x14ac:dyDescent="0.3">
      <c r="A551" s="5"/>
      <c r="B551" s="5"/>
      <c r="C551" s="5"/>
      <c r="D551" s="5"/>
      <c r="E551" s="5"/>
      <c r="F551" s="5"/>
      <c r="G551" s="5"/>
      <c r="H551" s="11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6" x14ac:dyDescent="0.3">
      <c r="A552" s="5"/>
      <c r="B552" s="5"/>
      <c r="C552" s="5"/>
      <c r="D552" s="5"/>
      <c r="E552" s="5"/>
      <c r="F552" s="5"/>
      <c r="G552" s="5"/>
      <c r="H552" s="11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6" x14ac:dyDescent="0.3">
      <c r="A553" s="5"/>
      <c r="B553" s="5"/>
      <c r="C553" s="5"/>
      <c r="D553" s="5"/>
      <c r="E553" s="5"/>
      <c r="F553" s="5"/>
      <c r="G553" s="5"/>
      <c r="H553" s="11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6" x14ac:dyDescent="0.3">
      <c r="A554" s="5"/>
      <c r="B554" s="5"/>
      <c r="C554" s="5"/>
      <c r="D554" s="5"/>
      <c r="E554" s="5"/>
      <c r="F554" s="5"/>
      <c r="G554" s="5"/>
      <c r="H554" s="11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6" x14ac:dyDescent="0.3">
      <c r="A555" s="5"/>
      <c r="B555" s="5"/>
      <c r="C555" s="5"/>
      <c r="D555" s="5"/>
      <c r="E555" s="5"/>
      <c r="F555" s="5"/>
      <c r="G555" s="5"/>
      <c r="H555" s="11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6" x14ac:dyDescent="0.3">
      <c r="A556" s="5"/>
      <c r="B556" s="5"/>
      <c r="C556" s="5"/>
      <c r="D556" s="5"/>
      <c r="E556" s="5"/>
      <c r="F556" s="5"/>
      <c r="G556" s="5"/>
      <c r="H556" s="11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6" x14ac:dyDescent="0.3">
      <c r="A557" s="5"/>
      <c r="B557" s="5"/>
      <c r="C557" s="5"/>
      <c r="D557" s="5"/>
      <c r="E557" s="5"/>
      <c r="F557" s="5"/>
      <c r="G557" s="5"/>
      <c r="H557" s="11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6" x14ac:dyDescent="0.3">
      <c r="A558" s="5"/>
      <c r="B558" s="5"/>
      <c r="C558" s="5"/>
      <c r="D558" s="5"/>
      <c r="E558" s="5"/>
      <c r="F558" s="5"/>
      <c r="G558" s="5"/>
      <c r="H558" s="11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6" x14ac:dyDescent="0.3">
      <c r="A559" s="5"/>
      <c r="B559" s="5"/>
      <c r="C559" s="5"/>
      <c r="D559" s="5"/>
      <c r="E559" s="5"/>
      <c r="F559" s="5"/>
      <c r="G559" s="5"/>
      <c r="H559" s="11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6" x14ac:dyDescent="0.3">
      <c r="A560" s="5"/>
      <c r="B560" s="5"/>
      <c r="C560" s="5"/>
      <c r="D560" s="5"/>
      <c r="E560" s="5"/>
      <c r="F560" s="5"/>
      <c r="G560" s="5"/>
      <c r="H560" s="11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6" x14ac:dyDescent="0.3">
      <c r="A561" s="5"/>
      <c r="B561" s="5"/>
      <c r="C561" s="5"/>
      <c r="D561" s="5"/>
      <c r="E561" s="5"/>
      <c r="F561" s="5"/>
      <c r="G561" s="5"/>
      <c r="H561" s="11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6" x14ac:dyDescent="0.3">
      <c r="A562" s="5"/>
      <c r="B562" s="5"/>
      <c r="C562" s="5"/>
      <c r="D562" s="5"/>
      <c r="E562" s="5"/>
      <c r="F562" s="5"/>
      <c r="G562" s="5"/>
      <c r="H562" s="11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6" x14ac:dyDescent="0.3">
      <c r="A563" s="5"/>
      <c r="B563" s="5"/>
      <c r="C563" s="5"/>
      <c r="D563" s="5"/>
      <c r="E563" s="5"/>
      <c r="F563" s="5"/>
      <c r="G563" s="5"/>
      <c r="H563" s="11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6" x14ac:dyDescent="0.3">
      <c r="A564" s="5"/>
      <c r="B564" s="5"/>
      <c r="C564" s="5"/>
      <c r="D564" s="5"/>
      <c r="E564" s="5"/>
      <c r="F564" s="5"/>
      <c r="G564" s="5"/>
      <c r="H564" s="11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6" x14ac:dyDescent="0.3">
      <c r="A565" s="5"/>
      <c r="B565" s="5"/>
      <c r="C565" s="5"/>
      <c r="D565" s="5"/>
      <c r="E565" s="5"/>
      <c r="F565" s="5"/>
      <c r="G565" s="5"/>
      <c r="H565" s="11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6" x14ac:dyDescent="0.3">
      <c r="A566" s="5"/>
      <c r="B566" s="5"/>
      <c r="C566" s="5"/>
      <c r="D566" s="5"/>
      <c r="E566" s="5"/>
      <c r="F566" s="5"/>
      <c r="G566" s="5"/>
      <c r="H566" s="11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6" x14ac:dyDescent="0.3">
      <c r="A567" s="5"/>
      <c r="B567" s="5"/>
      <c r="C567" s="5"/>
      <c r="D567" s="5"/>
      <c r="E567" s="5"/>
      <c r="F567" s="5"/>
      <c r="G567" s="5"/>
      <c r="H567" s="11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6" x14ac:dyDescent="0.3">
      <c r="A568" s="5"/>
      <c r="B568" s="5"/>
      <c r="C568" s="5"/>
      <c r="D568" s="5"/>
      <c r="E568" s="5"/>
      <c r="F568" s="5"/>
      <c r="G568" s="5"/>
      <c r="H568" s="11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6" x14ac:dyDescent="0.3">
      <c r="A569" s="5"/>
      <c r="B569" s="5"/>
      <c r="C569" s="5"/>
      <c r="D569" s="5"/>
      <c r="E569" s="5"/>
      <c r="F569" s="5"/>
      <c r="G569" s="5"/>
      <c r="H569" s="11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6" x14ac:dyDescent="0.3">
      <c r="A570" s="5"/>
      <c r="B570" s="5"/>
      <c r="C570" s="5"/>
      <c r="D570" s="5"/>
      <c r="E570" s="5"/>
      <c r="F570" s="5"/>
      <c r="G570" s="5"/>
      <c r="H570" s="11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6" x14ac:dyDescent="0.3">
      <c r="A571" s="5"/>
      <c r="B571" s="5"/>
      <c r="C571" s="5"/>
      <c r="D571" s="5"/>
      <c r="E571" s="5"/>
      <c r="F571" s="5"/>
      <c r="G571" s="5"/>
      <c r="H571" s="11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6" x14ac:dyDescent="0.3">
      <c r="A572" s="5"/>
      <c r="B572" s="5"/>
      <c r="C572" s="5"/>
      <c r="D572" s="5"/>
      <c r="E572" s="5"/>
      <c r="F572" s="5"/>
      <c r="G572" s="5"/>
      <c r="H572" s="11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6" x14ac:dyDescent="0.3">
      <c r="A573" s="5"/>
      <c r="B573" s="5"/>
      <c r="C573" s="5"/>
      <c r="D573" s="5"/>
      <c r="E573" s="5"/>
      <c r="F573" s="5"/>
      <c r="G573" s="5"/>
      <c r="H573" s="11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6" x14ac:dyDescent="0.3">
      <c r="A574" s="5"/>
      <c r="B574" s="5"/>
      <c r="C574" s="5"/>
      <c r="D574" s="5"/>
      <c r="E574" s="5"/>
      <c r="F574" s="5"/>
      <c r="G574" s="5"/>
      <c r="H574" s="11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6" x14ac:dyDescent="0.3">
      <c r="A575" s="5"/>
      <c r="B575" s="5"/>
      <c r="C575" s="5"/>
      <c r="D575" s="5"/>
      <c r="E575" s="5"/>
      <c r="F575" s="5"/>
      <c r="G575" s="5"/>
      <c r="H575" s="11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6" x14ac:dyDescent="0.3">
      <c r="A576" s="5"/>
      <c r="B576" s="5"/>
      <c r="C576" s="5"/>
      <c r="D576" s="5"/>
      <c r="E576" s="5"/>
      <c r="F576" s="5"/>
      <c r="G576" s="5"/>
      <c r="H576" s="11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6" x14ac:dyDescent="0.3">
      <c r="A577" s="5"/>
      <c r="B577" s="5"/>
      <c r="C577" s="5"/>
      <c r="D577" s="5"/>
      <c r="E577" s="5"/>
      <c r="F577" s="5"/>
      <c r="G577" s="5"/>
      <c r="H577" s="11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6" x14ac:dyDescent="0.3">
      <c r="A578" s="5"/>
      <c r="B578" s="5"/>
      <c r="C578" s="5"/>
      <c r="D578" s="5"/>
      <c r="E578" s="5"/>
      <c r="F578" s="5"/>
      <c r="G578" s="5"/>
      <c r="H578" s="11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6" x14ac:dyDescent="0.3">
      <c r="A579" s="5"/>
      <c r="B579" s="5"/>
      <c r="C579" s="5"/>
      <c r="D579" s="5"/>
      <c r="E579" s="5"/>
      <c r="F579" s="5"/>
      <c r="G579" s="5"/>
      <c r="H579" s="11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6" x14ac:dyDescent="0.3">
      <c r="A580" s="5"/>
      <c r="B580" s="5"/>
      <c r="C580" s="5"/>
      <c r="D580" s="5"/>
      <c r="E580" s="5"/>
      <c r="F580" s="5"/>
      <c r="G580" s="5"/>
      <c r="H580" s="11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6" x14ac:dyDescent="0.3">
      <c r="A581" s="5"/>
      <c r="B581" s="5"/>
      <c r="C581" s="5"/>
      <c r="D581" s="5"/>
      <c r="E581" s="5"/>
      <c r="F581" s="5"/>
      <c r="G581" s="5"/>
      <c r="H581" s="11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6" x14ac:dyDescent="0.3">
      <c r="A582" s="5"/>
      <c r="B582" s="5"/>
      <c r="C582" s="5"/>
      <c r="D582" s="5"/>
      <c r="E582" s="5"/>
      <c r="F582" s="5"/>
      <c r="G582" s="5"/>
      <c r="H582" s="11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6" x14ac:dyDescent="0.3">
      <c r="A583" s="5"/>
      <c r="B583" s="5"/>
      <c r="C583" s="5"/>
      <c r="D583" s="5"/>
      <c r="E583" s="5"/>
      <c r="F583" s="5"/>
      <c r="G583" s="5"/>
      <c r="H583" s="11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6" x14ac:dyDescent="0.3">
      <c r="A584" s="5"/>
      <c r="B584" s="5"/>
      <c r="C584" s="5"/>
      <c r="D584" s="5"/>
      <c r="E584" s="5"/>
      <c r="F584" s="5"/>
      <c r="G584" s="5"/>
      <c r="H584" s="11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6" x14ac:dyDescent="0.3">
      <c r="A585" s="5"/>
      <c r="B585" s="5"/>
      <c r="C585" s="5"/>
      <c r="D585" s="5"/>
      <c r="E585" s="5"/>
      <c r="F585" s="5"/>
      <c r="G585" s="5"/>
      <c r="H585" s="11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6" x14ac:dyDescent="0.3">
      <c r="A586" s="5"/>
      <c r="B586" s="5"/>
      <c r="C586" s="5"/>
      <c r="D586" s="5"/>
      <c r="E586" s="5"/>
      <c r="F586" s="5"/>
      <c r="G586" s="5"/>
      <c r="H586" s="11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6" x14ac:dyDescent="0.3">
      <c r="A587" s="5"/>
      <c r="B587" s="5"/>
      <c r="C587" s="5"/>
      <c r="D587" s="5"/>
      <c r="E587" s="5"/>
      <c r="F587" s="5"/>
      <c r="G587" s="5"/>
      <c r="H587" s="11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6" x14ac:dyDescent="0.3">
      <c r="A588" s="5"/>
      <c r="B588" s="5"/>
      <c r="C588" s="5"/>
      <c r="D588" s="5"/>
      <c r="E588" s="5"/>
      <c r="F588" s="5"/>
      <c r="G588" s="5"/>
      <c r="H588" s="11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6" x14ac:dyDescent="0.3">
      <c r="A589" s="5"/>
      <c r="B589" s="5"/>
      <c r="C589" s="5"/>
      <c r="D589" s="5"/>
      <c r="E589" s="5"/>
      <c r="F589" s="5"/>
      <c r="G589" s="5"/>
      <c r="H589" s="11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6" x14ac:dyDescent="0.3">
      <c r="A590" s="5"/>
      <c r="B590" s="5"/>
      <c r="C590" s="5"/>
      <c r="D590" s="5"/>
      <c r="E590" s="5"/>
      <c r="F590" s="5"/>
      <c r="G590" s="5"/>
      <c r="H590" s="11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6" x14ac:dyDescent="0.3">
      <c r="A591" s="5"/>
      <c r="B591" s="5"/>
      <c r="C591" s="5"/>
      <c r="D591" s="5"/>
      <c r="E591" s="5"/>
      <c r="F591" s="5"/>
      <c r="G591" s="5"/>
      <c r="H591" s="11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6" x14ac:dyDescent="0.3">
      <c r="A592" s="5"/>
      <c r="B592" s="5"/>
      <c r="C592" s="5"/>
      <c r="D592" s="5"/>
      <c r="E592" s="5"/>
      <c r="F592" s="5"/>
      <c r="G592" s="5"/>
      <c r="H592" s="11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6" x14ac:dyDescent="0.3">
      <c r="A593" s="5"/>
      <c r="B593" s="5"/>
      <c r="C593" s="5"/>
      <c r="D593" s="5"/>
      <c r="E593" s="5"/>
      <c r="F593" s="5"/>
      <c r="G593" s="5"/>
      <c r="H593" s="11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6" x14ac:dyDescent="0.3">
      <c r="A594" s="5"/>
      <c r="B594" s="5"/>
      <c r="C594" s="5"/>
      <c r="D594" s="5"/>
      <c r="E594" s="5"/>
      <c r="F594" s="5"/>
      <c r="G594" s="5"/>
      <c r="H594" s="11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6" x14ac:dyDescent="0.3">
      <c r="A595" s="5"/>
      <c r="B595" s="5"/>
      <c r="C595" s="5"/>
      <c r="D595" s="5"/>
      <c r="E595" s="5"/>
      <c r="F595" s="5"/>
      <c r="G595" s="5"/>
      <c r="H595" s="11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6" x14ac:dyDescent="0.3">
      <c r="A596" s="5"/>
      <c r="B596" s="5"/>
      <c r="C596" s="5"/>
      <c r="D596" s="5"/>
      <c r="E596" s="5"/>
      <c r="F596" s="5"/>
      <c r="G596" s="5"/>
      <c r="H596" s="11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6" x14ac:dyDescent="0.3">
      <c r="A597" s="5"/>
      <c r="B597" s="5"/>
      <c r="C597" s="5"/>
      <c r="D597" s="5"/>
      <c r="E597" s="5"/>
      <c r="F597" s="5"/>
      <c r="G597" s="5"/>
      <c r="H597" s="11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6" x14ac:dyDescent="0.3">
      <c r="A598" s="5"/>
      <c r="B598" s="5"/>
      <c r="C598" s="5"/>
      <c r="D598" s="5"/>
      <c r="E598" s="5"/>
      <c r="F598" s="5"/>
      <c r="G598" s="5"/>
      <c r="H598" s="11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6" x14ac:dyDescent="0.3">
      <c r="A599" s="5"/>
      <c r="B599" s="5"/>
      <c r="C599" s="5"/>
      <c r="D599" s="5"/>
      <c r="E599" s="5"/>
      <c r="F599" s="5"/>
      <c r="G599" s="5"/>
      <c r="H599" s="11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6" x14ac:dyDescent="0.3">
      <c r="A600" s="5"/>
      <c r="B600" s="5"/>
      <c r="C600" s="5"/>
      <c r="D600" s="5"/>
      <c r="E600" s="5"/>
      <c r="F600" s="5"/>
      <c r="G600" s="5"/>
      <c r="H600" s="11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6" x14ac:dyDescent="0.3">
      <c r="A601" s="5"/>
      <c r="B601" s="5"/>
      <c r="C601" s="5"/>
      <c r="D601" s="5"/>
      <c r="E601" s="5"/>
      <c r="F601" s="5"/>
      <c r="G601" s="5"/>
      <c r="H601" s="11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6" x14ac:dyDescent="0.3">
      <c r="A602" s="5"/>
      <c r="B602" s="5"/>
      <c r="C602" s="5"/>
      <c r="D602" s="5"/>
      <c r="E602" s="5"/>
      <c r="F602" s="5"/>
      <c r="G602" s="5"/>
      <c r="H602" s="11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6" x14ac:dyDescent="0.3">
      <c r="A603" s="5"/>
      <c r="B603" s="5"/>
      <c r="C603" s="5"/>
      <c r="D603" s="5"/>
      <c r="E603" s="5"/>
      <c r="F603" s="5"/>
      <c r="G603" s="5"/>
      <c r="H603" s="11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6" x14ac:dyDescent="0.3">
      <c r="A604" s="5"/>
      <c r="B604" s="5"/>
      <c r="C604" s="5"/>
      <c r="D604" s="5"/>
      <c r="E604" s="5"/>
      <c r="F604" s="5"/>
      <c r="G604" s="5"/>
      <c r="H604" s="11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6" x14ac:dyDescent="0.3">
      <c r="A605" s="5"/>
      <c r="B605" s="5"/>
      <c r="C605" s="5"/>
      <c r="D605" s="5"/>
      <c r="E605" s="5"/>
      <c r="F605" s="5"/>
      <c r="G605" s="5"/>
      <c r="H605" s="11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6" x14ac:dyDescent="0.3">
      <c r="A606" s="5"/>
      <c r="B606" s="5"/>
      <c r="C606" s="5"/>
      <c r="D606" s="5"/>
      <c r="E606" s="5"/>
      <c r="F606" s="5"/>
      <c r="G606" s="5"/>
      <c r="H606" s="11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6" x14ac:dyDescent="0.3">
      <c r="A607" s="5"/>
      <c r="B607" s="5"/>
      <c r="C607" s="5"/>
      <c r="D607" s="5"/>
      <c r="E607" s="5"/>
      <c r="F607" s="5"/>
      <c r="G607" s="5"/>
      <c r="H607" s="11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6" x14ac:dyDescent="0.3">
      <c r="A608" s="5"/>
      <c r="B608" s="5"/>
      <c r="C608" s="5"/>
      <c r="D608" s="5"/>
      <c r="E608" s="5"/>
      <c r="F608" s="5"/>
      <c r="G608" s="5"/>
      <c r="H608" s="11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6" x14ac:dyDescent="0.3">
      <c r="A609" s="5"/>
      <c r="B609" s="5"/>
      <c r="C609" s="5"/>
      <c r="D609" s="5"/>
      <c r="E609" s="5"/>
      <c r="F609" s="5"/>
      <c r="G609" s="5"/>
      <c r="H609" s="11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6" x14ac:dyDescent="0.3">
      <c r="A610" s="5"/>
      <c r="B610" s="5"/>
      <c r="C610" s="5"/>
      <c r="D610" s="5"/>
      <c r="E610" s="5"/>
      <c r="F610" s="5"/>
      <c r="G610" s="5"/>
      <c r="H610" s="11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6" x14ac:dyDescent="0.3">
      <c r="A611" s="5"/>
      <c r="B611" s="5"/>
      <c r="C611" s="5"/>
      <c r="D611" s="5"/>
      <c r="E611" s="5"/>
      <c r="F611" s="5"/>
      <c r="G611" s="5"/>
      <c r="H611" s="11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6" x14ac:dyDescent="0.3">
      <c r="A612" s="5"/>
      <c r="B612" s="5"/>
      <c r="C612" s="5"/>
      <c r="D612" s="5"/>
      <c r="E612" s="5"/>
      <c r="F612" s="5"/>
      <c r="G612" s="5"/>
      <c r="H612" s="11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6" x14ac:dyDescent="0.3">
      <c r="A613" s="5"/>
      <c r="B613" s="5"/>
      <c r="C613" s="5"/>
      <c r="D613" s="5"/>
      <c r="E613" s="5"/>
      <c r="F613" s="5"/>
      <c r="G613" s="5"/>
      <c r="H613" s="11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6" x14ac:dyDescent="0.3">
      <c r="A614" s="5"/>
      <c r="B614" s="5"/>
      <c r="C614" s="5"/>
      <c r="D614" s="5"/>
      <c r="E614" s="5"/>
      <c r="F614" s="5"/>
      <c r="G614" s="5"/>
      <c r="H614" s="11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6" x14ac:dyDescent="0.3">
      <c r="A615" s="5"/>
      <c r="B615" s="5"/>
      <c r="C615" s="5"/>
      <c r="D615" s="5"/>
      <c r="E615" s="5"/>
      <c r="F615" s="5"/>
      <c r="G615" s="5"/>
      <c r="H615" s="11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6" x14ac:dyDescent="0.3">
      <c r="A616" s="5"/>
      <c r="B616" s="5"/>
      <c r="C616" s="5"/>
      <c r="D616" s="5"/>
      <c r="E616" s="5"/>
      <c r="F616" s="5"/>
      <c r="G616" s="5"/>
      <c r="H616" s="11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6" x14ac:dyDescent="0.3">
      <c r="A617" s="5"/>
      <c r="B617" s="5"/>
      <c r="C617" s="5"/>
      <c r="D617" s="5"/>
      <c r="E617" s="5"/>
      <c r="F617" s="5"/>
      <c r="G617" s="5"/>
      <c r="H617" s="11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6" x14ac:dyDescent="0.3">
      <c r="A618" s="5"/>
      <c r="B618" s="5"/>
      <c r="C618" s="5"/>
      <c r="D618" s="5"/>
      <c r="E618" s="5"/>
      <c r="F618" s="5"/>
      <c r="G618" s="5"/>
      <c r="H618" s="11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6" x14ac:dyDescent="0.3">
      <c r="A619" s="5"/>
      <c r="B619" s="5"/>
      <c r="C619" s="5"/>
      <c r="D619" s="5"/>
      <c r="E619" s="5"/>
      <c r="F619" s="5"/>
      <c r="G619" s="5"/>
      <c r="H619" s="11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6" x14ac:dyDescent="0.3">
      <c r="A620" s="5"/>
      <c r="B620" s="5"/>
      <c r="C620" s="5"/>
      <c r="D620" s="5"/>
      <c r="E620" s="5"/>
      <c r="F620" s="5"/>
      <c r="G620" s="5"/>
      <c r="H620" s="11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6" x14ac:dyDescent="0.3">
      <c r="A621" s="5"/>
      <c r="B621" s="5"/>
      <c r="C621" s="5"/>
      <c r="D621" s="5"/>
      <c r="E621" s="5"/>
      <c r="F621" s="5"/>
      <c r="G621" s="5"/>
      <c r="H621" s="11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6" x14ac:dyDescent="0.3">
      <c r="A622" s="5"/>
      <c r="B622" s="5"/>
      <c r="C622" s="5"/>
      <c r="D622" s="5"/>
      <c r="E622" s="5"/>
      <c r="F622" s="5"/>
      <c r="G622" s="5"/>
      <c r="H622" s="11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6" x14ac:dyDescent="0.3">
      <c r="A623" s="5"/>
      <c r="B623" s="5"/>
      <c r="C623" s="5"/>
      <c r="D623" s="5"/>
      <c r="E623" s="5"/>
      <c r="F623" s="5"/>
      <c r="G623" s="5"/>
      <c r="H623" s="11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6" x14ac:dyDescent="0.3">
      <c r="A624" s="5"/>
      <c r="B624" s="5"/>
      <c r="C624" s="5"/>
      <c r="D624" s="5"/>
      <c r="E624" s="5"/>
      <c r="F624" s="5"/>
      <c r="G624" s="5"/>
      <c r="H624" s="11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6" x14ac:dyDescent="0.3">
      <c r="A625" s="5"/>
      <c r="B625" s="5"/>
      <c r="C625" s="5"/>
      <c r="D625" s="5"/>
      <c r="E625" s="5"/>
      <c r="F625" s="5"/>
      <c r="G625" s="5"/>
      <c r="H625" s="11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6" x14ac:dyDescent="0.3">
      <c r="A626" s="5"/>
      <c r="B626" s="5"/>
      <c r="C626" s="5"/>
      <c r="D626" s="5"/>
      <c r="E626" s="5"/>
      <c r="F626" s="5"/>
      <c r="G626" s="5"/>
      <c r="H626" s="11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6" x14ac:dyDescent="0.3">
      <c r="A627" s="5"/>
      <c r="B627" s="5"/>
      <c r="C627" s="5"/>
      <c r="D627" s="5"/>
      <c r="E627" s="5"/>
      <c r="F627" s="5"/>
      <c r="G627" s="5"/>
      <c r="H627" s="11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6" x14ac:dyDescent="0.3">
      <c r="A628" s="5"/>
      <c r="B628" s="5"/>
      <c r="C628" s="5"/>
      <c r="D628" s="5"/>
      <c r="E628" s="5"/>
      <c r="F628" s="5"/>
      <c r="G628" s="5"/>
      <c r="H628" s="11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6" x14ac:dyDescent="0.3">
      <c r="A629" s="5"/>
      <c r="B629" s="5"/>
      <c r="C629" s="5"/>
      <c r="D629" s="5"/>
      <c r="E629" s="5"/>
      <c r="F629" s="5"/>
      <c r="G629" s="5"/>
      <c r="H629" s="11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6" x14ac:dyDescent="0.3">
      <c r="A630" s="5"/>
      <c r="B630" s="5"/>
      <c r="C630" s="5"/>
      <c r="D630" s="5"/>
      <c r="E630" s="5"/>
      <c r="F630" s="5"/>
      <c r="G630" s="5"/>
      <c r="H630" s="11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6" x14ac:dyDescent="0.3">
      <c r="A631" s="5"/>
      <c r="B631" s="5"/>
      <c r="C631" s="5"/>
      <c r="D631" s="5"/>
      <c r="E631" s="5"/>
      <c r="F631" s="5"/>
      <c r="G631" s="5"/>
      <c r="H631" s="11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6" x14ac:dyDescent="0.3">
      <c r="A632" s="5"/>
      <c r="B632" s="5"/>
      <c r="C632" s="5"/>
      <c r="D632" s="5"/>
      <c r="E632" s="5"/>
      <c r="F632" s="5"/>
      <c r="G632" s="5"/>
      <c r="H632" s="11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6" x14ac:dyDescent="0.3">
      <c r="A633" s="5"/>
      <c r="B633" s="5"/>
      <c r="C633" s="5"/>
      <c r="D633" s="5"/>
      <c r="E633" s="5"/>
      <c r="F633" s="5"/>
      <c r="G633" s="5"/>
      <c r="H633" s="11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6" x14ac:dyDescent="0.3">
      <c r="A634" s="5"/>
      <c r="B634" s="5"/>
      <c r="C634" s="5"/>
      <c r="D634" s="5"/>
      <c r="E634" s="5"/>
      <c r="F634" s="5"/>
      <c r="G634" s="5"/>
      <c r="H634" s="11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6" x14ac:dyDescent="0.3">
      <c r="A635" s="5"/>
      <c r="B635" s="5"/>
      <c r="C635" s="5"/>
      <c r="D635" s="5"/>
      <c r="E635" s="5"/>
      <c r="F635" s="5"/>
      <c r="G635" s="5"/>
      <c r="H635" s="11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6" x14ac:dyDescent="0.3">
      <c r="A636" s="5"/>
      <c r="B636" s="5"/>
      <c r="C636" s="5"/>
      <c r="D636" s="5"/>
      <c r="E636" s="5"/>
      <c r="F636" s="5"/>
      <c r="G636" s="5"/>
      <c r="H636" s="11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6" x14ac:dyDescent="0.3">
      <c r="A637" s="5"/>
      <c r="B637" s="5"/>
      <c r="C637" s="5"/>
      <c r="D637" s="5"/>
      <c r="E637" s="5"/>
      <c r="F637" s="5"/>
      <c r="G637" s="5"/>
      <c r="H637" s="11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6" x14ac:dyDescent="0.3">
      <c r="A638" s="5"/>
      <c r="B638" s="5"/>
      <c r="C638" s="5"/>
      <c r="D638" s="5"/>
      <c r="E638" s="5"/>
      <c r="F638" s="5"/>
      <c r="G638" s="5"/>
      <c r="H638" s="11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6" x14ac:dyDescent="0.3">
      <c r="A639" s="5"/>
      <c r="B639" s="5"/>
      <c r="C639" s="5"/>
      <c r="D639" s="5"/>
      <c r="E639" s="5"/>
      <c r="F639" s="5"/>
      <c r="G639" s="5"/>
      <c r="H639" s="11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6" x14ac:dyDescent="0.3">
      <c r="A640" s="5"/>
      <c r="B640" s="5"/>
      <c r="C640" s="5"/>
      <c r="D640" s="5"/>
      <c r="E640" s="5"/>
      <c r="F640" s="5"/>
      <c r="G640" s="5"/>
      <c r="H640" s="11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6" x14ac:dyDescent="0.3">
      <c r="A641" s="5"/>
      <c r="B641" s="5"/>
      <c r="C641" s="5"/>
      <c r="D641" s="5"/>
      <c r="E641" s="5"/>
      <c r="F641" s="5"/>
      <c r="G641" s="5"/>
      <c r="H641" s="11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6" x14ac:dyDescent="0.3">
      <c r="A642" s="5"/>
      <c r="B642" s="5"/>
      <c r="C642" s="5"/>
      <c r="D642" s="5"/>
      <c r="E642" s="5"/>
      <c r="F642" s="5"/>
      <c r="G642" s="5"/>
      <c r="H642" s="11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6" x14ac:dyDescent="0.3">
      <c r="A643" s="5"/>
      <c r="B643" s="5"/>
      <c r="C643" s="5"/>
      <c r="D643" s="5"/>
      <c r="E643" s="5"/>
      <c r="F643" s="5"/>
      <c r="G643" s="5"/>
      <c r="H643" s="11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6" x14ac:dyDescent="0.3">
      <c r="A644" s="5"/>
      <c r="B644" s="5"/>
      <c r="C644" s="5"/>
      <c r="D644" s="5"/>
      <c r="E644" s="5"/>
      <c r="F644" s="5"/>
      <c r="G644" s="5"/>
      <c r="H644" s="11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6" x14ac:dyDescent="0.3">
      <c r="A645" s="5"/>
      <c r="B645" s="5"/>
      <c r="C645" s="5"/>
      <c r="D645" s="5"/>
      <c r="E645" s="5"/>
      <c r="F645" s="5"/>
      <c r="G645" s="5"/>
      <c r="H645" s="11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6" x14ac:dyDescent="0.3">
      <c r="A646" s="5"/>
      <c r="B646" s="5"/>
      <c r="C646" s="5"/>
      <c r="D646" s="5"/>
      <c r="E646" s="5"/>
      <c r="F646" s="5"/>
      <c r="G646" s="5"/>
      <c r="H646" s="11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6" x14ac:dyDescent="0.3">
      <c r="A647" s="5"/>
      <c r="B647" s="5"/>
      <c r="C647" s="5"/>
      <c r="D647" s="5"/>
      <c r="E647" s="5"/>
      <c r="F647" s="5"/>
      <c r="G647" s="5"/>
      <c r="H647" s="11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6" x14ac:dyDescent="0.3">
      <c r="A648" s="5"/>
      <c r="B648" s="5"/>
      <c r="C648" s="5"/>
      <c r="D648" s="5"/>
      <c r="E648" s="5"/>
      <c r="F648" s="5"/>
      <c r="G648" s="5"/>
      <c r="H648" s="11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6" x14ac:dyDescent="0.3">
      <c r="A649" s="5"/>
      <c r="B649" s="5"/>
      <c r="C649" s="5"/>
      <c r="D649" s="5"/>
      <c r="E649" s="5"/>
      <c r="F649" s="5"/>
      <c r="G649" s="5"/>
      <c r="H649" s="11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6" x14ac:dyDescent="0.3">
      <c r="A650" s="5"/>
      <c r="B650" s="5"/>
      <c r="C650" s="5"/>
      <c r="D650" s="5"/>
      <c r="E650" s="5"/>
      <c r="F650" s="5"/>
      <c r="G650" s="5"/>
      <c r="H650" s="11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6" x14ac:dyDescent="0.3">
      <c r="A651" s="5"/>
      <c r="B651" s="5"/>
      <c r="C651" s="5"/>
      <c r="D651" s="5"/>
      <c r="E651" s="5"/>
      <c r="F651" s="5"/>
      <c r="G651" s="5"/>
      <c r="H651" s="11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6" x14ac:dyDescent="0.3">
      <c r="A652" s="5"/>
      <c r="B652" s="5"/>
      <c r="C652" s="5"/>
      <c r="D652" s="5"/>
      <c r="E652" s="5"/>
      <c r="F652" s="5"/>
      <c r="G652" s="5"/>
      <c r="H652" s="11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6" x14ac:dyDescent="0.3">
      <c r="A653" s="5"/>
      <c r="B653" s="5"/>
      <c r="C653" s="5"/>
      <c r="D653" s="5"/>
      <c r="E653" s="5"/>
      <c r="F653" s="5"/>
      <c r="G653" s="5"/>
      <c r="H653" s="11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6" x14ac:dyDescent="0.3">
      <c r="A654" s="5"/>
      <c r="B654" s="5"/>
      <c r="C654" s="5"/>
      <c r="D654" s="5"/>
      <c r="E654" s="5"/>
      <c r="F654" s="5"/>
      <c r="G654" s="5"/>
      <c r="H654" s="11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6" x14ac:dyDescent="0.3">
      <c r="A655" s="5"/>
      <c r="B655" s="5"/>
      <c r="C655" s="5"/>
      <c r="D655" s="5"/>
      <c r="E655" s="5"/>
      <c r="F655" s="5"/>
      <c r="G655" s="5"/>
      <c r="H655" s="11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6" x14ac:dyDescent="0.3">
      <c r="A656" s="5"/>
      <c r="B656" s="5"/>
      <c r="C656" s="5"/>
      <c r="D656" s="5"/>
      <c r="E656" s="5"/>
      <c r="F656" s="5"/>
      <c r="G656" s="5"/>
      <c r="H656" s="11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6" x14ac:dyDescent="0.3">
      <c r="A657" s="5"/>
      <c r="B657" s="5"/>
      <c r="C657" s="5"/>
      <c r="D657" s="5"/>
      <c r="E657" s="5"/>
      <c r="F657" s="5"/>
      <c r="G657" s="5"/>
      <c r="H657" s="11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6" x14ac:dyDescent="0.3">
      <c r="A658" s="5"/>
      <c r="B658" s="5"/>
      <c r="C658" s="5"/>
      <c r="D658" s="5"/>
      <c r="E658" s="5"/>
      <c r="F658" s="5"/>
      <c r="G658" s="5"/>
      <c r="H658" s="11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6" x14ac:dyDescent="0.3">
      <c r="A659" s="5"/>
      <c r="B659" s="5"/>
      <c r="C659" s="5"/>
      <c r="D659" s="5"/>
      <c r="E659" s="5"/>
      <c r="F659" s="5"/>
      <c r="G659" s="5"/>
      <c r="H659" s="11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6" x14ac:dyDescent="0.3">
      <c r="A660" s="5"/>
      <c r="B660" s="5"/>
      <c r="C660" s="5"/>
      <c r="D660" s="5"/>
      <c r="E660" s="5"/>
      <c r="F660" s="5"/>
      <c r="G660" s="5"/>
      <c r="H660" s="11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6" x14ac:dyDescent="0.3">
      <c r="A661" s="5"/>
      <c r="B661" s="5"/>
      <c r="C661" s="5"/>
      <c r="D661" s="5"/>
      <c r="E661" s="5"/>
      <c r="F661" s="5"/>
      <c r="G661" s="5"/>
      <c r="H661" s="11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6" x14ac:dyDescent="0.3">
      <c r="A662" s="5"/>
      <c r="B662" s="5"/>
      <c r="C662" s="5"/>
      <c r="D662" s="5"/>
      <c r="E662" s="5"/>
      <c r="F662" s="5"/>
      <c r="G662" s="5"/>
      <c r="H662" s="11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6" x14ac:dyDescent="0.3">
      <c r="A663" s="5"/>
      <c r="B663" s="5"/>
      <c r="C663" s="5"/>
      <c r="D663" s="5"/>
      <c r="E663" s="5"/>
      <c r="F663" s="5"/>
      <c r="G663" s="5"/>
      <c r="H663" s="11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6" x14ac:dyDescent="0.3">
      <c r="A664" s="5"/>
      <c r="B664" s="5"/>
      <c r="C664" s="5"/>
      <c r="D664" s="5"/>
      <c r="E664" s="5"/>
      <c r="F664" s="5"/>
      <c r="G664" s="5"/>
      <c r="H664" s="11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6" x14ac:dyDescent="0.3">
      <c r="A665" s="5"/>
      <c r="B665" s="5"/>
      <c r="C665" s="5"/>
      <c r="D665" s="5"/>
      <c r="E665" s="5"/>
      <c r="F665" s="5"/>
      <c r="G665" s="5"/>
      <c r="H665" s="11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6" x14ac:dyDescent="0.3">
      <c r="A666" s="5"/>
      <c r="B666" s="5"/>
      <c r="C666" s="5"/>
      <c r="D666" s="5"/>
      <c r="E666" s="5"/>
      <c r="F666" s="5"/>
      <c r="G666" s="5"/>
      <c r="H666" s="11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6" x14ac:dyDescent="0.3">
      <c r="A667" s="5"/>
      <c r="B667" s="5"/>
      <c r="C667" s="5"/>
      <c r="D667" s="5"/>
      <c r="E667" s="5"/>
      <c r="F667" s="5"/>
      <c r="G667" s="5"/>
      <c r="H667" s="11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6" x14ac:dyDescent="0.3">
      <c r="A668" s="5"/>
      <c r="B668" s="5"/>
      <c r="C668" s="5"/>
      <c r="D668" s="5"/>
      <c r="E668" s="5"/>
      <c r="F668" s="5"/>
      <c r="G668" s="5"/>
      <c r="H668" s="11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6" x14ac:dyDescent="0.3">
      <c r="A669" s="5"/>
      <c r="B669" s="5"/>
      <c r="C669" s="5"/>
      <c r="D669" s="5"/>
      <c r="E669" s="5"/>
      <c r="F669" s="5"/>
      <c r="G669" s="5"/>
      <c r="H669" s="11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6" x14ac:dyDescent="0.3">
      <c r="A670" s="5"/>
      <c r="B670" s="5"/>
      <c r="C670" s="5"/>
      <c r="D670" s="5"/>
      <c r="E670" s="5"/>
      <c r="F670" s="5"/>
      <c r="G670" s="5"/>
      <c r="H670" s="11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6" x14ac:dyDescent="0.3">
      <c r="A671" s="5"/>
      <c r="B671" s="5"/>
      <c r="C671" s="5"/>
      <c r="D671" s="5"/>
      <c r="E671" s="5"/>
      <c r="F671" s="5"/>
      <c r="G671" s="5"/>
      <c r="H671" s="11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6" x14ac:dyDescent="0.3">
      <c r="A672" s="5"/>
      <c r="B672" s="5"/>
      <c r="C672" s="5"/>
      <c r="D672" s="5"/>
      <c r="E672" s="5"/>
      <c r="F672" s="5"/>
      <c r="G672" s="5"/>
      <c r="H672" s="11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6" x14ac:dyDescent="0.3">
      <c r="A673" s="5"/>
      <c r="B673" s="5"/>
      <c r="C673" s="5"/>
      <c r="D673" s="5"/>
      <c r="E673" s="5"/>
      <c r="F673" s="5"/>
      <c r="G673" s="5"/>
      <c r="H673" s="11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6" x14ac:dyDescent="0.3">
      <c r="A674" s="5"/>
      <c r="B674" s="5"/>
      <c r="C674" s="5"/>
      <c r="D674" s="5"/>
      <c r="E674" s="5"/>
      <c r="F674" s="5"/>
      <c r="G674" s="5"/>
      <c r="H674" s="11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6" x14ac:dyDescent="0.3">
      <c r="A675" s="5"/>
      <c r="B675" s="5"/>
      <c r="C675" s="5"/>
      <c r="D675" s="5"/>
      <c r="E675" s="5"/>
      <c r="F675" s="5"/>
      <c r="G675" s="5"/>
      <c r="H675" s="11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6" x14ac:dyDescent="0.3">
      <c r="A676" s="5"/>
      <c r="B676" s="5"/>
      <c r="C676" s="5"/>
      <c r="D676" s="5"/>
      <c r="E676" s="5"/>
      <c r="F676" s="5"/>
      <c r="G676" s="5"/>
      <c r="H676" s="11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6" x14ac:dyDescent="0.3">
      <c r="A677" s="5"/>
      <c r="B677" s="5"/>
      <c r="C677" s="5"/>
      <c r="D677" s="5"/>
      <c r="E677" s="5"/>
      <c r="F677" s="5"/>
      <c r="G677" s="5"/>
      <c r="H677" s="11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6" x14ac:dyDescent="0.3">
      <c r="A678" s="5"/>
      <c r="B678" s="5"/>
      <c r="C678" s="5"/>
      <c r="D678" s="5"/>
      <c r="E678" s="5"/>
      <c r="F678" s="5"/>
      <c r="G678" s="5"/>
      <c r="H678" s="11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6" x14ac:dyDescent="0.3">
      <c r="A679" s="5"/>
      <c r="B679" s="5"/>
      <c r="C679" s="5"/>
      <c r="D679" s="5"/>
      <c r="E679" s="5"/>
      <c r="F679" s="5"/>
      <c r="G679" s="5"/>
      <c r="H679" s="11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6" x14ac:dyDescent="0.3">
      <c r="A680" s="5"/>
      <c r="B680" s="5"/>
      <c r="C680" s="5"/>
      <c r="D680" s="5"/>
      <c r="E680" s="5"/>
      <c r="F680" s="5"/>
      <c r="G680" s="5"/>
      <c r="H680" s="11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6" x14ac:dyDescent="0.3">
      <c r="A681" s="5"/>
      <c r="B681" s="5"/>
      <c r="C681" s="5"/>
      <c r="D681" s="5"/>
      <c r="E681" s="5"/>
      <c r="F681" s="5"/>
      <c r="G681" s="5"/>
      <c r="H681" s="11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6" x14ac:dyDescent="0.3">
      <c r="A682" s="5"/>
      <c r="B682" s="5"/>
      <c r="C682" s="5"/>
      <c r="D682" s="5"/>
      <c r="E682" s="5"/>
      <c r="F682" s="5"/>
      <c r="G682" s="5"/>
      <c r="H682" s="11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6" x14ac:dyDescent="0.3">
      <c r="A683" s="5"/>
      <c r="B683" s="5"/>
      <c r="C683" s="5"/>
      <c r="D683" s="5"/>
      <c r="E683" s="5"/>
      <c r="F683" s="5"/>
      <c r="G683" s="5"/>
      <c r="H683" s="11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6" x14ac:dyDescent="0.3">
      <c r="A684" s="5"/>
      <c r="B684" s="5"/>
      <c r="C684" s="5"/>
      <c r="D684" s="5"/>
      <c r="E684" s="5"/>
      <c r="F684" s="5"/>
      <c r="G684" s="5"/>
      <c r="H684" s="11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6" x14ac:dyDescent="0.3">
      <c r="A685" s="5"/>
      <c r="B685" s="5"/>
      <c r="C685" s="5"/>
      <c r="D685" s="5"/>
      <c r="E685" s="5"/>
      <c r="F685" s="5"/>
      <c r="G685" s="5"/>
      <c r="H685" s="11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6" x14ac:dyDescent="0.3">
      <c r="A686" s="5"/>
      <c r="B686" s="5"/>
      <c r="C686" s="5"/>
      <c r="D686" s="5"/>
      <c r="E686" s="5"/>
      <c r="F686" s="5"/>
      <c r="G686" s="5"/>
      <c r="H686" s="11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6" x14ac:dyDescent="0.3">
      <c r="A687" s="5"/>
      <c r="B687" s="5"/>
      <c r="C687" s="5"/>
      <c r="D687" s="5"/>
      <c r="E687" s="5"/>
      <c r="F687" s="5"/>
      <c r="G687" s="5"/>
      <c r="H687" s="11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6" x14ac:dyDescent="0.3">
      <c r="A688" s="5"/>
      <c r="B688" s="5"/>
      <c r="C688" s="5"/>
      <c r="D688" s="5"/>
      <c r="E688" s="5"/>
      <c r="F688" s="5"/>
      <c r="G688" s="5"/>
      <c r="H688" s="11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6" x14ac:dyDescent="0.3">
      <c r="A689" s="5"/>
      <c r="B689" s="5"/>
      <c r="C689" s="5"/>
      <c r="D689" s="5"/>
      <c r="E689" s="5"/>
      <c r="F689" s="5"/>
      <c r="G689" s="5"/>
      <c r="H689" s="11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6" x14ac:dyDescent="0.3">
      <c r="A690" s="5"/>
      <c r="B690" s="5"/>
      <c r="C690" s="5"/>
      <c r="D690" s="5"/>
      <c r="E690" s="5"/>
      <c r="F690" s="5"/>
      <c r="G690" s="5"/>
      <c r="H690" s="11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6" x14ac:dyDescent="0.3">
      <c r="A691" s="5"/>
      <c r="B691" s="5"/>
      <c r="C691" s="5"/>
      <c r="D691" s="5"/>
      <c r="E691" s="5"/>
      <c r="F691" s="5"/>
      <c r="G691" s="5"/>
      <c r="H691" s="11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6" x14ac:dyDescent="0.3">
      <c r="A692" s="5"/>
      <c r="B692" s="5"/>
      <c r="C692" s="5"/>
      <c r="D692" s="5"/>
      <c r="E692" s="5"/>
      <c r="F692" s="5"/>
      <c r="G692" s="5"/>
      <c r="H692" s="11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6" x14ac:dyDescent="0.3">
      <c r="A693" s="5"/>
      <c r="B693" s="5"/>
      <c r="C693" s="5"/>
      <c r="D693" s="5"/>
      <c r="E693" s="5"/>
      <c r="F693" s="5"/>
      <c r="G693" s="5"/>
      <c r="H693" s="11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6" x14ac:dyDescent="0.3">
      <c r="A694" s="5"/>
      <c r="B694" s="5"/>
      <c r="C694" s="5"/>
      <c r="D694" s="5"/>
      <c r="E694" s="5"/>
      <c r="F694" s="5"/>
      <c r="G694" s="5"/>
      <c r="H694" s="11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6" x14ac:dyDescent="0.3">
      <c r="A695" s="5"/>
      <c r="B695" s="5"/>
      <c r="C695" s="5"/>
      <c r="D695" s="5"/>
      <c r="E695" s="5"/>
      <c r="F695" s="5"/>
      <c r="G695" s="5"/>
      <c r="H695" s="11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6" x14ac:dyDescent="0.3">
      <c r="A696" s="5"/>
      <c r="B696" s="5"/>
      <c r="C696" s="5"/>
      <c r="D696" s="5"/>
      <c r="E696" s="5"/>
      <c r="F696" s="5"/>
      <c r="G696" s="5"/>
      <c r="H696" s="11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6" x14ac:dyDescent="0.3">
      <c r="A697" s="5"/>
      <c r="B697" s="5"/>
      <c r="C697" s="5"/>
      <c r="D697" s="5"/>
      <c r="E697" s="5"/>
      <c r="F697" s="5"/>
      <c r="G697" s="5"/>
      <c r="H697" s="11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6" x14ac:dyDescent="0.3">
      <c r="A698" s="5"/>
      <c r="B698" s="5"/>
      <c r="C698" s="5"/>
      <c r="D698" s="5"/>
      <c r="E698" s="5"/>
      <c r="F698" s="5"/>
      <c r="G698" s="5"/>
      <c r="H698" s="11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6" x14ac:dyDescent="0.3">
      <c r="A699" s="5"/>
      <c r="B699" s="5"/>
      <c r="C699" s="5"/>
      <c r="D699" s="5"/>
      <c r="E699" s="5"/>
      <c r="F699" s="5"/>
      <c r="G699" s="5"/>
      <c r="H699" s="11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6" x14ac:dyDescent="0.3">
      <c r="A700" s="5"/>
      <c r="B700" s="5"/>
      <c r="C700" s="5"/>
      <c r="D700" s="5"/>
      <c r="E700" s="5"/>
      <c r="F700" s="5"/>
      <c r="G700" s="5"/>
      <c r="H700" s="11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6" x14ac:dyDescent="0.3">
      <c r="A701" s="5"/>
      <c r="B701" s="5"/>
      <c r="C701" s="5"/>
      <c r="D701" s="5"/>
      <c r="E701" s="5"/>
      <c r="F701" s="5"/>
      <c r="G701" s="5"/>
      <c r="H701" s="11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6" x14ac:dyDescent="0.3">
      <c r="A702" s="5"/>
      <c r="B702" s="5"/>
      <c r="C702" s="5"/>
      <c r="D702" s="5"/>
      <c r="E702" s="5"/>
      <c r="F702" s="5"/>
      <c r="G702" s="5"/>
      <c r="H702" s="11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6" x14ac:dyDescent="0.3">
      <c r="A703" s="5"/>
      <c r="B703" s="5"/>
      <c r="C703" s="5"/>
      <c r="D703" s="5"/>
      <c r="E703" s="5"/>
      <c r="F703" s="5"/>
      <c r="G703" s="5"/>
      <c r="H703" s="11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6" x14ac:dyDescent="0.3">
      <c r="A704" s="5"/>
      <c r="B704" s="5"/>
      <c r="C704" s="5"/>
      <c r="D704" s="5"/>
      <c r="E704" s="5"/>
      <c r="F704" s="5"/>
      <c r="G704" s="5"/>
      <c r="H704" s="11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6" x14ac:dyDescent="0.3">
      <c r="A705" s="5"/>
      <c r="B705" s="5"/>
      <c r="C705" s="5"/>
      <c r="D705" s="5"/>
      <c r="E705" s="5"/>
      <c r="F705" s="5"/>
      <c r="G705" s="5"/>
      <c r="H705" s="11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6" x14ac:dyDescent="0.3">
      <c r="A706" s="5"/>
      <c r="B706" s="5"/>
      <c r="C706" s="5"/>
      <c r="D706" s="5"/>
      <c r="E706" s="5"/>
      <c r="F706" s="5"/>
      <c r="G706" s="5"/>
      <c r="H706" s="11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6" x14ac:dyDescent="0.3">
      <c r="A707" s="5"/>
      <c r="B707" s="5"/>
      <c r="C707" s="5"/>
      <c r="D707" s="5"/>
      <c r="E707" s="5"/>
      <c r="F707" s="5"/>
      <c r="G707" s="5"/>
      <c r="H707" s="11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6" x14ac:dyDescent="0.3">
      <c r="A708" s="5"/>
      <c r="B708" s="5"/>
      <c r="C708" s="5"/>
      <c r="D708" s="5"/>
      <c r="E708" s="5"/>
      <c r="F708" s="5"/>
      <c r="G708" s="5"/>
      <c r="H708" s="11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6" x14ac:dyDescent="0.3">
      <c r="A709" s="5"/>
      <c r="B709" s="5"/>
      <c r="C709" s="5"/>
      <c r="D709" s="5"/>
      <c r="E709" s="5"/>
      <c r="F709" s="5"/>
      <c r="G709" s="5"/>
      <c r="H709" s="11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6" x14ac:dyDescent="0.3">
      <c r="A710" s="5"/>
      <c r="B710" s="5"/>
      <c r="C710" s="5"/>
      <c r="D710" s="5"/>
      <c r="E710" s="5"/>
      <c r="F710" s="5"/>
      <c r="G710" s="5"/>
      <c r="H710" s="11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6" x14ac:dyDescent="0.3">
      <c r="A711" s="5"/>
      <c r="B711" s="5"/>
      <c r="C711" s="5"/>
      <c r="D711" s="5"/>
      <c r="E711" s="5"/>
      <c r="F711" s="5"/>
      <c r="G711" s="5"/>
      <c r="H711" s="11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6" x14ac:dyDescent="0.3">
      <c r="A712" s="5"/>
      <c r="B712" s="5"/>
      <c r="C712" s="5"/>
      <c r="D712" s="5"/>
      <c r="E712" s="5"/>
      <c r="F712" s="5"/>
      <c r="G712" s="5"/>
      <c r="H712" s="11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6" x14ac:dyDescent="0.3">
      <c r="A713" s="5"/>
      <c r="B713" s="5"/>
      <c r="C713" s="5"/>
      <c r="D713" s="5"/>
      <c r="E713" s="5"/>
      <c r="F713" s="5"/>
      <c r="G713" s="5"/>
      <c r="H713" s="11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6" x14ac:dyDescent="0.3">
      <c r="A714" s="5"/>
      <c r="B714" s="5"/>
      <c r="C714" s="5"/>
      <c r="D714" s="5"/>
      <c r="E714" s="5"/>
      <c r="F714" s="5"/>
      <c r="G714" s="5"/>
      <c r="H714" s="11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6" x14ac:dyDescent="0.3">
      <c r="A715" s="5"/>
      <c r="B715" s="5"/>
      <c r="C715" s="5"/>
      <c r="D715" s="5"/>
      <c r="E715" s="5"/>
      <c r="F715" s="5"/>
      <c r="G715" s="5"/>
      <c r="H715" s="11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6" x14ac:dyDescent="0.3">
      <c r="A716" s="5"/>
      <c r="B716" s="5"/>
      <c r="C716" s="5"/>
      <c r="D716" s="5"/>
      <c r="E716" s="5"/>
      <c r="F716" s="5"/>
      <c r="G716" s="5"/>
      <c r="H716" s="11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6" x14ac:dyDescent="0.3">
      <c r="A717" s="5"/>
      <c r="B717" s="5"/>
      <c r="C717" s="5"/>
      <c r="D717" s="5"/>
      <c r="E717" s="5"/>
      <c r="F717" s="5"/>
      <c r="G717" s="5"/>
      <c r="H717" s="11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6" x14ac:dyDescent="0.3">
      <c r="A718" s="5"/>
      <c r="B718" s="5"/>
      <c r="C718" s="5"/>
      <c r="D718" s="5"/>
      <c r="E718" s="5"/>
      <c r="F718" s="5"/>
      <c r="G718" s="5"/>
      <c r="H718" s="11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6" x14ac:dyDescent="0.3">
      <c r="A719" s="5"/>
      <c r="B719" s="5"/>
      <c r="C719" s="5"/>
      <c r="D719" s="5"/>
      <c r="E719" s="5"/>
      <c r="F719" s="5"/>
      <c r="G719" s="5"/>
      <c r="H719" s="11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6" x14ac:dyDescent="0.3">
      <c r="A720" s="5"/>
      <c r="B720" s="5"/>
      <c r="C720" s="5"/>
      <c r="D720" s="5"/>
      <c r="E720" s="5"/>
      <c r="F720" s="5"/>
      <c r="G720" s="5"/>
      <c r="H720" s="11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6" x14ac:dyDescent="0.3">
      <c r="A721" s="5"/>
      <c r="B721" s="5"/>
      <c r="C721" s="5"/>
      <c r="D721" s="5"/>
      <c r="E721" s="5"/>
      <c r="F721" s="5"/>
      <c r="G721" s="5"/>
      <c r="H721" s="11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6" x14ac:dyDescent="0.3">
      <c r="A722" s="5"/>
      <c r="B722" s="5"/>
      <c r="C722" s="5"/>
      <c r="D722" s="5"/>
      <c r="E722" s="5"/>
      <c r="F722" s="5"/>
      <c r="G722" s="5"/>
      <c r="H722" s="11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6" x14ac:dyDescent="0.3">
      <c r="A723" s="5"/>
      <c r="B723" s="5"/>
      <c r="C723" s="5"/>
      <c r="D723" s="5"/>
      <c r="E723" s="5"/>
      <c r="F723" s="5"/>
      <c r="G723" s="5"/>
      <c r="H723" s="11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6" x14ac:dyDescent="0.3">
      <c r="A724" s="5"/>
      <c r="B724" s="5"/>
      <c r="C724" s="5"/>
      <c r="D724" s="5"/>
      <c r="E724" s="5"/>
      <c r="F724" s="5"/>
      <c r="G724" s="5"/>
      <c r="H724" s="11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6" x14ac:dyDescent="0.3">
      <c r="A725" s="5"/>
      <c r="B725" s="5"/>
      <c r="C725" s="5"/>
      <c r="D725" s="5"/>
      <c r="E725" s="5"/>
      <c r="F725" s="5"/>
      <c r="G725" s="5"/>
      <c r="H725" s="11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6" x14ac:dyDescent="0.3">
      <c r="A726" s="5"/>
      <c r="B726" s="5"/>
      <c r="C726" s="5"/>
      <c r="D726" s="5"/>
      <c r="E726" s="5"/>
      <c r="F726" s="5"/>
      <c r="G726" s="5"/>
      <c r="H726" s="11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6" x14ac:dyDescent="0.3">
      <c r="A727" s="5"/>
      <c r="B727" s="5"/>
      <c r="C727" s="5"/>
      <c r="D727" s="5"/>
      <c r="E727" s="5"/>
      <c r="F727" s="5"/>
      <c r="G727" s="5"/>
      <c r="H727" s="11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6" x14ac:dyDescent="0.3">
      <c r="A728" s="5"/>
      <c r="B728" s="5"/>
      <c r="C728" s="5"/>
      <c r="D728" s="5"/>
      <c r="E728" s="5"/>
      <c r="F728" s="5"/>
      <c r="G728" s="5"/>
      <c r="H728" s="11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6" x14ac:dyDescent="0.3">
      <c r="A729" s="5"/>
      <c r="B729" s="5"/>
      <c r="C729" s="5"/>
      <c r="D729" s="5"/>
      <c r="E729" s="5"/>
      <c r="F729" s="5"/>
      <c r="G729" s="5"/>
      <c r="H729" s="11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6" x14ac:dyDescent="0.3">
      <c r="A730" s="5"/>
      <c r="B730" s="5"/>
      <c r="C730" s="5"/>
      <c r="D730" s="5"/>
      <c r="E730" s="5"/>
      <c r="F730" s="5"/>
      <c r="G730" s="5"/>
      <c r="H730" s="11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6" x14ac:dyDescent="0.3">
      <c r="A731" s="5"/>
      <c r="B731" s="5"/>
      <c r="C731" s="5"/>
      <c r="D731" s="5"/>
      <c r="E731" s="5"/>
      <c r="F731" s="5"/>
      <c r="G731" s="5"/>
      <c r="H731" s="11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6" x14ac:dyDescent="0.3">
      <c r="A732" s="5"/>
      <c r="B732" s="5"/>
      <c r="C732" s="5"/>
      <c r="D732" s="5"/>
      <c r="E732" s="5"/>
      <c r="F732" s="5"/>
      <c r="G732" s="5"/>
      <c r="H732" s="11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6" x14ac:dyDescent="0.3">
      <c r="A733" s="5"/>
      <c r="B733" s="5"/>
      <c r="C733" s="5"/>
      <c r="D733" s="5"/>
      <c r="E733" s="5"/>
      <c r="F733" s="5"/>
      <c r="G733" s="5"/>
      <c r="H733" s="11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6" x14ac:dyDescent="0.3">
      <c r="A734" s="5"/>
      <c r="B734" s="5"/>
      <c r="C734" s="5"/>
      <c r="D734" s="5"/>
      <c r="E734" s="5"/>
      <c r="F734" s="5"/>
      <c r="G734" s="5"/>
      <c r="H734" s="11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6" x14ac:dyDescent="0.3">
      <c r="A735" s="5"/>
      <c r="B735" s="5"/>
      <c r="C735" s="5"/>
      <c r="D735" s="5"/>
      <c r="E735" s="5"/>
      <c r="F735" s="5"/>
      <c r="G735" s="5"/>
      <c r="H735" s="11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6" x14ac:dyDescent="0.3">
      <c r="A736" s="5"/>
      <c r="B736" s="5"/>
      <c r="C736" s="5"/>
      <c r="D736" s="5"/>
      <c r="E736" s="5"/>
      <c r="F736" s="5"/>
      <c r="G736" s="5"/>
      <c r="H736" s="11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6" x14ac:dyDescent="0.3">
      <c r="A737" s="5"/>
      <c r="B737" s="5"/>
      <c r="C737" s="5"/>
      <c r="D737" s="5"/>
      <c r="E737" s="5"/>
      <c r="F737" s="5"/>
      <c r="G737" s="5"/>
      <c r="H737" s="11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6" x14ac:dyDescent="0.3">
      <c r="A738" s="5"/>
      <c r="B738" s="5"/>
      <c r="C738" s="5"/>
      <c r="D738" s="5"/>
      <c r="E738" s="5"/>
      <c r="F738" s="5"/>
      <c r="G738" s="5"/>
      <c r="H738" s="11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6" x14ac:dyDescent="0.3">
      <c r="A739" s="5"/>
      <c r="B739" s="5"/>
      <c r="C739" s="5"/>
      <c r="D739" s="5"/>
      <c r="E739" s="5"/>
      <c r="F739" s="5"/>
      <c r="G739" s="5"/>
      <c r="H739" s="11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6" x14ac:dyDescent="0.3">
      <c r="A740" s="5"/>
      <c r="B740" s="5"/>
      <c r="C740" s="5"/>
      <c r="D740" s="5"/>
      <c r="E740" s="5"/>
      <c r="F740" s="5"/>
      <c r="G740" s="5"/>
      <c r="H740" s="11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6" x14ac:dyDescent="0.3">
      <c r="A741" s="5"/>
      <c r="B741" s="5"/>
      <c r="C741" s="5"/>
      <c r="D741" s="5"/>
      <c r="E741" s="5"/>
      <c r="F741" s="5"/>
      <c r="G741" s="5"/>
      <c r="H741" s="11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6" x14ac:dyDescent="0.3">
      <c r="A742" s="5"/>
      <c r="B742" s="5"/>
      <c r="C742" s="5"/>
      <c r="D742" s="5"/>
      <c r="E742" s="5"/>
      <c r="F742" s="5"/>
      <c r="G742" s="5"/>
      <c r="H742" s="11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6" x14ac:dyDescent="0.3">
      <c r="A743" s="5"/>
      <c r="B743" s="5"/>
      <c r="C743" s="5"/>
      <c r="D743" s="5"/>
      <c r="E743" s="5"/>
      <c r="F743" s="5"/>
      <c r="G743" s="5"/>
      <c r="H743" s="11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6" x14ac:dyDescent="0.3">
      <c r="A744" s="5"/>
      <c r="B744" s="5"/>
      <c r="C744" s="5"/>
      <c r="D744" s="5"/>
      <c r="E744" s="5"/>
      <c r="F744" s="5"/>
      <c r="G744" s="5"/>
      <c r="H744" s="11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6" x14ac:dyDescent="0.3">
      <c r="A745" s="5"/>
      <c r="B745" s="5"/>
      <c r="C745" s="5"/>
      <c r="D745" s="5"/>
      <c r="E745" s="5"/>
      <c r="F745" s="5"/>
      <c r="G745" s="5"/>
      <c r="H745" s="11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6" x14ac:dyDescent="0.3">
      <c r="A746" s="5"/>
      <c r="B746" s="5"/>
      <c r="C746" s="5"/>
      <c r="D746" s="5"/>
      <c r="E746" s="5"/>
      <c r="F746" s="5"/>
      <c r="G746" s="5"/>
      <c r="H746" s="11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6" x14ac:dyDescent="0.3">
      <c r="A747" s="5"/>
      <c r="B747" s="5"/>
      <c r="C747" s="5"/>
      <c r="D747" s="5"/>
      <c r="E747" s="5"/>
      <c r="F747" s="5"/>
      <c r="G747" s="5"/>
      <c r="H747" s="11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6" x14ac:dyDescent="0.3">
      <c r="A748" s="5"/>
      <c r="B748" s="5"/>
      <c r="C748" s="5"/>
      <c r="D748" s="5"/>
      <c r="E748" s="5"/>
      <c r="F748" s="5"/>
      <c r="G748" s="5"/>
      <c r="H748" s="11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6" x14ac:dyDescent="0.3">
      <c r="A749" s="5"/>
      <c r="B749" s="5"/>
      <c r="C749" s="5"/>
      <c r="D749" s="5"/>
      <c r="E749" s="5"/>
      <c r="F749" s="5"/>
      <c r="G749" s="5"/>
      <c r="H749" s="11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6" x14ac:dyDescent="0.3">
      <c r="A750" s="5"/>
      <c r="B750" s="5"/>
      <c r="C750" s="5"/>
      <c r="D750" s="5"/>
      <c r="E750" s="5"/>
      <c r="F750" s="5"/>
      <c r="G750" s="5"/>
      <c r="H750" s="11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6" x14ac:dyDescent="0.3">
      <c r="A751" s="5"/>
      <c r="B751" s="5"/>
      <c r="C751" s="5"/>
      <c r="D751" s="5"/>
      <c r="E751" s="5"/>
      <c r="F751" s="5"/>
      <c r="G751" s="5"/>
      <c r="H751" s="11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6" x14ac:dyDescent="0.3">
      <c r="A752" s="5"/>
      <c r="B752" s="5"/>
      <c r="C752" s="5"/>
      <c r="D752" s="5"/>
      <c r="E752" s="5"/>
      <c r="F752" s="5"/>
      <c r="G752" s="5"/>
      <c r="H752" s="11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6" x14ac:dyDescent="0.3">
      <c r="A753" s="5"/>
      <c r="B753" s="5"/>
      <c r="C753" s="5"/>
      <c r="D753" s="5"/>
      <c r="E753" s="5"/>
      <c r="F753" s="5"/>
      <c r="G753" s="5"/>
      <c r="H753" s="11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6" x14ac:dyDescent="0.3">
      <c r="A754" s="5"/>
      <c r="B754" s="5"/>
      <c r="C754" s="5"/>
      <c r="D754" s="5"/>
      <c r="E754" s="5"/>
      <c r="F754" s="5"/>
      <c r="G754" s="5"/>
      <c r="H754" s="11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6" x14ac:dyDescent="0.3">
      <c r="A755" s="5"/>
      <c r="B755" s="5"/>
      <c r="C755" s="5"/>
      <c r="D755" s="5"/>
      <c r="E755" s="5"/>
      <c r="F755" s="5"/>
      <c r="G755" s="5"/>
      <c r="H755" s="11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6" x14ac:dyDescent="0.3">
      <c r="A756" s="5"/>
      <c r="B756" s="5"/>
      <c r="C756" s="5"/>
      <c r="D756" s="5"/>
      <c r="E756" s="5"/>
      <c r="F756" s="5"/>
      <c r="G756" s="5"/>
      <c r="H756" s="11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6" x14ac:dyDescent="0.3">
      <c r="A757" s="5"/>
      <c r="B757" s="5"/>
      <c r="C757" s="5"/>
      <c r="D757" s="5"/>
      <c r="E757" s="5"/>
      <c r="F757" s="5"/>
      <c r="G757" s="5"/>
      <c r="H757" s="11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6" x14ac:dyDescent="0.3">
      <c r="A758" s="5"/>
      <c r="B758" s="5"/>
      <c r="C758" s="5"/>
      <c r="D758" s="5"/>
      <c r="E758" s="5"/>
      <c r="F758" s="5"/>
      <c r="G758" s="5"/>
      <c r="H758" s="11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6" x14ac:dyDescent="0.3">
      <c r="A759" s="5"/>
      <c r="B759" s="5"/>
      <c r="C759" s="5"/>
      <c r="D759" s="5"/>
      <c r="E759" s="5"/>
      <c r="F759" s="5"/>
      <c r="G759" s="5"/>
      <c r="H759" s="11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6" x14ac:dyDescent="0.3">
      <c r="A760" s="5"/>
      <c r="B760" s="5"/>
      <c r="C760" s="5"/>
      <c r="D760" s="5"/>
      <c r="E760" s="5"/>
      <c r="F760" s="5"/>
      <c r="G760" s="5"/>
      <c r="H760" s="11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6" x14ac:dyDescent="0.3">
      <c r="A761" s="5"/>
      <c r="B761" s="5"/>
      <c r="C761" s="5"/>
      <c r="D761" s="5"/>
      <c r="E761" s="5"/>
      <c r="F761" s="5"/>
      <c r="G761" s="5"/>
      <c r="H761" s="11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6" x14ac:dyDescent="0.3">
      <c r="A762" s="5"/>
      <c r="B762" s="5"/>
      <c r="C762" s="5"/>
      <c r="D762" s="5"/>
      <c r="E762" s="5"/>
      <c r="F762" s="5"/>
      <c r="G762" s="5"/>
      <c r="H762" s="11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6" x14ac:dyDescent="0.3">
      <c r="A763" s="5"/>
      <c r="B763" s="5"/>
      <c r="C763" s="5"/>
      <c r="D763" s="5"/>
      <c r="E763" s="5"/>
      <c r="F763" s="5"/>
      <c r="G763" s="5"/>
      <c r="H763" s="11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6" x14ac:dyDescent="0.3">
      <c r="A764" s="5"/>
      <c r="B764" s="5"/>
      <c r="C764" s="5"/>
      <c r="D764" s="5"/>
      <c r="E764" s="5"/>
      <c r="F764" s="5"/>
      <c r="G764" s="5"/>
      <c r="H764" s="11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6" x14ac:dyDescent="0.3">
      <c r="A765" s="5"/>
      <c r="B765" s="5"/>
      <c r="C765" s="5"/>
      <c r="D765" s="5"/>
      <c r="E765" s="5"/>
      <c r="F765" s="5"/>
      <c r="G765" s="5"/>
      <c r="H765" s="11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6" x14ac:dyDescent="0.3">
      <c r="A766" s="5"/>
      <c r="B766" s="5"/>
      <c r="C766" s="5"/>
      <c r="D766" s="5"/>
      <c r="E766" s="5"/>
      <c r="F766" s="5"/>
      <c r="G766" s="5"/>
      <c r="H766" s="11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6" x14ac:dyDescent="0.3">
      <c r="A767" s="5"/>
      <c r="B767" s="5"/>
      <c r="C767" s="5"/>
      <c r="D767" s="5"/>
      <c r="E767" s="5"/>
      <c r="F767" s="5"/>
      <c r="G767" s="5"/>
      <c r="H767" s="11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6" x14ac:dyDescent="0.3">
      <c r="A768" s="5"/>
      <c r="B768" s="5"/>
      <c r="C768" s="5"/>
      <c r="D768" s="5"/>
      <c r="E768" s="5"/>
      <c r="F768" s="5"/>
      <c r="G768" s="5"/>
      <c r="H768" s="11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6" x14ac:dyDescent="0.3">
      <c r="A769" s="5"/>
      <c r="B769" s="5"/>
      <c r="C769" s="5"/>
      <c r="D769" s="5"/>
      <c r="E769" s="5"/>
      <c r="F769" s="5"/>
      <c r="G769" s="5"/>
      <c r="H769" s="11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6" x14ac:dyDescent="0.3">
      <c r="A770" s="5"/>
      <c r="B770" s="5"/>
      <c r="C770" s="5"/>
      <c r="D770" s="5"/>
      <c r="E770" s="5"/>
      <c r="F770" s="5"/>
      <c r="G770" s="5"/>
      <c r="H770" s="11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6" x14ac:dyDescent="0.3">
      <c r="A771" s="5"/>
      <c r="B771" s="5"/>
      <c r="C771" s="5"/>
      <c r="D771" s="5"/>
      <c r="E771" s="5"/>
      <c r="F771" s="5"/>
      <c r="G771" s="5"/>
      <c r="H771" s="11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6" x14ac:dyDescent="0.3">
      <c r="A772" s="5"/>
      <c r="B772" s="5"/>
      <c r="C772" s="5"/>
      <c r="D772" s="5"/>
      <c r="E772" s="5"/>
      <c r="F772" s="5"/>
      <c r="G772" s="5"/>
      <c r="H772" s="11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6" x14ac:dyDescent="0.3">
      <c r="A773" s="5"/>
      <c r="B773" s="5"/>
      <c r="C773" s="5"/>
      <c r="D773" s="5"/>
      <c r="E773" s="5"/>
      <c r="F773" s="5"/>
      <c r="G773" s="5"/>
      <c r="H773" s="11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6" x14ac:dyDescent="0.3">
      <c r="A774" s="5"/>
      <c r="B774" s="5"/>
      <c r="C774" s="5"/>
      <c r="D774" s="5"/>
      <c r="E774" s="5"/>
      <c r="F774" s="5"/>
      <c r="G774" s="5"/>
      <c r="H774" s="11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6" x14ac:dyDescent="0.3">
      <c r="A775" s="5"/>
      <c r="B775" s="5"/>
      <c r="C775" s="5"/>
      <c r="D775" s="5"/>
      <c r="E775" s="5"/>
      <c r="F775" s="5"/>
      <c r="G775" s="5"/>
      <c r="H775" s="11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6" x14ac:dyDescent="0.3">
      <c r="A776" s="5"/>
      <c r="B776" s="5"/>
      <c r="C776" s="5"/>
      <c r="D776" s="5"/>
      <c r="E776" s="5"/>
      <c r="F776" s="5"/>
      <c r="G776" s="5"/>
      <c r="H776" s="11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6" x14ac:dyDescent="0.3">
      <c r="A777" s="5"/>
      <c r="B777" s="5"/>
      <c r="C777" s="5"/>
      <c r="D777" s="5"/>
      <c r="E777" s="5"/>
      <c r="F777" s="5"/>
      <c r="G777" s="5"/>
      <c r="H777" s="11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6" x14ac:dyDescent="0.3">
      <c r="A778" s="5"/>
      <c r="B778" s="5"/>
      <c r="C778" s="5"/>
      <c r="D778" s="5"/>
      <c r="E778" s="5"/>
      <c r="F778" s="5"/>
      <c r="G778" s="5"/>
      <c r="H778" s="11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6" x14ac:dyDescent="0.3">
      <c r="A779" s="5"/>
      <c r="B779" s="5"/>
      <c r="C779" s="5"/>
      <c r="D779" s="5"/>
      <c r="E779" s="5"/>
      <c r="F779" s="5"/>
      <c r="G779" s="5"/>
      <c r="H779" s="11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6" x14ac:dyDescent="0.3">
      <c r="A780" s="5"/>
      <c r="B780" s="5"/>
      <c r="C780" s="5"/>
      <c r="D780" s="5"/>
      <c r="E780" s="5"/>
      <c r="F780" s="5"/>
      <c r="G780" s="5"/>
      <c r="H780" s="11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6" x14ac:dyDescent="0.3">
      <c r="A781" s="5"/>
      <c r="B781" s="5"/>
      <c r="C781" s="5"/>
      <c r="D781" s="5"/>
      <c r="E781" s="5"/>
      <c r="F781" s="5"/>
      <c r="G781" s="5"/>
      <c r="H781" s="11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6" x14ac:dyDescent="0.3">
      <c r="A782" s="5"/>
      <c r="B782" s="5"/>
      <c r="C782" s="5"/>
      <c r="D782" s="5"/>
      <c r="E782" s="5"/>
      <c r="F782" s="5"/>
      <c r="G782" s="5"/>
      <c r="H782" s="11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6" x14ac:dyDescent="0.3">
      <c r="A783" s="5"/>
      <c r="B783" s="5"/>
      <c r="C783" s="5"/>
      <c r="D783" s="5"/>
      <c r="E783" s="5"/>
      <c r="F783" s="5"/>
      <c r="G783" s="5"/>
      <c r="H783" s="11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6" x14ac:dyDescent="0.3">
      <c r="A784" s="5"/>
      <c r="B784" s="5"/>
      <c r="C784" s="5"/>
      <c r="D784" s="5"/>
      <c r="E784" s="5"/>
      <c r="F784" s="5"/>
      <c r="G784" s="5"/>
      <c r="H784" s="11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6" x14ac:dyDescent="0.3">
      <c r="A785" s="5"/>
      <c r="B785" s="5"/>
      <c r="C785" s="5"/>
      <c r="D785" s="5"/>
      <c r="E785" s="5"/>
      <c r="F785" s="5"/>
      <c r="G785" s="5"/>
      <c r="H785" s="11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6" x14ac:dyDescent="0.3">
      <c r="A786" s="5"/>
      <c r="B786" s="5"/>
      <c r="C786" s="5"/>
      <c r="D786" s="5"/>
      <c r="E786" s="5"/>
      <c r="F786" s="5"/>
      <c r="G786" s="5"/>
      <c r="H786" s="11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6" x14ac:dyDescent="0.3">
      <c r="A787" s="5"/>
      <c r="B787" s="5"/>
      <c r="C787" s="5"/>
      <c r="D787" s="5"/>
      <c r="E787" s="5"/>
      <c r="F787" s="5"/>
      <c r="G787" s="5"/>
      <c r="H787" s="11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6" x14ac:dyDescent="0.3">
      <c r="A788" s="5"/>
      <c r="B788" s="5"/>
      <c r="C788" s="5"/>
      <c r="D788" s="5"/>
      <c r="E788" s="5"/>
      <c r="F788" s="5"/>
      <c r="G788" s="5"/>
      <c r="H788" s="11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6" x14ac:dyDescent="0.3">
      <c r="A789" s="5"/>
      <c r="B789" s="5"/>
      <c r="C789" s="5"/>
      <c r="D789" s="5"/>
      <c r="E789" s="5"/>
      <c r="F789" s="5"/>
      <c r="G789" s="5"/>
      <c r="H789" s="11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6" x14ac:dyDescent="0.3">
      <c r="A790" s="5"/>
      <c r="B790" s="5"/>
      <c r="C790" s="5"/>
      <c r="D790" s="5"/>
      <c r="E790" s="5"/>
      <c r="F790" s="5"/>
      <c r="G790" s="5"/>
      <c r="H790" s="11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6" x14ac:dyDescent="0.3">
      <c r="A791" s="5"/>
      <c r="B791" s="5"/>
      <c r="C791" s="5"/>
      <c r="D791" s="5"/>
      <c r="E791" s="5"/>
      <c r="F791" s="5"/>
      <c r="G791" s="5"/>
      <c r="H791" s="11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6" x14ac:dyDescent="0.3">
      <c r="A792" s="5"/>
      <c r="B792" s="5"/>
      <c r="C792" s="5"/>
      <c r="D792" s="5"/>
      <c r="E792" s="5"/>
      <c r="F792" s="5"/>
      <c r="G792" s="5"/>
      <c r="H792" s="11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6" x14ac:dyDescent="0.3">
      <c r="A793" s="5"/>
      <c r="B793" s="5"/>
      <c r="C793" s="5"/>
      <c r="D793" s="5"/>
      <c r="E793" s="5"/>
      <c r="F793" s="5"/>
      <c r="G793" s="5"/>
      <c r="H793" s="11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6" x14ac:dyDescent="0.3">
      <c r="A794" s="5"/>
      <c r="B794" s="5"/>
      <c r="C794" s="5"/>
      <c r="D794" s="5"/>
      <c r="E794" s="5"/>
      <c r="F794" s="5"/>
      <c r="G794" s="5"/>
      <c r="H794" s="11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6" x14ac:dyDescent="0.3">
      <c r="A795" s="5"/>
      <c r="B795" s="5"/>
      <c r="C795" s="5"/>
      <c r="D795" s="5"/>
      <c r="E795" s="5"/>
      <c r="F795" s="5"/>
      <c r="G795" s="5"/>
      <c r="H795" s="11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6" x14ac:dyDescent="0.3">
      <c r="A796" s="5"/>
      <c r="B796" s="5"/>
      <c r="C796" s="5"/>
      <c r="D796" s="5"/>
      <c r="E796" s="5"/>
      <c r="F796" s="5"/>
      <c r="G796" s="5"/>
      <c r="H796" s="11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6" x14ac:dyDescent="0.3">
      <c r="A797" s="5"/>
      <c r="B797" s="5"/>
      <c r="C797" s="5"/>
      <c r="D797" s="5"/>
      <c r="E797" s="5"/>
      <c r="F797" s="5"/>
      <c r="G797" s="5"/>
      <c r="H797" s="11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6" x14ac:dyDescent="0.3">
      <c r="A798" s="5"/>
      <c r="B798" s="5"/>
      <c r="C798" s="5"/>
      <c r="D798" s="5"/>
      <c r="E798" s="5"/>
      <c r="F798" s="5"/>
      <c r="G798" s="5"/>
      <c r="H798" s="11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6" x14ac:dyDescent="0.3">
      <c r="A799" s="5"/>
      <c r="B799" s="5"/>
      <c r="C799" s="5"/>
      <c r="D799" s="5"/>
      <c r="E799" s="5"/>
      <c r="F799" s="5"/>
      <c r="G799" s="5"/>
      <c r="H799" s="11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6" x14ac:dyDescent="0.3">
      <c r="A800" s="5"/>
      <c r="B800" s="5"/>
      <c r="C800" s="5"/>
      <c r="D800" s="5"/>
      <c r="E800" s="5"/>
      <c r="F800" s="5"/>
      <c r="G800" s="5"/>
      <c r="H800" s="11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6" x14ac:dyDescent="0.3">
      <c r="A801" s="5"/>
      <c r="B801" s="5"/>
      <c r="C801" s="5"/>
      <c r="D801" s="5"/>
      <c r="E801" s="5"/>
      <c r="F801" s="5"/>
      <c r="G801" s="5"/>
      <c r="H801" s="11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6" x14ac:dyDescent="0.3">
      <c r="A802" s="5"/>
      <c r="B802" s="5"/>
      <c r="C802" s="5"/>
      <c r="D802" s="5"/>
      <c r="E802" s="5"/>
      <c r="F802" s="5"/>
      <c r="G802" s="5"/>
      <c r="H802" s="11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6" x14ac:dyDescent="0.3">
      <c r="A803" s="5"/>
      <c r="B803" s="5"/>
      <c r="C803" s="5"/>
      <c r="D803" s="5"/>
      <c r="E803" s="5"/>
      <c r="F803" s="5"/>
      <c r="G803" s="5"/>
      <c r="H803" s="11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6" x14ac:dyDescent="0.3">
      <c r="A804" s="5"/>
      <c r="B804" s="5"/>
      <c r="C804" s="5"/>
      <c r="D804" s="5"/>
      <c r="E804" s="5"/>
      <c r="F804" s="5"/>
      <c r="G804" s="5"/>
      <c r="H804" s="11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6" x14ac:dyDescent="0.3">
      <c r="A805" s="5"/>
      <c r="B805" s="5"/>
      <c r="C805" s="5"/>
      <c r="D805" s="5"/>
      <c r="E805" s="5"/>
      <c r="F805" s="5"/>
      <c r="G805" s="5"/>
      <c r="H805" s="11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6" x14ac:dyDescent="0.3">
      <c r="A806" s="5"/>
      <c r="B806" s="5"/>
      <c r="C806" s="5"/>
      <c r="D806" s="5"/>
      <c r="E806" s="5"/>
      <c r="F806" s="5"/>
      <c r="G806" s="5"/>
      <c r="H806" s="11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6" x14ac:dyDescent="0.3">
      <c r="A807" s="5"/>
      <c r="B807" s="5"/>
      <c r="C807" s="5"/>
      <c r="D807" s="5"/>
      <c r="E807" s="5"/>
      <c r="F807" s="5"/>
      <c r="G807" s="5"/>
      <c r="H807" s="11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6" x14ac:dyDescent="0.3">
      <c r="A808" s="5"/>
      <c r="B808" s="5"/>
      <c r="C808" s="5"/>
      <c r="D808" s="5"/>
      <c r="E808" s="5"/>
      <c r="F808" s="5"/>
      <c r="G808" s="5"/>
      <c r="H808" s="11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6" x14ac:dyDescent="0.3">
      <c r="A809" s="5"/>
      <c r="B809" s="5"/>
      <c r="C809" s="5"/>
      <c r="D809" s="5"/>
      <c r="E809" s="5"/>
      <c r="F809" s="5"/>
      <c r="G809" s="5"/>
      <c r="H809" s="11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6" x14ac:dyDescent="0.3">
      <c r="A810" s="5"/>
      <c r="B810" s="5"/>
      <c r="C810" s="5"/>
      <c r="D810" s="5"/>
      <c r="E810" s="5"/>
      <c r="F810" s="5"/>
      <c r="G810" s="5"/>
      <c r="H810" s="11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6" x14ac:dyDescent="0.3">
      <c r="A811" s="5"/>
      <c r="B811" s="5"/>
      <c r="C811" s="5"/>
      <c r="D811" s="5"/>
      <c r="E811" s="5"/>
      <c r="F811" s="5"/>
      <c r="G811" s="5"/>
      <c r="H811" s="11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6" x14ac:dyDescent="0.3">
      <c r="A812" s="5"/>
      <c r="B812" s="5"/>
      <c r="C812" s="5"/>
      <c r="D812" s="5"/>
      <c r="E812" s="5"/>
      <c r="F812" s="5"/>
      <c r="G812" s="5"/>
      <c r="H812" s="11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6" x14ac:dyDescent="0.3">
      <c r="A813" s="5"/>
      <c r="B813" s="5"/>
      <c r="C813" s="5"/>
      <c r="D813" s="5"/>
      <c r="E813" s="5"/>
      <c r="F813" s="5"/>
      <c r="G813" s="5"/>
      <c r="H813" s="11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6" x14ac:dyDescent="0.3">
      <c r="A814" s="5"/>
      <c r="B814" s="5"/>
      <c r="C814" s="5"/>
      <c r="D814" s="5"/>
      <c r="E814" s="5"/>
      <c r="F814" s="5"/>
      <c r="G814" s="5"/>
      <c r="H814" s="11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6" x14ac:dyDescent="0.3">
      <c r="A815" s="5"/>
      <c r="B815" s="5"/>
      <c r="C815" s="5"/>
      <c r="D815" s="5"/>
      <c r="E815" s="5"/>
      <c r="F815" s="5"/>
      <c r="G815" s="5"/>
      <c r="H815" s="11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6" x14ac:dyDescent="0.3">
      <c r="A816" s="5"/>
      <c r="B816" s="5"/>
      <c r="C816" s="5"/>
      <c r="D816" s="5"/>
      <c r="E816" s="5"/>
      <c r="F816" s="5"/>
      <c r="G816" s="5"/>
      <c r="H816" s="11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6" x14ac:dyDescent="0.3">
      <c r="A817" s="5"/>
      <c r="B817" s="5"/>
      <c r="C817" s="5"/>
      <c r="D817" s="5"/>
      <c r="E817" s="5"/>
      <c r="F817" s="5"/>
      <c r="G817" s="5"/>
      <c r="H817" s="11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6" x14ac:dyDescent="0.3">
      <c r="A818" s="5"/>
      <c r="B818" s="5"/>
      <c r="C818" s="5"/>
      <c r="D818" s="5"/>
      <c r="E818" s="5"/>
      <c r="F818" s="5"/>
      <c r="G818" s="5"/>
      <c r="H818" s="11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6" x14ac:dyDescent="0.3">
      <c r="A819" s="5"/>
      <c r="B819" s="5"/>
      <c r="C819" s="5"/>
      <c r="D819" s="5"/>
      <c r="E819" s="5"/>
      <c r="F819" s="5"/>
      <c r="G819" s="5"/>
      <c r="H819" s="11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6" x14ac:dyDescent="0.3">
      <c r="A820" s="5"/>
      <c r="B820" s="5"/>
      <c r="C820" s="5"/>
      <c r="D820" s="5"/>
      <c r="E820" s="5"/>
      <c r="F820" s="5"/>
      <c r="G820" s="5"/>
      <c r="H820" s="11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6" x14ac:dyDescent="0.3">
      <c r="A821" s="5"/>
      <c r="B821" s="5"/>
      <c r="C821" s="5"/>
      <c r="D821" s="5"/>
      <c r="E821" s="5"/>
      <c r="F821" s="5"/>
      <c r="G821" s="5"/>
      <c r="H821" s="11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6" x14ac:dyDescent="0.3">
      <c r="A822" s="5"/>
      <c r="B822" s="5"/>
      <c r="C822" s="5"/>
      <c r="D822" s="5"/>
      <c r="E822" s="5"/>
      <c r="F822" s="5"/>
      <c r="G822" s="5"/>
      <c r="H822" s="11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6" x14ac:dyDescent="0.3">
      <c r="A823" s="5"/>
      <c r="B823" s="5"/>
      <c r="C823" s="5"/>
      <c r="D823" s="5"/>
      <c r="E823" s="5"/>
      <c r="F823" s="5"/>
      <c r="G823" s="5"/>
      <c r="H823" s="11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6" x14ac:dyDescent="0.3">
      <c r="A824" s="5"/>
      <c r="B824" s="5"/>
      <c r="C824" s="5"/>
      <c r="D824" s="5"/>
      <c r="E824" s="5"/>
      <c r="F824" s="5"/>
      <c r="G824" s="5"/>
      <c r="H824" s="11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6" x14ac:dyDescent="0.3">
      <c r="A825" s="5"/>
      <c r="B825" s="5"/>
      <c r="C825" s="5"/>
      <c r="D825" s="5"/>
      <c r="E825" s="5"/>
      <c r="F825" s="5"/>
      <c r="G825" s="5"/>
      <c r="H825" s="11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6" x14ac:dyDescent="0.3">
      <c r="A826" s="5"/>
      <c r="B826" s="5"/>
      <c r="C826" s="5"/>
      <c r="D826" s="5"/>
      <c r="E826" s="5"/>
      <c r="F826" s="5"/>
      <c r="G826" s="5"/>
      <c r="H826" s="11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6" x14ac:dyDescent="0.3">
      <c r="A827" s="5"/>
      <c r="B827" s="5"/>
      <c r="C827" s="5"/>
      <c r="D827" s="5"/>
      <c r="E827" s="5"/>
      <c r="F827" s="5"/>
      <c r="G827" s="5"/>
      <c r="H827" s="11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6" x14ac:dyDescent="0.3">
      <c r="A828" s="5"/>
      <c r="B828" s="5"/>
      <c r="C828" s="5"/>
      <c r="D828" s="5"/>
      <c r="E828" s="5"/>
      <c r="F828" s="5"/>
      <c r="G828" s="5"/>
      <c r="H828" s="11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6" x14ac:dyDescent="0.3">
      <c r="A829" s="5"/>
      <c r="B829" s="5"/>
      <c r="C829" s="5"/>
      <c r="D829" s="5"/>
      <c r="E829" s="5"/>
      <c r="F829" s="5"/>
      <c r="G829" s="5"/>
      <c r="H829" s="11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6" x14ac:dyDescent="0.3">
      <c r="A830" s="5"/>
      <c r="B830" s="5"/>
      <c r="C830" s="5"/>
      <c r="D830" s="5"/>
      <c r="E830" s="5"/>
      <c r="F830" s="5"/>
      <c r="G830" s="5"/>
      <c r="H830" s="11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6" x14ac:dyDescent="0.3">
      <c r="A831" s="5"/>
      <c r="B831" s="5"/>
      <c r="C831" s="5"/>
      <c r="D831" s="5"/>
      <c r="E831" s="5"/>
      <c r="F831" s="5"/>
      <c r="G831" s="5"/>
      <c r="H831" s="11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6" x14ac:dyDescent="0.3">
      <c r="A832" s="5"/>
      <c r="B832" s="5"/>
      <c r="C832" s="5"/>
      <c r="D832" s="5"/>
      <c r="E832" s="5"/>
      <c r="F832" s="5"/>
      <c r="G832" s="5"/>
      <c r="H832" s="11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6" x14ac:dyDescent="0.3">
      <c r="A833" s="5"/>
      <c r="B833" s="5"/>
      <c r="C833" s="5"/>
      <c r="D833" s="5"/>
      <c r="E833" s="5"/>
      <c r="F833" s="5"/>
      <c r="G833" s="5"/>
      <c r="H833" s="11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6" x14ac:dyDescent="0.3">
      <c r="A834" s="5"/>
      <c r="B834" s="5"/>
      <c r="C834" s="5"/>
      <c r="D834" s="5"/>
      <c r="E834" s="5"/>
      <c r="F834" s="5"/>
      <c r="G834" s="5"/>
      <c r="H834" s="11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6" x14ac:dyDescent="0.3">
      <c r="A835" s="5"/>
      <c r="B835" s="5"/>
      <c r="C835" s="5"/>
      <c r="D835" s="5"/>
      <c r="E835" s="5"/>
      <c r="F835" s="5"/>
      <c r="G835" s="5"/>
      <c r="H835" s="11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6" x14ac:dyDescent="0.3">
      <c r="A836" s="5"/>
      <c r="B836" s="5"/>
      <c r="C836" s="5"/>
      <c r="D836" s="5"/>
      <c r="E836" s="5"/>
      <c r="F836" s="5"/>
      <c r="G836" s="5"/>
      <c r="H836" s="11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6" x14ac:dyDescent="0.3">
      <c r="A837" s="5"/>
      <c r="B837" s="5"/>
      <c r="C837" s="5"/>
      <c r="D837" s="5"/>
      <c r="E837" s="5"/>
      <c r="F837" s="5"/>
      <c r="G837" s="5"/>
      <c r="H837" s="11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6" x14ac:dyDescent="0.3">
      <c r="A838" s="5"/>
      <c r="B838" s="5"/>
      <c r="C838" s="5"/>
      <c r="D838" s="5"/>
      <c r="E838" s="5"/>
      <c r="F838" s="5"/>
      <c r="G838" s="5"/>
      <c r="H838" s="11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6" x14ac:dyDescent="0.3">
      <c r="A839" s="5"/>
      <c r="B839" s="5"/>
      <c r="C839" s="5"/>
      <c r="D839" s="5"/>
      <c r="E839" s="5"/>
      <c r="F839" s="5"/>
      <c r="G839" s="5"/>
      <c r="H839" s="11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6" x14ac:dyDescent="0.3">
      <c r="A840" s="5"/>
      <c r="B840" s="5"/>
      <c r="C840" s="5"/>
      <c r="D840" s="5"/>
      <c r="E840" s="5"/>
      <c r="F840" s="5"/>
      <c r="G840" s="5"/>
      <c r="H840" s="11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6" x14ac:dyDescent="0.3">
      <c r="A841" s="5"/>
      <c r="B841" s="5"/>
      <c r="C841" s="5"/>
      <c r="D841" s="5"/>
      <c r="E841" s="5"/>
      <c r="F841" s="5"/>
      <c r="G841" s="5"/>
      <c r="H841" s="11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6" x14ac:dyDescent="0.3">
      <c r="A842" s="5"/>
      <c r="B842" s="5"/>
      <c r="C842" s="5"/>
      <c r="D842" s="5"/>
      <c r="E842" s="5"/>
      <c r="F842" s="5"/>
      <c r="G842" s="5"/>
      <c r="H842" s="11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6" x14ac:dyDescent="0.3">
      <c r="A843" s="5"/>
      <c r="B843" s="5"/>
      <c r="C843" s="5"/>
      <c r="D843" s="5"/>
      <c r="E843" s="5"/>
      <c r="F843" s="5"/>
      <c r="G843" s="5"/>
      <c r="H843" s="11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6" x14ac:dyDescent="0.3">
      <c r="A844" s="5"/>
      <c r="B844" s="5"/>
      <c r="C844" s="5"/>
      <c r="D844" s="5"/>
      <c r="E844" s="5"/>
      <c r="F844" s="5"/>
      <c r="G844" s="5"/>
      <c r="H844" s="11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6" x14ac:dyDescent="0.3">
      <c r="A845" s="5"/>
      <c r="B845" s="5"/>
      <c r="C845" s="5"/>
      <c r="D845" s="5"/>
      <c r="E845" s="5"/>
      <c r="F845" s="5"/>
      <c r="G845" s="5"/>
      <c r="H845" s="11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6" x14ac:dyDescent="0.3">
      <c r="A846" s="5"/>
      <c r="B846" s="5"/>
      <c r="C846" s="5"/>
      <c r="D846" s="5"/>
      <c r="E846" s="5"/>
      <c r="F846" s="5"/>
      <c r="G846" s="5"/>
      <c r="H846" s="11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6" x14ac:dyDescent="0.3">
      <c r="A847" s="5"/>
      <c r="B847" s="5"/>
      <c r="C847" s="5"/>
      <c r="D847" s="5"/>
      <c r="E847" s="5"/>
      <c r="F847" s="5"/>
      <c r="G847" s="5"/>
      <c r="H847" s="11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6" x14ac:dyDescent="0.3">
      <c r="A848" s="5"/>
      <c r="B848" s="5"/>
      <c r="C848" s="5"/>
      <c r="D848" s="5"/>
      <c r="E848" s="5"/>
      <c r="F848" s="5"/>
      <c r="G848" s="5"/>
      <c r="H848" s="11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6" x14ac:dyDescent="0.3">
      <c r="A849" s="5"/>
      <c r="B849" s="5"/>
      <c r="C849" s="5"/>
      <c r="D849" s="5"/>
      <c r="E849" s="5"/>
      <c r="F849" s="5"/>
      <c r="G849" s="5"/>
      <c r="H849" s="11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6" x14ac:dyDescent="0.3">
      <c r="A850" s="5"/>
      <c r="B850" s="5"/>
      <c r="C850" s="5"/>
      <c r="D850" s="5"/>
      <c r="E850" s="5"/>
      <c r="F850" s="5"/>
      <c r="G850" s="5"/>
      <c r="H850" s="11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6" x14ac:dyDescent="0.3">
      <c r="A851" s="5"/>
      <c r="B851" s="5"/>
      <c r="C851" s="5"/>
      <c r="D851" s="5"/>
      <c r="E851" s="5"/>
      <c r="F851" s="5"/>
      <c r="G851" s="5"/>
      <c r="H851" s="11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6" x14ac:dyDescent="0.3">
      <c r="A852" s="5"/>
      <c r="B852" s="5"/>
      <c r="C852" s="5"/>
      <c r="D852" s="5"/>
      <c r="E852" s="5"/>
      <c r="F852" s="5"/>
      <c r="G852" s="5"/>
      <c r="H852" s="11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6" x14ac:dyDescent="0.3">
      <c r="A853" s="5"/>
      <c r="B853" s="5"/>
      <c r="C853" s="5"/>
      <c r="D853" s="5"/>
      <c r="E853" s="5"/>
      <c r="F853" s="5"/>
      <c r="G853" s="5"/>
      <c r="H853" s="11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6" x14ac:dyDescent="0.3">
      <c r="A854" s="5"/>
      <c r="B854" s="5"/>
      <c r="C854" s="5"/>
      <c r="D854" s="5"/>
      <c r="E854" s="5"/>
      <c r="F854" s="5"/>
      <c r="G854" s="5"/>
      <c r="H854" s="11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6" x14ac:dyDescent="0.3">
      <c r="A855" s="5"/>
      <c r="B855" s="5"/>
      <c r="C855" s="5"/>
      <c r="D855" s="5"/>
      <c r="E855" s="5"/>
      <c r="F855" s="5"/>
      <c r="G855" s="5"/>
      <c r="H855" s="11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6" x14ac:dyDescent="0.3">
      <c r="A856" s="5"/>
      <c r="B856" s="5"/>
      <c r="C856" s="5"/>
      <c r="D856" s="5"/>
      <c r="E856" s="5"/>
      <c r="F856" s="5"/>
      <c r="G856" s="5"/>
      <c r="H856" s="11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6" x14ac:dyDescent="0.3">
      <c r="A857" s="5"/>
      <c r="B857" s="5"/>
      <c r="C857" s="5"/>
      <c r="D857" s="5"/>
      <c r="E857" s="5"/>
      <c r="F857" s="5"/>
      <c r="G857" s="5"/>
      <c r="H857" s="11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6" x14ac:dyDescent="0.3">
      <c r="A858" s="5"/>
      <c r="B858" s="5"/>
      <c r="C858" s="5"/>
      <c r="D858" s="5"/>
      <c r="E858" s="5"/>
      <c r="F858" s="5"/>
      <c r="G858" s="5"/>
      <c r="H858" s="11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6" x14ac:dyDescent="0.3">
      <c r="A859" s="5"/>
      <c r="B859" s="5"/>
      <c r="C859" s="5"/>
      <c r="D859" s="5"/>
      <c r="E859" s="5"/>
      <c r="F859" s="5"/>
      <c r="G859" s="5"/>
      <c r="H859" s="11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6" x14ac:dyDescent="0.3">
      <c r="A860" s="5"/>
      <c r="B860" s="5"/>
      <c r="C860" s="5"/>
      <c r="D860" s="5"/>
      <c r="E860" s="5"/>
      <c r="F860" s="5"/>
      <c r="G860" s="5"/>
      <c r="H860" s="11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6" x14ac:dyDescent="0.3">
      <c r="A861" s="5"/>
      <c r="B861" s="5"/>
      <c r="C861" s="5"/>
      <c r="D861" s="5"/>
      <c r="E861" s="5"/>
      <c r="F861" s="5"/>
      <c r="G861" s="5"/>
      <c r="H861" s="11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6" x14ac:dyDescent="0.3">
      <c r="A862" s="5"/>
      <c r="B862" s="5"/>
      <c r="C862" s="5"/>
      <c r="D862" s="5"/>
      <c r="E862" s="5"/>
      <c r="F862" s="5"/>
      <c r="G862" s="5"/>
      <c r="H862" s="11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6" x14ac:dyDescent="0.3">
      <c r="A863" s="5"/>
      <c r="B863" s="5"/>
      <c r="C863" s="5"/>
      <c r="D863" s="5"/>
      <c r="E863" s="5"/>
      <c r="F863" s="5"/>
      <c r="G863" s="5"/>
      <c r="H863" s="11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6" x14ac:dyDescent="0.3">
      <c r="A864" s="5"/>
      <c r="B864" s="5"/>
      <c r="C864" s="5"/>
      <c r="D864" s="5"/>
      <c r="E864" s="5"/>
      <c r="F864" s="5"/>
      <c r="G864" s="5"/>
      <c r="H864" s="11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6" x14ac:dyDescent="0.3">
      <c r="A865" s="5"/>
      <c r="B865" s="5"/>
      <c r="C865" s="5"/>
      <c r="D865" s="5"/>
      <c r="E865" s="5"/>
      <c r="F865" s="5"/>
      <c r="G865" s="5"/>
      <c r="H865" s="11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6" x14ac:dyDescent="0.3">
      <c r="A866" s="5"/>
      <c r="B866" s="5"/>
      <c r="C866" s="5"/>
      <c r="D866" s="5"/>
      <c r="E866" s="5"/>
      <c r="F866" s="5"/>
      <c r="G866" s="5"/>
      <c r="H866" s="11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6" x14ac:dyDescent="0.3">
      <c r="A867" s="5"/>
      <c r="B867" s="5"/>
      <c r="C867" s="5"/>
      <c r="D867" s="5"/>
      <c r="E867" s="5"/>
      <c r="F867" s="5"/>
      <c r="G867" s="5"/>
      <c r="H867" s="11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6" x14ac:dyDescent="0.3">
      <c r="A868" s="5"/>
      <c r="B868" s="5"/>
      <c r="C868" s="5"/>
      <c r="D868" s="5"/>
      <c r="E868" s="5"/>
      <c r="F868" s="5"/>
      <c r="G868" s="5"/>
      <c r="H868" s="11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6" x14ac:dyDescent="0.3">
      <c r="A869" s="5"/>
      <c r="B869" s="5"/>
      <c r="C869" s="5"/>
      <c r="D869" s="5"/>
      <c r="E869" s="5"/>
      <c r="F869" s="5"/>
      <c r="G869" s="5"/>
      <c r="H869" s="11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6" x14ac:dyDescent="0.3">
      <c r="A870" s="5"/>
      <c r="B870" s="5"/>
      <c r="C870" s="5"/>
      <c r="D870" s="5"/>
      <c r="E870" s="5"/>
      <c r="F870" s="5"/>
      <c r="G870" s="5"/>
      <c r="H870" s="11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6" x14ac:dyDescent="0.3">
      <c r="A871" s="5"/>
      <c r="B871" s="5"/>
      <c r="C871" s="5"/>
      <c r="D871" s="5"/>
      <c r="E871" s="5"/>
      <c r="F871" s="5"/>
      <c r="G871" s="5"/>
      <c r="H871" s="11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6" x14ac:dyDescent="0.3">
      <c r="A872" s="5"/>
      <c r="B872" s="5"/>
      <c r="C872" s="5"/>
      <c r="D872" s="5"/>
      <c r="E872" s="5"/>
      <c r="F872" s="5"/>
      <c r="G872" s="5"/>
      <c r="H872" s="11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6" x14ac:dyDescent="0.3">
      <c r="A873" s="5"/>
      <c r="B873" s="5"/>
      <c r="C873" s="5"/>
      <c r="D873" s="5"/>
      <c r="E873" s="5"/>
      <c r="F873" s="5"/>
      <c r="G873" s="5"/>
      <c r="H873" s="11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6" x14ac:dyDescent="0.3">
      <c r="A874" s="5"/>
      <c r="B874" s="5"/>
      <c r="C874" s="5"/>
      <c r="D874" s="5"/>
      <c r="E874" s="5"/>
      <c r="F874" s="5"/>
      <c r="G874" s="5"/>
      <c r="H874" s="11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6" x14ac:dyDescent="0.3">
      <c r="A875" s="5"/>
      <c r="B875" s="5"/>
      <c r="C875" s="5"/>
      <c r="D875" s="5"/>
      <c r="E875" s="5"/>
      <c r="F875" s="5"/>
      <c r="G875" s="5"/>
      <c r="H875" s="11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6" x14ac:dyDescent="0.3">
      <c r="A876" s="5"/>
      <c r="B876" s="5"/>
      <c r="C876" s="5"/>
      <c r="D876" s="5"/>
      <c r="E876" s="5"/>
      <c r="F876" s="5"/>
      <c r="G876" s="5"/>
      <c r="H876" s="11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6" x14ac:dyDescent="0.3">
      <c r="A877" s="5"/>
      <c r="B877" s="5"/>
      <c r="C877" s="5"/>
      <c r="D877" s="5"/>
      <c r="E877" s="5"/>
      <c r="F877" s="5"/>
      <c r="G877" s="5"/>
      <c r="H877" s="11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6" x14ac:dyDescent="0.3">
      <c r="A878" s="5"/>
      <c r="B878" s="5"/>
      <c r="C878" s="5"/>
      <c r="D878" s="5"/>
      <c r="E878" s="5"/>
      <c r="F878" s="5"/>
      <c r="G878" s="5"/>
      <c r="H878" s="11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6" x14ac:dyDescent="0.3">
      <c r="A879" s="5"/>
      <c r="B879" s="5"/>
      <c r="C879" s="5"/>
      <c r="D879" s="5"/>
      <c r="E879" s="5"/>
      <c r="F879" s="5"/>
      <c r="G879" s="5"/>
      <c r="H879" s="11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6" x14ac:dyDescent="0.3">
      <c r="A880" s="5"/>
      <c r="B880" s="5"/>
      <c r="C880" s="5"/>
      <c r="D880" s="5"/>
      <c r="E880" s="5"/>
      <c r="F880" s="5"/>
      <c r="G880" s="5"/>
      <c r="H880" s="11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6" x14ac:dyDescent="0.3">
      <c r="A881" s="5"/>
      <c r="B881" s="5"/>
      <c r="C881" s="5"/>
      <c r="D881" s="5"/>
      <c r="E881" s="5"/>
      <c r="F881" s="5"/>
      <c r="G881" s="5"/>
      <c r="H881" s="11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6" x14ac:dyDescent="0.3">
      <c r="A882" s="5"/>
      <c r="B882" s="5"/>
      <c r="C882" s="5"/>
      <c r="D882" s="5"/>
      <c r="E882" s="5"/>
      <c r="F882" s="5"/>
      <c r="G882" s="5"/>
      <c r="H882" s="11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6" x14ac:dyDescent="0.3">
      <c r="A883" s="5"/>
      <c r="B883" s="5"/>
      <c r="C883" s="5"/>
      <c r="D883" s="5"/>
      <c r="E883" s="5"/>
      <c r="F883" s="5"/>
      <c r="G883" s="5"/>
      <c r="H883" s="11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6" x14ac:dyDescent="0.3">
      <c r="A884" s="5"/>
      <c r="B884" s="5"/>
      <c r="C884" s="5"/>
      <c r="D884" s="5"/>
      <c r="E884" s="5"/>
      <c r="F884" s="5"/>
      <c r="G884" s="5"/>
      <c r="H884" s="11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6" x14ac:dyDescent="0.3">
      <c r="A885" s="5"/>
      <c r="B885" s="5"/>
      <c r="C885" s="5"/>
      <c r="D885" s="5"/>
      <c r="E885" s="5"/>
      <c r="F885" s="5"/>
      <c r="G885" s="5"/>
      <c r="H885" s="11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6" x14ac:dyDescent="0.3">
      <c r="A886" s="5"/>
      <c r="B886" s="5"/>
      <c r="C886" s="5"/>
      <c r="D886" s="5"/>
      <c r="E886" s="5"/>
      <c r="F886" s="5"/>
      <c r="G886" s="5"/>
      <c r="H886" s="11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6" x14ac:dyDescent="0.3">
      <c r="A887" s="5"/>
      <c r="B887" s="5"/>
      <c r="C887" s="5"/>
      <c r="D887" s="5"/>
      <c r="E887" s="5"/>
      <c r="F887" s="5"/>
      <c r="G887" s="5"/>
      <c r="H887" s="11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6" x14ac:dyDescent="0.3">
      <c r="A888" s="5"/>
      <c r="B888" s="5"/>
      <c r="C888" s="5"/>
      <c r="D888" s="5"/>
      <c r="E888" s="5"/>
      <c r="F888" s="5"/>
      <c r="G888" s="5"/>
      <c r="H888" s="11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6" x14ac:dyDescent="0.3">
      <c r="A889" s="5"/>
      <c r="B889" s="5"/>
      <c r="C889" s="5"/>
      <c r="D889" s="5"/>
      <c r="E889" s="5"/>
      <c r="F889" s="5"/>
      <c r="G889" s="5"/>
      <c r="H889" s="11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6" x14ac:dyDescent="0.3">
      <c r="A890" s="5"/>
      <c r="B890" s="5"/>
      <c r="C890" s="5"/>
      <c r="D890" s="5"/>
      <c r="E890" s="5"/>
      <c r="F890" s="5"/>
      <c r="G890" s="5"/>
      <c r="H890" s="11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6" x14ac:dyDescent="0.3">
      <c r="A891" s="5"/>
      <c r="B891" s="5"/>
      <c r="C891" s="5"/>
      <c r="D891" s="5"/>
      <c r="E891" s="5"/>
      <c r="F891" s="5"/>
      <c r="G891" s="5"/>
      <c r="H891" s="11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6" x14ac:dyDescent="0.3">
      <c r="A892" s="5"/>
      <c r="B892" s="5"/>
      <c r="C892" s="5"/>
      <c r="D892" s="5"/>
      <c r="E892" s="5"/>
      <c r="F892" s="5"/>
      <c r="G892" s="5"/>
      <c r="H892" s="11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6" x14ac:dyDescent="0.3">
      <c r="A893" s="5"/>
      <c r="B893" s="5"/>
      <c r="C893" s="5"/>
      <c r="D893" s="5"/>
      <c r="E893" s="5"/>
      <c r="F893" s="5"/>
      <c r="G893" s="5"/>
      <c r="H893" s="11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6" x14ac:dyDescent="0.3">
      <c r="A894" s="5"/>
      <c r="B894" s="5"/>
      <c r="C894" s="5"/>
      <c r="D894" s="5"/>
      <c r="E894" s="5"/>
      <c r="F894" s="5"/>
      <c r="G894" s="5"/>
      <c r="H894" s="11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6" x14ac:dyDescent="0.3">
      <c r="A895" s="5"/>
      <c r="B895" s="5"/>
      <c r="C895" s="5"/>
      <c r="D895" s="5"/>
      <c r="E895" s="5"/>
      <c r="F895" s="5"/>
      <c r="G895" s="5"/>
      <c r="H895" s="11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6" x14ac:dyDescent="0.3">
      <c r="A896" s="5"/>
      <c r="B896" s="5"/>
      <c r="C896" s="5"/>
      <c r="D896" s="5"/>
      <c r="E896" s="5"/>
      <c r="F896" s="5"/>
      <c r="G896" s="5"/>
      <c r="H896" s="11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6" x14ac:dyDescent="0.3">
      <c r="A897" s="5"/>
      <c r="B897" s="5"/>
      <c r="C897" s="5"/>
      <c r="D897" s="5"/>
      <c r="E897" s="5"/>
      <c r="F897" s="5"/>
      <c r="G897" s="5"/>
      <c r="H897" s="11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6" x14ac:dyDescent="0.3">
      <c r="A898" s="5"/>
      <c r="B898" s="5"/>
      <c r="C898" s="5"/>
      <c r="D898" s="5"/>
      <c r="E898" s="5"/>
      <c r="F898" s="5"/>
      <c r="G898" s="5"/>
      <c r="H898" s="11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6" x14ac:dyDescent="0.3">
      <c r="A899" s="5"/>
      <c r="B899" s="5"/>
      <c r="C899" s="5"/>
      <c r="D899" s="5"/>
      <c r="E899" s="5"/>
      <c r="F899" s="5"/>
      <c r="G899" s="5"/>
      <c r="H899" s="11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6" x14ac:dyDescent="0.3">
      <c r="A900" s="5"/>
      <c r="B900" s="5"/>
      <c r="C900" s="5"/>
      <c r="D900" s="5"/>
      <c r="E900" s="5"/>
      <c r="F900" s="5"/>
      <c r="G900" s="5"/>
      <c r="H900" s="11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6" x14ac:dyDescent="0.3">
      <c r="A901" s="5"/>
      <c r="B901" s="5"/>
      <c r="C901" s="5"/>
      <c r="D901" s="5"/>
      <c r="E901" s="5"/>
      <c r="F901" s="5"/>
      <c r="G901" s="5"/>
      <c r="H901" s="11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6" x14ac:dyDescent="0.3">
      <c r="A902" s="5"/>
      <c r="B902" s="5"/>
      <c r="C902" s="5"/>
      <c r="D902" s="5"/>
      <c r="E902" s="5"/>
      <c r="F902" s="5"/>
      <c r="G902" s="5"/>
      <c r="H902" s="11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6" x14ac:dyDescent="0.3">
      <c r="A903" s="5"/>
      <c r="B903" s="5"/>
      <c r="C903" s="5"/>
      <c r="D903" s="5"/>
      <c r="E903" s="5"/>
      <c r="F903" s="5"/>
      <c r="G903" s="5"/>
      <c r="H903" s="11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6" x14ac:dyDescent="0.3">
      <c r="A904" s="5"/>
      <c r="B904" s="5"/>
      <c r="C904" s="5"/>
      <c r="D904" s="5"/>
      <c r="E904" s="5"/>
      <c r="F904" s="5"/>
      <c r="G904" s="5"/>
      <c r="H904" s="11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6" x14ac:dyDescent="0.3">
      <c r="A905" s="5"/>
      <c r="B905" s="5"/>
      <c r="C905" s="5"/>
      <c r="D905" s="5"/>
      <c r="E905" s="5"/>
      <c r="F905" s="5"/>
      <c r="G905" s="5"/>
      <c r="H905" s="11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6" x14ac:dyDescent="0.3">
      <c r="A906" s="5"/>
      <c r="B906" s="5"/>
      <c r="C906" s="5"/>
      <c r="D906" s="5"/>
      <c r="E906" s="5"/>
      <c r="F906" s="5"/>
      <c r="G906" s="5"/>
      <c r="H906" s="11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6" x14ac:dyDescent="0.3">
      <c r="A907" s="5"/>
      <c r="B907" s="5"/>
      <c r="C907" s="5"/>
      <c r="D907" s="5"/>
      <c r="E907" s="5"/>
      <c r="F907" s="5"/>
      <c r="G907" s="5"/>
      <c r="H907" s="11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6" x14ac:dyDescent="0.3">
      <c r="A908" s="5"/>
      <c r="B908" s="5"/>
      <c r="C908" s="5"/>
      <c r="D908" s="5"/>
      <c r="E908" s="5"/>
      <c r="F908" s="5"/>
      <c r="G908" s="5"/>
      <c r="H908" s="11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6" x14ac:dyDescent="0.3">
      <c r="A909" s="5"/>
      <c r="B909" s="5"/>
      <c r="C909" s="5"/>
      <c r="D909" s="5"/>
      <c r="E909" s="5"/>
      <c r="F909" s="5"/>
      <c r="G909" s="5"/>
      <c r="H909" s="11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6" x14ac:dyDescent="0.3">
      <c r="A910" s="5"/>
      <c r="B910" s="5"/>
      <c r="C910" s="5"/>
      <c r="D910" s="5"/>
      <c r="E910" s="5"/>
      <c r="F910" s="5"/>
      <c r="G910" s="5"/>
      <c r="H910" s="11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6" x14ac:dyDescent="0.3">
      <c r="A911" s="5"/>
      <c r="B911" s="5"/>
      <c r="C911" s="5"/>
      <c r="D911" s="5"/>
      <c r="E911" s="5"/>
      <c r="F911" s="5"/>
      <c r="G911" s="5"/>
      <c r="H911" s="11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6" x14ac:dyDescent="0.3">
      <c r="A912" s="5"/>
      <c r="B912" s="5"/>
      <c r="C912" s="5"/>
      <c r="D912" s="5"/>
      <c r="E912" s="5"/>
      <c r="F912" s="5"/>
      <c r="G912" s="5"/>
      <c r="H912" s="11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6" x14ac:dyDescent="0.3">
      <c r="A913" s="5"/>
      <c r="B913" s="5"/>
      <c r="C913" s="5"/>
      <c r="D913" s="5"/>
      <c r="E913" s="5"/>
      <c r="F913" s="5"/>
      <c r="G913" s="5"/>
      <c r="H913" s="11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6" x14ac:dyDescent="0.3">
      <c r="A914" s="5"/>
      <c r="B914" s="5"/>
      <c r="C914" s="5"/>
      <c r="D914" s="5"/>
      <c r="E914" s="5"/>
      <c r="F914" s="5"/>
      <c r="G914" s="5"/>
      <c r="H914" s="11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6" x14ac:dyDescent="0.3">
      <c r="A915" s="5"/>
      <c r="B915" s="5"/>
      <c r="C915" s="5"/>
      <c r="D915" s="5"/>
      <c r="E915" s="5"/>
      <c r="F915" s="5"/>
      <c r="G915" s="5"/>
      <c r="H915" s="11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6" x14ac:dyDescent="0.3">
      <c r="A916" s="5"/>
      <c r="B916" s="5"/>
      <c r="C916" s="5"/>
      <c r="D916" s="5"/>
      <c r="E916" s="5"/>
      <c r="F916" s="5"/>
      <c r="G916" s="5"/>
      <c r="H916" s="11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6" x14ac:dyDescent="0.3">
      <c r="A917" s="5"/>
      <c r="B917" s="5"/>
      <c r="C917" s="5"/>
      <c r="D917" s="5"/>
      <c r="E917" s="5"/>
      <c r="F917" s="5"/>
      <c r="G917" s="5"/>
      <c r="H917" s="11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6" x14ac:dyDescent="0.3">
      <c r="A918" s="5"/>
      <c r="B918" s="5"/>
      <c r="C918" s="5"/>
      <c r="D918" s="5"/>
      <c r="E918" s="5"/>
      <c r="F918" s="5"/>
      <c r="G918" s="5"/>
      <c r="H918" s="11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6" x14ac:dyDescent="0.3">
      <c r="A919" s="5"/>
      <c r="B919" s="5"/>
      <c r="C919" s="5"/>
      <c r="D919" s="5"/>
      <c r="E919" s="5"/>
      <c r="F919" s="5"/>
      <c r="G919" s="5"/>
      <c r="H919" s="11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6" x14ac:dyDescent="0.3">
      <c r="A920" s="5"/>
      <c r="B920" s="5"/>
      <c r="C920" s="5"/>
      <c r="D920" s="5"/>
      <c r="E920" s="5"/>
      <c r="F920" s="5"/>
      <c r="G920" s="5"/>
      <c r="H920" s="11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6" x14ac:dyDescent="0.3">
      <c r="A921" s="5"/>
      <c r="B921" s="5"/>
      <c r="C921" s="5"/>
      <c r="D921" s="5"/>
      <c r="E921" s="5"/>
      <c r="F921" s="5"/>
      <c r="G921" s="5"/>
      <c r="H921" s="11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6" x14ac:dyDescent="0.3">
      <c r="A922" s="5"/>
      <c r="B922" s="5"/>
      <c r="C922" s="5"/>
      <c r="D922" s="5"/>
      <c r="E922" s="5"/>
      <c r="F922" s="5"/>
      <c r="G922" s="5"/>
      <c r="H922" s="11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6" x14ac:dyDescent="0.3">
      <c r="A923" s="5"/>
      <c r="B923" s="5"/>
      <c r="C923" s="5"/>
      <c r="D923" s="5"/>
      <c r="E923" s="5"/>
      <c r="F923" s="5"/>
      <c r="G923" s="5"/>
      <c r="H923" s="11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6" x14ac:dyDescent="0.3">
      <c r="A924" s="5"/>
      <c r="B924" s="5"/>
      <c r="C924" s="5"/>
      <c r="D924" s="5"/>
      <c r="E924" s="5"/>
      <c r="F924" s="5"/>
      <c r="G924" s="5"/>
      <c r="H924" s="11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6" x14ac:dyDescent="0.3">
      <c r="A925" s="5"/>
      <c r="B925" s="5"/>
      <c r="C925" s="5"/>
      <c r="D925" s="5"/>
      <c r="E925" s="5"/>
      <c r="F925" s="5"/>
      <c r="G925" s="5"/>
      <c r="H925" s="11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6" x14ac:dyDescent="0.3">
      <c r="A926" s="5"/>
      <c r="B926" s="5"/>
      <c r="C926" s="5"/>
      <c r="D926" s="5"/>
      <c r="E926" s="5"/>
      <c r="F926" s="5"/>
      <c r="G926" s="5"/>
      <c r="H926" s="11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6" x14ac:dyDescent="0.3">
      <c r="A927" s="5"/>
      <c r="B927" s="5"/>
      <c r="C927" s="5"/>
      <c r="D927" s="5"/>
      <c r="E927" s="5"/>
      <c r="F927" s="5"/>
      <c r="G927" s="5"/>
      <c r="H927" s="11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6" x14ac:dyDescent="0.3">
      <c r="A928" s="5"/>
      <c r="B928" s="5"/>
      <c r="C928" s="5"/>
      <c r="D928" s="5"/>
      <c r="E928" s="5"/>
      <c r="F928" s="5"/>
      <c r="G928" s="5"/>
      <c r="H928" s="11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6" x14ac:dyDescent="0.3">
      <c r="A929" s="5"/>
      <c r="B929" s="5"/>
      <c r="C929" s="5"/>
      <c r="D929" s="5"/>
      <c r="E929" s="5"/>
      <c r="F929" s="5"/>
      <c r="G929" s="5"/>
      <c r="H929" s="11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6" x14ac:dyDescent="0.3">
      <c r="A930" s="5"/>
      <c r="B930" s="5"/>
      <c r="C930" s="5"/>
      <c r="D930" s="5"/>
      <c r="E930" s="5"/>
      <c r="F930" s="5"/>
      <c r="G930" s="5"/>
      <c r="H930" s="11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6" x14ac:dyDescent="0.3">
      <c r="A931" s="5"/>
      <c r="B931" s="5"/>
      <c r="C931" s="5"/>
      <c r="D931" s="5"/>
      <c r="E931" s="5"/>
      <c r="F931" s="5"/>
      <c r="G931" s="5"/>
      <c r="H931" s="11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6" x14ac:dyDescent="0.3">
      <c r="A932" s="5"/>
      <c r="B932" s="5"/>
      <c r="C932" s="5"/>
      <c r="D932" s="5"/>
      <c r="E932" s="5"/>
      <c r="F932" s="5"/>
      <c r="G932" s="5"/>
      <c r="H932" s="11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6" x14ac:dyDescent="0.3">
      <c r="A933" s="5"/>
      <c r="B933" s="5"/>
      <c r="C933" s="5"/>
      <c r="D933" s="5"/>
      <c r="E933" s="5"/>
      <c r="F933" s="5"/>
      <c r="G933" s="5"/>
      <c r="H933" s="11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6" x14ac:dyDescent="0.3">
      <c r="A934" s="5"/>
      <c r="B934" s="5"/>
      <c r="C934" s="5"/>
      <c r="D934" s="5"/>
      <c r="E934" s="5"/>
      <c r="F934" s="5"/>
      <c r="G934" s="5"/>
      <c r="H934" s="11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6" x14ac:dyDescent="0.3">
      <c r="A935" s="5"/>
      <c r="B935" s="5"/>
      <c r="C935" s="5"/>
      <c r="D935" s="5"/>
      <c r="E935" s="5"/>
      <c r="F935" s="5"/>
      <c r="G935" s="5"/>
      <c r="H935" s="11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6" x14ac:dyDescent="0.3">
      <c r="A936" s="5"/>
      <c r="B936" s="5"/>
      <c r="C936" s="5"/>
      <c r="D936" s="5"/>
      <c r="E936" s="5"/>
      <c r="F936" s="5"/>
      <c r="G936" s="5"/>
      <c r="H936" s="11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6" x14ac:dyDescent="0.3">
      <c r="A937" s="5"/>
      <c r="B937" s="5"/>
      <c r="C937" s="5"/>
      <c r="D937" s="5"/>
      <c r="E937" s="5"/>
      <c r="F937" s="5"/>
      <c r="G937" s="5"/>
      <c r="H937" s="11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6" x14ac:dyDescent="0.3">
      <c r="A938" s="5"/>
      <c r="B938" s="5"/>
      <c r="C938" s="5"/>
      <c r="D938" s="5"/>
      <c r="E938" s="5"/>
      <c r="F938" s="5"/>
      <c r="G938" s="5"/>
      <c r="H938" s="11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6" x14ac:dyDescent="0.3">
      <c r="A939" s="5"/>
      <c r="B939" s="5"/>
      <c r="C939" s="5"/>
      <c r="D939" s="5"/>
      <c r="E939" s="5"/>
      <c r="F939" s="5"/>
      <c r="G939" s="5"/>
      <c r="H939" s="11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6" x14ac:dyDescent="0.3">
      <c r="A940" s="5"/>
      <c r="B940" s="5"/>
      <c r="C940" s="5"/>
      <c r="D940" s="5"/>
      <c r="E940" s="5"/>
      <c r="F940" s="5"/>
      <c r="G940" s="5"/>
      <c r="H940" s="11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6" x14ac:dyDescent="0.3">
      <c r="A941" s="5"/>
      <c r="B941" s="5"/>
      <c r="C941" s="5"/>
      <c r="D941" s="5"/>
      <c r="E941" s="5"/>
      <c r="F941" s="5"/>
      <c r="G941" s="5"/>
      <c r="H941" s="11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6" x14ac:dyDescent="0.3">
      <c r="A942" s="5"/>
      <c r="B942" s="5"/>
      <c r="C942" s="5"/>
      <c r="D942" s="5"/>
      <c r="E942" s="5"/>
      <c r="F942" s="5"/>
      <c r="G942" s="5"/>
      <c r="H942" s="11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6" x14ac:dyDescent="0.3">
      <c r="A943" s="5"/>
      <c r="B943" s="5"/>
      <c r="C943" s="5"/>
      <c r="D943" s="5"/>
      <c r="E943" s="5"/>
      <c r="F943" s="5"/>
      <c r="G943" s="5"/>
      <c r="H943" s="11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6" x14ac:dyDescent="0.3">
      <c r="A944" s="5"/>
      <c r="B944" s="5"/>
      <c r="C944" s="5"/>
      <c r="D944" s="5"/>
      <c r="E944" s="5"/>
      <c r="F944" s="5"/>
      <c r="G944" s="5"/>
      <c r="H944" s="11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6" x14ac:dyDescent="0.3">
      <c r="A945" s="5"/>
      <c r="B945" s="5"/>
      <c r="C945" s="5"/>
      <c r="D945" s="5"/>
      <c r="E945" s="5"/>
      <c r="F945" s="5"/>
      <c r="G945" s="5"/>
      <c r="H945" s="11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6" x14ac:dyDescent="0.3">
      <c r="A946" s="5"/>
      <c r="B946" s="5"/>
      <c r="C946" s="5"/>
      <c r="D946" s="5"/>
      <c r="E946" s="5"/>
      <c r="F946" s="5"/>
      <c r="G946" s="5"/>
      <c r="H946" s="11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6" x14ac:dyDescent="0.3">
      <c r="A947" s="5"/>
      <c r="B947" s="5"/>
      <c r="C947" s="5"/>
      <c r="D947" s="5"/>
      <c r="E947" s="5"/>
      <c r="F947" s="5"/>
      <c r="G947" s="5"/>
      <c r="H947" s="11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6" x14ac:dyDescent="0.3">
      <c r="A948" s="5"/>
      <c r="B948" s="5"/>
      <c r="C948" s="5"/>
      <c r="D948" s="5"/>
      <c r="E948" s="5"/>
      <c r="F948" s="5"/>
      <c r="G948" s="5"/>
      <c r="H948" s="11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6" x14ac:dyDescent="0.3">
      <c r="A949" s="5"/>
      <c r="B949" s="5"/>
      <c r="C949" s="5"/>
      <c r="D949" s="5"/>
      <c r="E949" s="5"/>
      <c r="F949" s="5"/>
      <c r="G949" s="5"/>
      <c r="H949" s="11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6" x14ac:dyDescent="0.3">
      <c r="A950" s="5"/>
      <c r="B950" s="5"/>
      <c r="C950" s="5"/>
      <c r="D950" s="5"/>
      <c r="E950" s="5"/>
      <c r="F950" s="5"/>
      <c r="G950" s="5"/>
      <c r="H950" s="11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6" x14ac:dyDescent="0.3">
      <c r="A951" s="5"/>
      <c r="B951" s="5"/>
      <c r="C951" s="5"/>
      <c r="D951" s="5"/>
      <c r="E951" s="5"/>
      <c r="F951" s="5"/>
      <c r="G951" s="5"/>
      <c r="H951" s="11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6" x14ac:dyDescent="0.3">
      <c r="A952" s="5"/>
      <c r="B952" s="5"/>
      <c r="C952" s="5"/>
      <c r="D952" s="5"/>
      <c r="E952" s="5"/>
      <c r="F952" s="5"/>
      <c r="G952" s="5"/>
      <c r="H952" s="11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6" x14ac:dyDescent="0.3">
      <c r="A953" s="5"/>
      <c r="B953" s="5"/>
      <c r="C953" s="5"/>
      <c r="D953" s="5"/>
      <c r="E953" s="5"/>
      <c r="F953" s="5"/>
      <c r="G953" s="5"/>
      <c r="H953" s="11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6" x14ac:dyDescent="0.3">
      <c r="A954" s="5"/>
      <c r="B954" s="5"/>
      <c r="C954" s="5"/>
      <c r="D954" s="5"/>
      <c r="E954" s="5"/>
      <c r="F954" s="5"/>
      <c r="G954" s="5"/>
      <c r="H954" s="11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6" x14ac:dyDescent="0.3">
      <c r="A955" s="5"/>
      <c r="B955" s="5"/>
      <c r="C955" s="5"/>
      <c r="D955" s="5"/>
      <c r="E955" s="5"/>
      <c r="F955" s="5"/>
      <c r="G955" s="5"/>
      <c r="H955" s="11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6" x14ac:dyDescent="0.3">
      <c r="A956" s="5"/>
      <c r="B956" s="5"/>
      <c r="C956" s="5"/>
      <c r="D956" s="5"/>
      <c r="E956" s="5"/>
      <c r="F956" s="5"/>
      <c r="G956" s="5"/>
      <c r="H956" s="11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6" x14ac:dyDescent="0.3">
      <c r="A957" s="5"/>
      <c r="B957" s="5"/>
      <c r="C957" s="5"/>
      <c r="D957" s="5"/>
      <c r="E957" s="5"/>
      <c r="F957" s="5"/>
      <c r="G957" s="5"/>
      <c r="H957" s="11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6" x14ac:dyDescent="0.3">
      <c r="A958" s="5"/>
      <c r="B958" s="5"/>
      <c r="C958" s="5"/>
      <c r="D958" s="5"/>
      <c r="E958" s="5"/>
      <c r="F958" s="5"/>
      <c r="G958" s="5"/>
      <c r="H958" s="11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6" x14ac:dyDescent="0.3">
      <c r="A959" s="5"/>
      <c r="B959" s="5"/>
      <c r="C959" s="5"/>
      <c r="D959" s="5"/>
      <c r="E959" s="5"/>
      <c r="F959" s="5"/>
      <c r="G959" s="5"/>
      <c r="H959" s="11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6" x14ac:dyDescent="0.3">
      <c r="A960" s="5"/>
      <c r="B960" s="5"/>
      <c r="C960" s="5"/>
      <c r="D960" s="5"/>
      <c r="E960" s="5"/>
      <c r="F960" s="5"/>
      <c r="G960" s="5"/>
      <c r="H960" s="11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6" x14ac:dyDescent="0.3">
      <c r="A961" s="5"/>
      <c r="B961" s="5"/>
      <c r="C961" s="5"/>
      <c r="D961" s="5"/>
      <c r="E961" s="5"/>
      <c r="F961" s="5"/>
      <c r="G961" s="5"/>
      <c r="H961" s="11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6" x14ac:dyDescent="0.3">
      <c r="A962" s="5"/>
      <c r="B962" s="5"/>
      <c r="C962" s="5"/>
      <c r="D962" s="5"/>
      <c r="E962" s="5"/>
      <c r="F962" s="5"/>
      <c r="G962" s="5"/>
      <c r="H962" s="11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6" x14ac:dyDescent="0.3">
      <c r="A963" s="5"/>
      <c r="B963" s="5"/>
      <c r="C963" s="5"/>
      <c r="D963" s="5"/>
      <c r="E963" s="5"/>
      <c r="F963" s="5"/>
      <c r="G963" s="5"/>
      <c r="H963" s="11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6" x14ac:dyDescent="0.3">
      <c r="A964" s="5"/>
      <c r="B964" s="5"/>
      <c r="C964" s="5"/>
      <c r="D964" s="5"/>
      <c r="E964" s="5"/>
      <c r="F964" s="5"/>
      <c r="G964" s="5"/>
      <c r="H964" s="11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6" x14ac:dyDescent="0.3">
      <c r="A965" s="5"/>
      <c r="B965" s="5"/>
      <c r="C965" s="5"/>
      <c r="D965" s="5"/>
      <c r="E965" s="5"/>
      <c r="F965" s="5"/>
      <c r="G965" s="5"/>
      <c r="H965" s="11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6" x14ac:dyDescent="0.3">
      <c r="A966" s="5"/>
      <c r="B966" s="5"/>
      <c r="C966" s="5"/>
      <c r="D966" s="5"/>
      <c r="E966" s="5"/>
      <c r="F966" s="5"/>
      <c r="G966" s="5"/>
      <c r="H966" s="11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6" x14ac:dyDescent="0.3">
      <c r="A967" s="5"/>
      <c r="B967" s="5"/>
      <c r="C967" s="5"/>
      <c r="D967" s="5"/>
      <c r="E967" s="5"/>
      <c r="F967" s="5"/>
      <c r="G967" s="5"/>
      <c r="H967" s="11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6" x14ac:dyDescent="0.3">
      <c r="A968" s="5"/>
      <c r="B968" s="5"/>
      <c r="C968" s="5"/>
      <c r="D968" s="5"/>
      <c r="E968" s="5"/>
      <c r="F968" s="5"/>
      <c r="G968" s="5"/>
      <c r="H968" s="11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6" x14ac:dyDescent="0.3">
      <c r="A969" s="5"/>
      <c r="B969" s="5"/>
      <c r="C969" s="5"/>
      <c r="D969" s="5"/>
      <c r="E969" s="5"/>
      <c r="F969" s="5"/>
      <c r="G969" s="5"/>
      <c r="H969" s="11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6" x14ac:dyDescent="0.3">
      <c r="A970" s="5"/>
      <c r="B970" s="5"/>
      <c r="C970" s="5"/>
      <c r="D970" s="5"/>
      <c r="E970" s="5"/>
      <c r="F970" s="5"/>
      <c r="G970" s="5"/>
      <c r="H970" s="11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6" x14ac:dyDescent="0.3">
      <c r="A971" s="5"/>
      <c r="B971" s="5"/>
      <c r="C971" s="5"/>
      <c r="D971" s="5"/>
      <c r="E971" s="5"/>
      <c r="F971" s="5"/>
      <c r="G971" s="5"/>
      <c r="H971" s="11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6" x14ac:dyDescent="0.3">
      <c r="A972" s="5"/>
      <c r="B972" s="5"/>
      <c r="C972" s="5"/>
      <c r="D972" s="5"/>
      <c r="E972" s="5"/>
      <c r="F972" s="5"/>
      <c r="G972" s="5"/>
      <c r="H972" s="11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6" x14ac:dyDescent="0.3">
      <c r="A973" s="5"/>
      <c r="B973" s="5"/>
      <c r="C973" s="5"/>
      <c r="D973" s="5"/>
      <c r="E973" s="5"/>
      <c r="F973" s="5"/>
      <c r="G973" s="5"/>
      <c r="H973" s="11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6" x14ac:dyDescent="0.3">
      <c r="A974" s="5"/>
      <c r="B974" s="5"/>
      <c r="C974" s="5"/>
      <c r="D974" s="5"/>
      <c r="E974" s="5"/>
      <c r="F974" s="5"/>
      <c r="G974" s="5"/>
      <c r="H974" s="11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6" x14ac:dyDescent="0.3">
      <c r="A975" s="5"/>
      <c r="B975" s="5"/>
      <c r="C975" s="5"/>
      <c r="D975" s="5"/>
      <c r="E975" s="5"/>
      <c r="F975" s="5"/>
      <c r="G975" s="5"/>
      <c r="H975" s="11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6" x14ac:dyDescent="0.3">
      <c r="A976" s="5"/>
      <c r="B976" s="5"/>
      <c r="C976" s="5"/>
      <c r="D976" s="5"/>
      <c r="E976" s="5"/>
      <c r="F976" s="5"/>
      <c r="G976" s="5"/>
      <c r="H976" s="11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6" x14ac:dyDescent="0.3">
      <c r="A977" s="5"/>
      <c r="B977" s="5"/>
      <c r="C977" s="5"/>
      <c r="D977" s="5"/>
      <c r="E977" s="5"/>
      <c r="F977" s="5"/>
      <c r="G977" s="5"/>
      <c r="H977" s="11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6" x14ac:dyDescent="0.3">
      <c r="A978" s="5"/>
      <c r="B978" s="5"/>
      <c r="C978" s="5"/>
      <c r="D978" s="5"/>
      <c r="E978" s="5"/>
      <c r="F978" s="5"/>
      <c r="G978" s="5"/>
      <c r="H978" s="11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6" x14ac:dyDescent="0.3">
      <c r="A979" s="5"/>
      <c r="B979" s="5"/>
      <c r="C979" s="5"/>
      <c r="D979" s="5"/>
      <c r="E979" s="5"/>
      <c r="F979" s="5"/>
      <c r="G979" s="5"/>
      <c r="H979" s="11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6" x14ac:dyDescent="0.3">
      <c r="A980" s="5"/>
      <c r="B980" s="5"/>
      <c r="C980" s="5"/>
      <c r="D980" s="5"/>
      <c r="E980" s="5"/>
      <c r="F980" s="5"/>
      <c r="G980" s="5"/>
      <c r="H980" s="11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6" x14ac:dyDescent="0.3">
      <c r="A981" s="5"/>
      <c r="B981" s="5"/>
      <c r="C981" s="5"/>
      <c r="D981" s="5"/>
      <c r="E981" s="5"/>
      <c r="F981" s="5"/>
      <c r="G981" s="5"/>
      <c r="H981" s="11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6" x14ac:dyDescent="0.3">
      <c r="A982" s="5"/>
      <c r="B982" s="5"/>
      <c r="C982" s="5"/>
      <c r="D982" s="5"/>
      <c r="E982" s="5"/>
      <c r="F982" s="5"/>
      <c r="G982" s="5"/>
      <c r="H982" s="11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6" x14ac:dyDescent="0.3">
      <c r="A983" s="5"/>
      <c r="B983" s="5"/>
      <c r="C983" s="5"/>
      <c r="D983" s="5"/>
      <c r="E983" s="5"/>
      <c r="F983" s="5"/>
      <c r="G983" s="5"/>
      <c r="H983" s="11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6" x14ac:dyDescent="0.3">
      <c r="A984" s="5"/>
      <c r="B984" s="5"/>
      <c r="C984" s="5"/>
      <c r="D984" s="5"/>
      <c r="E984" s="5"/>
      <c r="F984" s="5"/>
      <c r="G984" s="5"/>
      <c r="H984" s="11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6" x14ac:dyDescent="0.3">
      <c r="A985" s="5"/>
      <c r="B985" s="5"/>
      <c r="C985" s="5"/>
      <c r="D985" s="5"/>
      <c r="E985" s="5"/>
      <c r="F985" s="5"/>
      <c r="G985" s="5"/>
      <c r="H985" s="11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6" x14ac:dyDescent="0.3">
      <c r="A986" s="5"/>
      <c r="B986" s="5"/>
      <c r="C986" s="5"/>
      <c r="D986" s="5"/>
      <c r="E986" s="5"/>
      <c r="F986" s="5"/>
      <c r="G986" s="5"/>
      <c r="H986" s="11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6" x14ac:dyDescent="0.3">
      <c r="A987" s="5"/>
      <c r="B987" s="5"/>
      <c r="C987" s="5"/>
      <c r="D987" s="5"/>
      <c r="E987" s="5"/>
      <c r="F987" s="5"/>
      <c r="G987" s="5"/>
      <c r="H987" s="11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6" x14ac:dyDescent="0.3">
      <c r="A988" s="5"/>
      <c r="B988" s="5"/>
      <c r="C988" s="5"/>
      <c r="D988" s="5"/>
      <c r="E988" s="5"/>
      <c r="F988" s="5"/>
      <c r="G988" s="5"/>
      <c r="H988" s="11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6" x14ac:dyDescent="0.3">
      <c r="A989" s="5"/>
      <c r="B989" s="5"/>
      <c r="C989" s="5"/>
      <c r="D989" s="5"/>
      <c r="E989" s="5"/>
      <c r="F989" s="5"/>
      <c r="G989" s="5"/>
      <c r="H989" s="11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6" x14ac:dyDescent="0.3">
      <c r="A990" s="5"/>
      <c r="B990" s="5"/>
      <c r="C990" s="5"/>
      <c r="D990" s="5"/>
      <c r="E990" s="5"/>
      <c r="F990" s="5"/>
      <c r="G990" s="5"/>
      <c r="H990" s="11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6" x14ac:dyDescent="0.3">
      <c r="A991" s="5"/>
      <c r="B991" s="5"/>
      <c r="C991" s="5"/>
      <c r="D991" s="5"/>
      <c r="E991" s="5"/>
      <c r="F991" s="5"/>
      <c r="G991" s="5"/>
      <c r="H991" s="11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6" x14ac:dyDescent="0.3">
      <c r="A992" s="5"/>
      <c r="B992" s="5"/>
      <c r="C992" s="5"/>
      <c r="D992" s="5"/>
      <c r="E992" s="5"/>
      <c r="F992" s="5"/>
      <c r="G992" s="5"/>
      <c r="H992" s="11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6" x14ac:dyDescent="0.3">
      <c r="A993" s="5"/>
      <c r="B993" s="5"/>
      <c r="C993" s="5"/>
      <c r="D993" s="5"/>
      <c r="E993" s="5"/>
      <c r="F993" s="5"/>
      <c r="G993" s="5"/>
      <c r="H993" s="11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6" x14ac:dyDescent="0.3">
      <c r="A994" s="5"/>
      <c r="B994" s="5"/>
      <c r="C994" s="5"/>
      <c r="D994" s="5"/>
      <c r="E994" s="5"/>
      <c r="F994" s="5"/>
      <c r="G994" s="5"/>
      <c r="H994" s="11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6" x14ac:dyDescent="0.3">
      <c r="A995" s="5"/>
      <c r="B995" s="5"/>
      <c r="C995" s="5"/>
      <c r="D995" s="5"/>
      <c r="E995" s="5"/>
      <c r="F995" s="5"/>
      <c r="G995" s="5"/>
      <c r="H995" s="11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6" x14ac:dyDescent="0.3">
      <c r="A996" s="5"/>
      <c r="B996" s="5"/>
      <c r="C996" s="5"/>
      <c r="D996" s="5"/>
      <c r="E996" s="5"/>
      <c r="F996" s="5"/>
      <c r="G996" s="5"/>
      <c r="H996" s="11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6" x14ac:dyDescent="0.3">
      <c r="A997" s="5"/>
      <c r="B997" s="5"/>
      <c r="C997" s="5"/>
      <c r="D997" s="5"/>
      <c r="E997" s="5"/>
      <c r="F997" s="5"/>
      <c r="G997" s="5"/>
      <c r="H997" s="11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6" x14ac:dyDescent="0.3">
      <c r="A998" s="5"/>
      <c r="B998" s="5"/>
      <c r="C998" s="5"/>
      <c r="D998" s="5"/>
      <c r="E998" s="5"/>
      <c r="F998" s="5"/>
      <c r="G998" s="5"/>
      <c r="H998" s="11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6" x14ac:dyDescent="0.3">
      <c r="A999" s="5"/>
      <c r="B999" s="5"/>
      <c r="C999" s="5"/>
      <c r="D999" s="5"/>
      <c r="E999" s="5"/>
      <c r="F999" s="5"/>
      <c r="G999" s="5"/>
      <c r="H999" s="11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6" x14ac:dyDescent="0.3">
      <c r="A1000" s="5"/>
      <c r="B1000" s="5"/>
      <c r="C1000" s="5"/>
      <c r="D1000" s="5"/>
      <c r="E1000" s="5"/>
      <c r="F1000" s="5"/>
      <c r="G1000" s="5"/>
      <c r="H1000" s="11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.6" x14ac:dyDescent="0.3">
      <c r="A1001" s="5"/>
      <c r="B1001" s="5"/>
      <c r="C1001" s="5"/>
      <c r="D1001" s="5"/>
      <c r="E1001" s="5"/>
      <c r="F1001" s="5"/>
      <c r="G1001" s="5"/>
      <c r="H1001" s="11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.6" x14ac:dyDescent="0.3">
      <c r="A1002" s="5"/>
      <c r="B1002" s="5"/>
      <c r="C1002" s="5"/>
      <c r="D1002" s="5"/>
      <c r="E1002" s="5"/>
      <c r="F1002" s="5"/>
      <c r="G1002" s="5"/>
      <c r="H1002" s="11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.6" x14ac:dyDescent="0.3">
      <c r="A1003" s="5"/>
      <c r="B1003" s="5"/>
      <c r="C1003" s="5"/>
      <c r="D1003" s="5"/>
      <c r="E1003" s="5"/>
      <c r="F1003" s="5"/>
      <c r="G1003" s="5"/>
      <c r="H1003" s="11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.6" x14ac:dyDescent="0.3">
      <c r="A1004" s="5"/>
      <c r="B1004" s="5"/>
      <c r="C1004" s="5"/>
      <c r="D1004" s="5"/>
      <c r="E1004" s="5"/>
      <c r="F1004" s="5"/>
      <c r="G1004" s="5"/>
      <c r="H1004" s="11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5.6" x14ac:dyDescent="0.3">
      <c r="A1005" s="5"/>
      <c r="B1005" s="5"/>
      <c r="C1005" s="5"/>
      <c r="D1005" s="5"/>
      <c r="E1005" s="5"/>
      <c r="F1005" s="5"/>
      <c r="G1005" s="5"/>
      <c r="H1005" s="11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5.6" x14ac:dyDescent="0.3">
      <c r="A1006" s="5"/>
      <c r="B1006" s="5"/>
      <c r="C1006" s="5"/>
      <c r="D1006" s="5"/>
      <c r="E1006" s="5"/>
      <c r="F1006" s="5"/>
      <c r="G1006" s="5"/>
      <c r="H1006" s="11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5.6" x14ac:dyDescent="0.3">
      <c r="A1007" s="5"/>
      <c r="B1007" s="5"/>
      <c r="C1007" s="5"/>
      <c r="D1007" s="5"/>
      <c r="E1007" s="5"/>
      <c r="F1007" s="5"/>
      <c r="G1007" s="5"/>
      <c r="H1007" s="11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5.6" x14ac:dyDescent="0.3">
      <c r="A1008" s="5"/>
      <c r="B1008" s="5"/>
      <c r="C1008" s="5"/>
      <c r="D1008" s="5"/>
      <c r="E1008" s="5"/>
      <c r="F1008" s="5"/>
      <c r="G1008" s="5"/>
      <c r="H1008" s="11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5.6" x14ac:dyDescent="0.3">
      <c r="A1009" s="5"/>
      <c r="B1009" s="5"/>
      <c r="C1009" s="5"/>
      <c r="D1009" s="5"/>
      <c r="E1009" s="5"/>
      <c r="F1009" s="5"/>
      <c r="G1009" s="5"/>
      <c r="H1009" s="11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5.6" x14ac:dyDescent="0.3">
      <c r="A1010" s="5"/>
      <c r="B1010" s="5"/>
      <c r="C1010" s="5"/>
      <c r="D1010" s="5"/>
      <c r="E1010" s="5"/>
      <c r="F1010" s="5"/>
      <c r="G1010" s="5"/>
      <c r="H1010" s="11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5.6" x14ac:dyDescent="0.3">
      <c r="A1011" s="5"/>
      <c r="B1011" s="5"/>
      <c r="C1011" s="5"/>
      <c r="D1011" s="5"/>
      <c r="E1011" s="5"/>
      <c r="F1011" s="5"/>
      <c r="G1011" s="5"/>
      <c r="H1011" s="11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5.6" x14ac:dyDescent="0.3">
      <c r="A1012" s="5"/>
      <c r="B1012" s="5"/>
      <c r="C1012" s="5"/>
      <c r="D1012" s="5"/>
      <c r="E1012" s="5"/>
      <c r="F1012" s="5"/>
      <c r="G1012" s="5"/>
      <c r="H1012" s="11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5.6" x14ac:dyDescent="0.3">
      <c r="A1013" s="5"/>
      <c r="B1013" s="5"/>
      <c r="C1013" s="5"/>
      <c r="D1013" s="5"/>
      <c r="E1013" s="5"/>
      <c r="F1013" s="5"/>
      <c r="G1013" s="5"/>
      <c r="H1013" s="11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5.6" x14ac:dyDescent="0.3">
      <c r="A1014" s="5"/>
      <c r="B1014" s="5"/>
      <c r="C1014" s="5"/>
      <c r="D1014" s="5"/>
      <c r="E1014" s="5"/>
      <c r="F1014" s="5"/>
      <c r="G1014" s="5"/>
      <c r="H1014" s="11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5.6" x14ac:dyDescent="0.3">
      <c r="A1015" s="5"/>
      <c r="B1015" s="5"/>
      <c r="C1015" s="5"/>
      <c r="D1015" s="5"/>
      <c r="E1015" s="5"/>
      <c r="F1015" s="5"/>
      <c r="G1015" s="5"/>
      <c r="H1015" s="11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5.6" x14ac:dyDescent="0.3">
      <c r="A1016" s="5"/>
      <c r="B1016" s="5"/>
      <c r="C1016" s="5"/>
      <c r="D1016" s="5"/>
      <c r="E1016" s="5"/>
      <c r="F1016" s="5"/>
      <c r="G1016" s="5"/>
      <c r="H1016" s="11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5.6" x14ac:dyDescent="0.3">
      <c r="A1017" s="5"/>
      <c r="B1017" s="5"/>
      <c r="C1017" s="5"/>
      <c r="D1017" s="5"/>
      <c r="E1017" s="5"/>
      <c r="F1017" s="5"/>
      <c r="G1017" s="5"/>
      <c r="H1017" s="11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5.6" x14ac:dyDescent="0.3">
      <c r="A1018" s="5"/>
      <c r="B1018" s="5"/>
      <c r="C1018" s="5"/>
      <c r="D1018" s="5"/>
      <c r="E1018" s="5"/>
      <c r="F1018" s="5"/>
      <c r="G1018" s="5"/>
      <c r="H1018" s="11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5.6" x14ac:dyDescent="0.3">
      <c r="A1019" s="5"/>
      <c r="B1019" s="5"/>
      <c r="C1019" s="5"/>
      <c r="D1019" s="5"/>
      <c r="E1019" s="5"/>
      <c r="F1019" s="5"/>
      <c r="G1019" s="5"/>
      <c r="H1019" s="11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5.6" x14ac:dyDescent="0.3">
      <c r="A1020" s="5"/>
      <c r="B1020" s="5"/>
      <c r="C1020" s="5"/>
      <c r="D1020" s="5"/>
      <c r="E1020" s="5"/>
      <c r="F1020" s="5"/>
      <c r="G1020" s="5"/>
      <c r="H1020" s="11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5.6" x14ac:dyDescent="0.3">
      <c r="A1021" s="5"/>
      <c r="B1021" s="5"/>
      <c r="C1021" s="5"/>
      <c r="D1021" s="5"/>
      <c r="E1021" s="5"/>
      <c r="F1021" s="5"/>
      <c r="G1021" s="5"/>
      <c r="H1021" s="11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5.6" x14ac:dyDescent="0.3">
      <c r="A1022" s="5"/>
      <c r="B1022" s="5"/>
      <c r="C1022" s="5"/>
      <c r="D1022" s="5"/>
      <c r="E1022" s="5"/>
      <c r="F1022" s="5"/>
      <c r="G1022" s="5"/>
      <c r="H1022" s="11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5.6" x14ac:dyDescent="0.3">
      <c r="A1023" s="5"/>
      <c r="B1023" s="5"/>
      <c r="C1023" s="5"/>
      <c r="D1023" s="5"/>
      <c r="E1023" s="5"/>
      <c r="F1023" s="5"/>
      <c r="G1023" s="5"/>
      <c r="H1023" s="11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5.6" x14ac:dyDescent="0.3">
      <c r="A1024" s="5"/>
      <c r="B1024" s="5"/>
      <c r="C1024" s="5"/>
      <c r="D1024" s="5"/>
      <c r="E1024" s="5"/>
      <c r="F1024" s="5"/>
      <c r="G1024" s="5"/>
      <c r="H1024" s="11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5.6" x14ac:dyDescent="0.3">
      <c r="A1025" s="5"/>
      <c r="B1025" s="5"/>
      <c r="C1025" s="5"/>
      <c r="D1025" s="5"/>
      <c r="E1025" s="5"/>
      <c r="F1025" s="5"/>
      <c r="G1025" s="5"/>
      <c r="H1025" s="11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5.6" x14ac:dyDescent="0.3">
      <c r="A1026" s="5"/>
      <c r="B1026" s="5"/>
      <c r="C1026" s="5"/>
      <c r="D1026" s="5"/>
      <c r="E1026" s="5"/>
      <c r="F1026" s="5"/>
      <c r="G1026" s="5"/>
      <c r="H1026" s="11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5.6" x14ac:dyDescent="0.3">
      <c r="A1027" s="5"/>
      <c r="B1027" s="5"/>
      <c r="C1027" s="5"/>
      <c r="D1027" s="5"/>
      <c r="E1027" s="5"/>
      <c r="F1027" s="5"/>
      <c r="G1027" s="5"/>
      <c r="H1027" s="11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5.6" x14ac:dyDescent="0.3">
      <c r="A1028" s="5"/>
      <c r="B1028" s="5"/>
      <c r="C1028" s="5"/>
      <c r="D1028" s="5"/>
      <c r="E1028" s="5"/>
      <c r="F1028" s="5"/>
      <c r="G1028" s="5"/>
      <c r="H1028" s="11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5.6" x14ac:dyDescent="0.3">
      <c r="A1029" s="5"/>
      <c r="B1029" s="5"/>
      <c r="C1029" s="5"/>
      <c r="D1029" s="5"/>
      <c r="E1029" s="5"/>
      <c r="F1029" s="5"/>
      <c r="G1029" s="5"/>
      <c r="H1029" s="11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5.6" x14ac:dyDescent="0.3">
      <c r="A1030" s="5"/>
      <c r="B1030" s="5"/>
      <c r="C1030" s="5"/>
      <c r="D1030" s="5"/>
      <c r="E1030" s="5"/>
      <c r="F1030" s="5"/>
      <c r="G1030" s="5"/>
      <c r="H1030" s="11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5.6" x14ac:dyDescent="0.3">
      <c r="A1031" s="5"/>
      <c r="B1031" s="5"/>
      <c r="C1031" s="5"/>
      <c r="D1031" s="5"/>
      <c r="E1031" s="5"/>
      <c r="F1031" s="5"/>
      <c r="G1031" s="5"/>
      <c r="H1031" s="11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5.6" x14ac:dyDescent="0.3">
      <c r="A1032" s="5"/>
      <c r="B1032" s="5"/>
      <c r="C1032" s="5"/>
      <c r="D1032" s="5"/>
      <c r="E1032" s="5"/>
      <c r="F1032" s="5"/>
      <c r="G1032" s="5"/>
      <c r="H1032" s="11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5.6" x14ac:dyDescent="0.3">
      <c r="A1033" s="5"/>
      <c r="B1033" s="5"/>
      <c r="C1033" s="5"/>
      <c r="D1033" s="5"/>
      <c r="E1033" s="5"/>
      <c r="F1033" s="5"/>
      <c r="G1033" s="5"/>
      <c r="H1033" s="11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5.6" x14ac:dyDescent="0.3">
      <c r="A1034" s="5"/>
      <c r="B1034" s="5"/>
      <c r="C1034" s="5"/>
      <c r="D1034" s="5"/>
      <c r="E1034" s="5"/>
      <c r="F1034" s="5"/>
      <c r="G1034" s="5"/>
      <c r="H1034" s="11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5.6" x14ac:dyDescent="0.3">
      <c r="A1035" s="5"/>
      <c r="B1035" s="5"/>
      <c r="C1035" s="5"/>
      <c r="D1035" s="5"/>
      <c r="E1035" s="5"/>
      <c r="F1035" s="5"/>
      <c r="G1035" s="5"/>
      <c r="H1035" s="11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5.6" x14ac:dyDescent="0.3">
      <c r="A1036" s="5"/>
      <c r="B1036" s="5"/>
      <c r="C1036" s="5"/>
      <c r="D1036" s="5"/>
      <c r="E1036" s="5"/>
      <c r="F1036" s="5"/>
      <c r="G1036" s="5"/>
      <c r="H1036" s="11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5.6" x14ac:dyDescent="0.3">
      <c r="A1037" s="5"/>
      <c r="B1037" s="5"/>
      <c r="C1037" s="5"/>
      <c r="D1037" s="5"/>
      <c r="E1037" s="5"/>
      <c r="F1037" s="5"/>
      <c r="G1037" s="5"/>
      <c r="H1037" s="11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5.6" x14ac:dyDescent="0.3">
      <c r="A1038" s="5"/>
      <c r="B1038" s="5"/>
      <c r="C1038" s="5"/>
      <c r="D1038" s="5"/>
      <c r="E1038" s="5"/>
      <c r="F1038" s="5"/>
      <c r="G1038" s="5"/>
      <c r="H1038" s="11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5.6" x14ac:dyDescent="0.3">
      <c r="A1039" s="5"/>
      <c r="B1039" s="5"/>
      <c r="C1039" s="5"/>
      <c r="D1039" s="5"/>
      <c r="E1039" s="5"/>
      <c r="F1039" s="5"/>
      <c r="G1039" s="5"/>
      <c r="H1039" s="11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5" customHeight="1" x14ac:dyDescent="0.3">
      <c r="H1040" s="11"/>
      <c r="I1040" s="5"/>
      <c r="J1040" s="5"/>
      <c r="K1040" s="5"/>
      <c r="L1040" s="5"/>
      <c r="M1040" s="5"/>
      <c r="N1040" s="5"/>
    </row>
    <row r="1041" spans="8:14" ht="15" customHeight="1" x14ac:dyDescent="0.3">
      <c r="H1041" s="11"/>
      <c r="I1041" s="5"/>
      <c r="J1041" s="5"/>
      <c r="K1041" s="5"/>
      <c r="L1041" s="5"/>
      <c r="M1041" s="5"/>
      <c r="N1041" s="5"/>
    </row>
    <row r="1042" spans="8:14" ht="15" customHeight="1" x14ac:dyDescent="0.3">
      <c r="H1042" s="11"/>
      <c r="I1042" s="5"/>
      <c r="J1042" s="5"/>
      <c r="K1042" s="5"/>
      <c r="L1042" s="5"/>
      <c r="M1042" s="5"/>
      <c r="N1042" s="5"/>
    </row>
    <row r="1043" spans="8:14" ht="15" customHeight="1" x14ac:dyDescent="0.3">
      <c r="H1043" s="11"/>
      <c r="I1043" s="5"/>
      <c r="J1043" s="5"/>
      <c r="K1043" s="5"/>
      <c r="L1043" s="5"/>
      <c r="M1043" s="5"/>
      <c r="N1043" s="5"/>
    </row>
    <row r="1044" spans="8:14" ht="15" customHeight="1" x14ac:dyDescent="0.3">
      <c r="H1044" s="11"/>
      <c r="I1044" s="5"/>
      <c r="J1044" s="5"/>
      <c r="K1044" s="5"/>
      <c r="L1044" s="5"/>
      <c r="M1044" s="5"/>
      <c r="N1044" s="5"/>
    </row>
    <row r="1045" spans="8:14" ht="15" customHeight="1" x14ac:dyDescent="0.3">
      <c r="H1045" s="11"/>
      <c r="I1045" s="5"/>
      <c r="J1045" s="5"/>
      <c r="K1045" s="5"/>
      <c r="L1045" s="5"/>
      <c r="M1045" s="5"/>
      <c r="N1045" s="5"/>
    </row>
    <row r="1046" spans="8:14" ht="15" customHeight="1" x14ac:dyDescent="0.3">
      <c r="H1046" s="11"/>
      <c r="I1046" s="5"/>
      <c r="J1046" s="5"/>
      <c r="K1046" s="5"/>
      <c r="L1046" s="5"/>
      <c r="M1046" s="5"/>
      <c r="N1046" s="5"/>
    </row>
    <row r="1047" spans="8:14" ht="15" customHeight="1" x14ac:dyDescent="0.3">
      <c r="H1047" s="11"/>
      <c r="I1047" s="5"/>
      <c r="J1047" s="5"/>
      <c r="K1047" s="5"/>
      <c r="L1047" s="5"/>
      <c r="M1047" s="5"/>
      <c r="N1047" s="5"/>
    </row>
    <row r="1048" spans="8:14" ht="15" customHeight="1" x14ac:dyDescent="0.3">
      <c r="H1048" s="11"/>
      <c r="I1048" s="5"/>
      <c r="J1048" s="5"/>
      <c r="K1048" s="5"/>
      <c r="L1048" s="5"/>
      <c r="M1048" s="5"/>
      <c r="N1048" s="5"/>
    </row>
    <row r="1049" spans="8:14" ht="15" customHeight="1" x14ac:dyDescent="0.3">
      <c r="H1049" s="11"/>
      <c r="I1049" s="5"/>
      <c r="J1049" s="5"/>
      <c r="K1049" s="5"/>
      <c r="L1049" s="5"/>
      <c r="M1049" s="5"/>
      <c r="N1049" s="5"/>
    </row>
    <row r="1050" spans="8:14" ht="15" customHeight="1" x14ac:dyDescent="0.3">
      <c r="H1050" s="11"/>
      <c r="I1050" s="5"/>
      <c r="J1050" s="5"/>
      <c r="K1050" s="5"/>
      <c r="L1050" s="5"/>
      <c r="M1050" s="5"/>
      <c r="N1050" s="5"/>
    </row>
    <row r="1051" spans="8:14" ht="15" customHeight="1" x14ac:dyDescent="0.3">
      <c r="H1051" s="11"/>
      <c r="I1051" s="5"/>
      <c r="J1051" s="5"/>
      <c r="K1051" s="5"/>
      <c r="L1051" s="5"/>
      <c r="M1051" s="5"/>
      <c r="N1051" s="5"/>
    </row>
    <row r="1052" spans="8:14" ht="15" customHeight="1" x14ac:dyDescent="0.3">
      <c r="H1052" s="11"/>
      <c r="I1052" s="5"/>
      <c r="J1052" s="5"/>
      <c r="K1052" s="5"/>
      <c r="L1052" s="5"/>
      <c r="M1052" s="5"/>
      <c r="N1052" s="5"/>
    </row>
    <row r="1053" spans="8:14" ht="15" customHeight="1" x14ac:dyDescent="0.3">
      <c r="H1053" s="11"/>
      <c r="I1053" s="5"/>
      <c r="J1053" s="5"/>
      <c r="K1053" s="5"/>
      <c r="L1053" s="5"/>
      <c r="M1053" s="5"/>
      <c r="N1053" s="5"/>
    </row>
    <row r="1054" spans="8:14" ht="15" customHeight="1" x14ac:dyDescent="0.3">
      <c r="H1054" s="11"/>
      <c r="I1054" s="5"/>
      <c r="J1054" s="5"/>
      <c r="K1054" s="5"/>
      <c r="L1054" s="5"/>
      <c r="M1054" s="5"/>
      <c r="N1054" s="5"/>
    </row>
    <row r="1055" spans="8:14" ht="15" customHeight="1" x14ac:dyDescent="0.3">
      <c r="H1055" s="11"/>
      <c r="I1055" s="5"/>
      <c r="J1055" s="5"/>
      <c r="K1055" s="5"/>
      <c r="L1055" s="5"/>
      <c r="M1055" s="5"/>
      <c r="N1055" s="5"/>
    </row>
    <row r="1056" spans="8:14" ht="15" customHeight="1" x14ac:dyDescent="0.3">
      <c r="H1056" s="11"/>
      <c r="I1056" s="5"/>
      <c r="J1056" s="5"/>
      <c r="K1056" s="5"/>
      <c r="L1056" s="5"/>
      <c r="M1056" s="5"/>
      <c r="N1056" s="5"/>
    </row>
    <row r="1057" spans="8:14" ht="15" customHeight="1" x14ac:dyDescent="0.3">
      <c r="H1057" s="11"/>
      <c r="I1057" s="5"/>
      <c r="J1057" s="5"/>
      <c r="K1057" s="5"/>
      <c r="L1057" s="5"/>
      <c r="M1057" s="5"/>
      <c r="N1057" s="5"/>
    </row>
    <row r="1058" spans="8:14" ht="15" customHeight="1" x14ac:dyDescent="0.3">
      <c r="H1058" s="11"/>
      <c r="I1058" s="5"/>
      <c r="J1058" s="5"/>
      <c r="K1058" s="5"/>
      <c r="L1058" s="5"/>
      <c r="M1058" s="5"/>
      <c r="N1058" s="5"/>
    </row>
    <row r="1059" spans="8:14" ht="15" customHeight="1" x14ac:dyDescent="0.3">
      <c r="H1059" s="11"/>
      <c r="I1059" s="5"/>
      <c r="J1059" s="5"/>
      <c r="K1059" s="5"/>
      <c r="L1059" s="5"/>
      <c r="M1059" s="5"/>
      <c r="N1059" s="5"/>
    </row>
    <row r="1060" spans="8:14" ht="15" customHeight="1" x14ac:dyDescent="0.3">
      <c r="H1060" s="11"/>
      <c r="I1060" s="5"/>
      <c r="J1060" s="5"/>
      <c r="K1060" s="5"/>
      <c r="L1060" s="5"/>
      <c r="M1060" s="5"/>
      <c r="N1060" s="5"/>
    </row>
    <row r="1061" spans="8:14" ht="15" customHeight="1" x14ac:dyDescent="0.3">
      <c r="H1061" s="11"/>
      <c r="I1061" s="5"/>
      <c r="J1061" s="5"/>
      <c r="K1061" s="5"/>
      <c r="L1061" s="5"/>
      <c r="M1061" s="5"/>
      <c r="N1061" s="5"/>
    </row>
    <row r="1062" spans="8:14" ht="15" customHeight="1" x14ac:dyDescent="0.3">
      <c r="H1062" s="11"/>
      <c r="I1062" s="5"/>
      <c r="J1062" s="5"/>
      <c r="K1062" s="5"/>
      <c r="L1062" s="5"/>
      <c r="M1062" s="5"/>
      <c r="N1062" s="5"/>
    </row>
    <row r="1063" spans="8:14" ht="15" customHeight="1" x14ac:dyDescent="0.3">
      <c r="H1063" s="11"/>
      <c r="I1063" s="5"/>
      <c r="J1063" s="5"/>
      <c r="K1063" s="5"/>
      <c r="L1063" s="5"/>
      <c r="M1063" s="5"/>
      <c r="N1063" s="5"/>
    </row>
    <row r="1064" spans="8:14" ht="15" customHeight="1" x14ac:dyDescent="0.3">
      <c r="H1064" s="11"/>
      <c r="I1064" s="5"/>
      <c r="J1064" s="5"/>
      <c r="K1064" s="5"/>
      <c r="L1064" s="5"/>
      <c r="M1064" s="5"/>
      <c r="N1064" s="5"/>
    </row>
    <row r="1065" spans="8:14" ht="15" customHeight="1" x14ac:dyDescent="0.3">
      <c r="H1065" s="11"/>
      <c r="I1065" s="5"/>
      <c r="J1065" s="5"/>
      <c r="K1065" s="5"/>
      <c r="L1065" s="5"/>
      <c r="M1065" s="5"/>
      <c r="N1065" s="5"/>
    </row>
    <row r="1066" spans="8:14" ht="15" customHeight="1" x14ac:dyDescent="0.3">
      <c r="H1066" s="11"/>
      <c r="I1066" s="5"/>
      <c r="J1066" s="5"/>
      <c r="K1066" s="5"/>
      <c r="L1066" s="5"/>
      <c r="M1066" s="5"/>
      <c r="N1066" s="5"/>
    </row>
    <row r="1067" spans="8:14" ht="15" customHeight="1" x14ac:dyDescent="0.3">
      <c r="H1067" s="11"/>
      <c r="I1067" s="5"/>
      <c r="J1067" s="5"/>
      <c r="K1067" s="5"/>
      <c r="L1067" s="5"/>
      <c r="M1067" s="5"/>
      <c r="N1067" s="5"/>
    </row>
    <row r="1068" spans="8:14" ht="15" customHeight="1" x14ac:dyDescent="0.3">
      <c r="H1068" s="11"/>
      <c r="I1068" s="5"/>
      <c r="J1068" s="5"/>
      <c r="K1068" s="5"/>
      <c r="L1068" s="5"/>
      <c r="M1068" s="5"/>
      <c r="N1068" s="5"/>
    </row>
    <row r="1069" spans="8:14" ht="15" customHeight="1" x14ac:dyDescent="0.3">
      <c r="H1069" s="11"/>
      <c r="I1069" s="5"/>
      <c r="J1069" s="5"/>
      <c r="K1069" s="5"/>
      <c r="L1069" s="5"/>
      <c r="M1069" s="5"/>
      <c r="N1069" s="5"/>
    </row>
    <row r="1070" spans="8:14" ht="15" customHeight="1" x14ac:dyDescent="0.3">
      <c r="H1070" s="11"/>
      <c r="I1070" s="5"/>
      <c r="J1070" s="5"/>
      <c r="K1070" s="5"/>
      <c r="L1070" s="5"/>
      <c r="M1070" s="5"/>
      <c r="N1070" s="5"/>
    </row>
    <row r="1071" spans="8:14" ht="15" customHeight="1" x14ac:dyDescent="0.3">
      <c r="H1071" s="11"/>
      <c r="I1071" s="5"/>
      <c r="J1071" s="5"/>
      <c r="K1071" s="5"/>
      <c r="L1071" s="5"/>
      <c r="M1071" s="5"/>
      <c r="N1071" s="5"/>
    </row>
    <row r="1072" spans="8:14" ht="15" customHeight="1" x14ac:dyDescent="0.3">
      <c r="H1072" s="11"/>
      <c r="I1072" s="5"/>
      <c r="J1072" s="5"/>
      <c r="K1072" s="5"/>
      <c r="L1072" s="5"/>
      <c r="M1072" s="5"/>
      <c r="N1072" s="5"/>
    </row>
    <row r="1073" spans="8:14" ht="15" customHeight="1" x14ac:dyDescent="0.3">
      <c r="H1073" s="11"/>
      <c r="I1073" s="5"/>
      <c r="J1073" s="5"/>
      <c r="K1073" s="5"/>
      <c r="L1073" s="5"/>
      <c r="M1073" s="5"/>
      <c r="N1073" s="5"/>
    </row>
    <row r="1074" spans="8:14" ht="15" customHeight="1" x14ac:dyDescent="0.3">
      <c r="H1074" s="11"/>
      <c r="I1074" s="5"/>
      <c r="J1074" s="5"/>
      <c r="K1074" s="5"/>
      <c r="L1074" s="5"/>
      <c r="M1074" s="5"/>
      <c r="N1074" s="5"/>
    </row>
    <row r="1075" spans="8:14" ht="15" customHeight="1" x14ac:dyDescent="0.3">
      <c r="H1075" s="11"/>
      <c r="I1075" s="5"/>
      <c r="J1075" s="5"/>
      <c r="K1075" s="5"/>
      <c r="L1075" s="5"/>
      <c r="M1075" s="5"/>
      <c r="N1075" s="5"/>
    </row>
    <row r="1076" spans="8:14" ht="15" customHeight="1" x14ac:dyDescent="0.3">
      <c r="H1076" s="11"/>
      <c r="I1076" s="5"/>
      <c r="J1076" s="5"/>
      <c r="K1076" s="5"/>
      <c r="L1076" s="5"/>
      <c r="M1076" s="5"/>
      <c r="N1076" s="5"/>
    </row>
    <row r="1077" spans="8:14" ht="15" customHeight="1" x14ac:dyDescent="0.3">
      <c r="H1077" s="11"/>
      <c r="I1077" s="5"/>
      <c r="J1077" s="5"/>
      <c r="K1077" s="5"/>
      <c r="L1077" s="5"/>
      <c r="M1077" s="5"/>
      <c r="N1077" s="5"/>
    </row>
    <row r="1078" spans="8:14" ht="15" customHeight="1" x14ac:dyDescent="0.3">
      <c r="H1078" s="11"/>
      <c r="I1078" s="5"/>
      <c r="J1078" s="5"/>
      <c r="K1078" s="5"/>
      <c r="L1078" s="5"/>
      <c r="M1078" s="5"/>
      <c r="N1078" s="5"/>
    </row>
    <row r="1079" spans="8:14" ht="15" customHeight="1" x14ac:dyDescent="0.3">
      <c r="H1079" s="11"/>
      <c r="I1079" s="5"/>
      <c r="J1079" s="5"/>
      <c r="K1079" s="5"/>
      <c r="L1079" s="5"/>
      <c r="M1079" s="5"/>
      <c r="N1079" s="5"/>
    </row>
    <row r="1080" spans="8:14" ht="15" customHeight="1" x14ac:dyDescent="0.3">
      <c r="H1080" s="11"/>
      <c r="I1080" s="5"/>
      <c r="J1080" s="5"/>
      <c r="K1080" s="5"/>
      <c r="L1080" s="5"/>
      <c r="M1080" s="5"/>
      <c r="N1080" s="5"/>
    </row>
    <row r="1081" spans="8:14" ht="15" customHeight="1" x14ac:dyDescent="0.3">
      <c r="H1081" s="11"/>
      <c r="I1081" s="5"/>
      <c r="J1081" s="5"/>
      <c r="K1081" s="5"/>
      <c r="L1081" s="5"/>
      <c r="M1081" s="5"/>
      <c r="N1081" s="5"/>
    </row>
    <row r="1082" spans="8:14" ht="15" customHeight="1" x14ac:dyDescent="0.3">
      <c r="H1082" s="11"/>
      <c r="I1082" s="5"/>
      <c r="J1082" s="5"/>
      <c r="K1082" s="5"/>
      <c r="L1082" s="5"/>
      <c r="M1082" s="5"/>
      <c r="N1082" s="5"/>
    </row>
    <row r="1083" spans="8:14" ht="15" customHeight="1" x14ac:dyDescent="0.3">
      <c r="H1083" s="11"/>
      <c r="I1083" s="5"/>
      <c r="J1083" s="5"/>
      <c r="K1083" s="5"/>
      <c r="L1083" s="5"/>
      <c r="M1083" s="5"/>
      <c r="N1083" s="5"/>
    </row>
    <row r="1084" spans="8:14" ht="15" customHeight="1" x14ac:dyDescent="0.3">
      <c r="H1084" s="11"/>
      <c r="I1084" s="5"/>
      <c r="J1084" s="5"/>
      <c r="K1084" s="5"/>
      <c r="L1084" s="5"/>
      <c r="M1084" s="5"/>
      <c r="N1084" s="5"/>
    </row>
    <row r="1085" spans="8:14" ht="15" customHeight="1" x14ac:dyDescent="0.3">
      <c r="H1085" s="11"/>
      <c r="I1085" s="5"/>
      <c r="J1085" s="5"/>
      <c r="K1085" s="5"/>
      <c r="L1085" s="5"/>
      <c r="M1085" s="5"/>
      <c r="N1085" s="5"/>
    </row>
    <row r="1086" spans="8:14" ht="15" customHeight="1" x14ac:dyDescent="0.3">
      <c r="H1086" s="11"/>
      <c r="I1086" s="5"/>
      <c r="J1086" s="5"/>
      <c r="K1086" s="5"/>
      <c r="L1086" s="5"/>
      <c r="M1086" s="5"/>
      <c r="N1086" s="5"/>
    </row>
    <row r="1087" spans="8:14" ht="15" customHeight="1" x14ac:dyDescent="0.3">
      <c r="H1087" s="11"/>
      <c r="I1087" s="5"/>
      <c r="J1087" s="5"/>
      <c r="K1087" s="5"/>
      <c r="L1087" s="5"/>
      <c r="M1087" s="5"/>
      <c r="N1087" s="5"/>
    </row>
    <row r="1088" spans="8:14" ht="15" customHeight="1" x14ac:dyDescent="0.3">
      <c r="H1088" s="11"/>
      <c r="I1088" s="5"/>
      <c r="J1088" s="5"/>
      <c r="K1088" s="5"/>
      <c r="L1088" s="5"/>
      <c r="M1088" s="5"/>
      <c r="N1088" s="5"/>
    </row>
    <row r="1089" spans="8:14" ht="15" customHeight="1" x14ac:dyDescent="0.3">
      <c r="H1089" s="11"/>
      <c r="I1089" s="5"/>
      <c r="J1089" s="5"/>
      <c r="K1089" s="5"/>
      <c r="L1089" s="5"/>
      <c r="M1089" s="5"/>
      <c r="N1089" s="5"/>
    </row>
    <row r="1090" spans="8:14" ht="15" customHeight="1" x14ac:dyDescent="0.3">
      <c r="H1090" s="11"/>
      <c r="I1090" s="5"/>
      <c r="J1090" s="5"/>
      <c r="K1090" s="5"/>
      <c r="L1090" s="5"/>
      <c r="M1090" s="5"/>
      <c r="N1090" s="5"/>
    </row>
    <row r="1091" spans="8:14" ht="15" customHeight="1" x14ac:dyDescent="0.3">
      <c r="H1091" s="11"/>
      <c r="I1091" s="5"/>
      <c r="J1091" s="5"/>
      <c r="K1091" s="5"/>
      <c r="L1091" s="5"/>
      <c r="M1091" s="5"/>
      <c r="N1091" s="5"/>
    </row>
    <row r="1092" spans="8:14" ht="15" customHeight="1" x14ac:dyDescent="0.3">
      <c r="H1092" s="11"/>
      <c r="I1092" s="5"/>
      <c r="J1092" s="5"/>
      <c r="K1092" s="5"/>
      <c r="L1092" s="5"/>
      <c r="M1092" s="5"/>
      <c r="N1092" s="5"/>
    </row>
    <row r="1093" spans="8:14" ht="15" customHeight="1" x14ac:dyDescent="0.3">
      <c r="H1093" s="11"/>
      <c r="I1093" s="5"/>
      <c r="J1093" s="5"/>
      <c r="K1093" s="5"/>
      <c r="L1093" s="5"/>
      <c r="M1093" s="5"/>
      <c r="N1093" s="5"/>
    </row>
    <row r="1094" spans="8:14" ht="15" customHeight="1" x14ac:dyDescent="0.3">
      <c r="H1094" s="11"/>
      <c r="I1094" s="5"/>
      <c r="J1094" s="5"/>
      <c r="K1094" s="5"/>
      <c r="L1094" s="5"/>
      <c r="M1094" s="5"/>
      <c r="N1094" s="5"/>
    </row>
    <row r="1095" spans="8:14" ht="15" customHeight="1" x14ac:dyDescent="0.3">
      <c r="H1095" s="11"/>
      <c r="I1095" s="5"/>
      <c r="J1095" s="5"/>
      <c r="K1095" s="5"/>
      <c r="L1095" s="5"/>
      <c r="M1095" s="5"/>
      <c r="N1095" s="5"/>
    </row>
    <row r="1096" spans="8:14" ht="15" customHeight="1" x14ac:dyDescent="0.3">
      <c r="H1096" s="11"/>
      <c r="I1096" s="5"/>
      <c r="J1096" s="5"/>
      <c r="K1096" s="5"/>
      <c r="L1096" s="5"/>
      <c r="M1096" s="5"/>
      <c r="N1096" s="5"/>
    </row>
    <row r="1097" spans="8:14" ht="15" customHeight="1" x14ac:dyDescent="0.3">
      <c r="H1097" s="11"/>
      <c r="I1097" s="5"/>
      <c r="J1097" s="5"/>
      <c r="K1097" s="5"/>
      <c r="L1097" s="5"/>
      <c r="M1097" s="5"/>
      <c r="N1097" s="5"/>
    </row>
    <row r="1098" spans="8:14" ht="15" customHeight="1" x14ac:dyDescent="0.3">
      <c r="H1098" s="11"/>
      <c r="I1098" s="5"/>
      <c r="J1098" s="5"/>
      <c r="K1098" s="5"/>
      <c r="L1098" s="5"/>
      <c r="M1098" s="5"/>
      <c r="N1098" s="5"/>
    </row>
    <row r="1099" spans="8:14" ht="15" customHeight="1" x14ac:dyDescent="0.3">
      <c r="H1099" s="11"/>
      <c r="I1099" s="5"/>
      <c r="J1099" s="5"/>
      <c r="K1099" s="5"/>
      <c r="L1099" s="5"/>
      <c r="M1099" s="5"/>
      <c r="N1099" s="5"/>
    </row>
    <row r="1100" spans="8:14" ht="15" customHeight="1" x14ac:dyDescent="0.3">
      <c r="H1100" s="11"/>
      <c r="I1100" s="5"/>
      <c r="J1100" s="5"/>
      <c r="K1100" s="5"/>
      <c r="L1100" s="5"/>
      <c r="M1100" s="5"/>
      <c r="N1100" s="5"/>
    </row>
    <row r="1101" spans="8:14" ht="15" customHeight="1" x14ac:dyDescent="0.3">
      <c r="H1101" s="11"/>
      <c r="I1101" s="5"/>
      <c r="J1101" s="5"/>
      <c r="K1101" s="5"/>
      <c r="L1101" s="5"/>
      <c r="M1101" s="5"/>
      <c r="N1101" s="5"/>
    </row>
    <row r="1102" spans="8:14" ht="15" customHeight="1" x14ac:dyDescent="0.3">
      <c r="H1102" s="11"/>
      <c r="I1102" s="5"/>
      <c r="J1102" s="5"/>
      <c r="K1102" s="5"/>
      <c r="L1102" s="5"/>
      <c r="M1102" s="5"/>
      <c r="N1102" s="5"/>
    </row>
    <row r="1103" spans="8:14" ht="15" customHeight="1" x14ac:dyDescent="0.3">
      <c r="H1103" s="11"/>
      <c r="I1103" s="5"/>
      <c r="J1103" s="5"/>
      <c r="K1103" s="5"/>
      <c r="L1103" s="5"/>
      <c r="M1103" s="5"/>
      <c r="N1103" s="5"/>
    </row>
    <row r="1104" spans="8:14" ht="15" customHeight="1" x14ac:dyDescent="0.3">
      <c r="H1104" s="11"/>
      <c r="I1104" s="5"/>
      <c r="J1104" s="5"/>
      <c r="K1104" s="5"/>
      <c r="L1104" s="5"/>
      <c r="M1104" s="5"/>
      <c r="N1104" s="5"/>
    </row>
    <row r="1105" spans="8:14" ht="15" customHeight="1" x14ac:dyDescent="0.3">
      <c r="H1105" s="11"/>
      <c r="I1105" s="5"/>
      <c r="J1105" s="5"/>
      <c r="K1105" s="5"/>
      <c r="L1105" s="5"/>
      <c r="M1105" s="5"/>
      <c r="N1105" s="5"/>
    </row>
    <row r="1106" spans="8:14" ht="15" customHeight="1" x14ac:dyDescent="0.3">
      <c r="H1106" s="11"/>
      <c r="I1106" s="5"/>
      <c r="J1106" s="5"/>
      <c r="K1106" s="5"/>
      <c r="L1106" s="5"/>
      <c r="M1106" s="5"/>
      <c r="N1106" s="5"/>
    </row>
    <row r="1107" spans="8:14" ht="15" customHeight="1" x14ac:dyDescent="0.3">
      <c r="H1107" s="11"/>
      <c r="I1107" s="5"/>
      <c r="J1107" s="5"/>
      <c r="K1107" s="5"/>
      <c r="L1107" s="5"/>
      <c r="M1107" s="5"/>
      <c r="N1107" s="5"/>
    </row>
    <row r="1108" spans="8:14" ht="15" customHeight="1" x14ac:dyDescent="0.3">
      <c r="H1108" s="11"/>
      <c r="I1108" s="5"/>
      <c r="J1108" s="5"/>
      <c r="K1108" s="5"/>
      <c r="L1108" s="5"/>
      <c r="M1108" s="5"/>
      <c r="N1108" s="5"/>
    </row>
    <row r="1109" spans="8:14" ht="15" customHeight="1" x14ac:dyDescent="0.3">
      <c r="H1109" s="11"/>
      <c r="I1109" s="5"/>
      <c r="J1109" s="5"/>
      <c r="K1109" s="5"/>
      <c r="L1109" s="5"/>
      <c r="M1109" s="5"/>
      <c r="N1109" s="5"/>
    </row>
    <row r="1110" spans="8:14" ht="15" customHeight="1" x14ac:dyDescent="0.3">
      <c r="H1110" s="11"/>
      <c r="I1110" s="5"/>
      <c r="J1110" s="5"/>
      <c r="K1110" s="5"/>
      <c r="L1110" s="5"/>
      <c r="M1110" s="5"/>
      <c r="N1110" s="5"/>
    </row>
    <row r="1111" spans="8:14" ht="15" customHeight="1" x14ac:dyDescent="0.3">
      <c r="H1111" s="11"/>
      <c r="I1111" s="5"/>
      <c r="J1111" s="5"/>
      <c r="K1111" s="5"/>
      <c r="L1111" s="5"/>
      <c r="M1111" s="5"/>
      <c r="N1111" s="5"/>
    </row>
    <row r="1112" spans="8:14" ht="15" customHeight="1" x14ac:dyDescent="0.3">
      <c r="H1112" s="11"/>
      <c r="I1112" s="5"/>
      <c r="J1112" s="5"/>
      <c r="K1112" s="5"/>
      <c r="L1112" s="5"/>
      <c r="M1112" s="5"/>
      <c r="N1112" s="5"/>
    </row>
    <row r="1113" spans="8:14" ht="15" customHeight="1" x14ac:dyDescent="0.3">
      <c r="H1113" s="11"/>
      <c r="I1113" s="5"/>
      <c r="J1113" s="5"/>
      <c r="K1113" s="5"/>
      <c r="L1113" s="5"/>
      <c r="M1113" s="5"/>
      <c r="N1113" s="5"/>
    </row>
    <row r="1114" spans="8:14" ht="15" customHeight="1" x14ac:dyDescent="0.3">
      <c r="H1114" s="11"/>
      <c r="I1114" s="5"/>
      <c r="J1114" s="5"/>
      <c r="K1114" s="5"/>
      <c r="L1114" s="5"/>
      <c r="M1114" s="5"/>
      <c r="N1114" s="5"/>
    </row>
    <row r="1115" spans="8:14" ht="15" customHeight="1" x14ac:dyDescent="0.3">
      <c r="H1115" s="11"/>
      <c r="I1115" s="5"/>
      <c r="J1115" s="5"/>
      <c r="K1115" s="5"/>
      <c r="L1115" s="5"/>
      <c r="M1115" s="5"/>
      <c r="N1115" s="5"/>
    </row>
    <row r="1116" spans="8:14" ht="15" customHeight="1" x14ac:dyDescent="0.3">
      <c r="H1116" s="11"/>
      <c r="I1116" s="5"/>
      <c r="J1116" s="5"/>
      <c r="K1116" s="5"/>
      <c r="L1116" s="5"/>
      <c r="M1116" s="5"/>
      <c r="N1116" s="5"/>
    </row>
    <row r="1117" spans="8:14" ht="15" customHeight="1" x14ac:dyDescent="0.3">
      <c r="H1117" s="11"/>
      <c r="I1117" s="5"/>
      <c r="J1117" s="5"/>
      <c r="K1117" s="5"/>
      <c r="L1117" s="5"/>
      <c r="M1117" s="5"/>
      <c r="N1117" s="5"/>
    </row>
    <row r="1118" spans="8:14" ht="15" customHeight="1" x14ac:dyDescent="0.3">
      <c r="H1118" s="11"/>
      <c r="I1118" s="5"/>
      <c r="J1118" s="5"/>
      <c r="K1118" s="5"/>
      <c r="L1118" s="5"/>
      <c r="M1118" s="5"/>
      <c r="N1118" s="5"/>
    </row>
    <row r="1119" spans="8:14" ht="15" customHeight="1" x14ac:dyDescent="0.3">
      <c r="H1119" s="11"/>
      <c r="I1119" s="5"/>
      <c r="J1119" s="5"/>
      <c r="K1119" s="5"/>
      <c r="L1119" s="5"/>
      <c r="M1119" s="5"/>
      <c r="N1119" s="5"/>
    </row>
    <row r="1120" spans="8:14" ht="15" customHeight="1" x14ac:dyDescent="0.3">
      <c r="H1120" s="11"/>
      <c r="I1120" s="5"/>
      <c r="J1120" s="5"/>
      <c r="K1120" s="5"/>
      <c r="L1120" s="5"/>
      <c r="M1120" s="5"/>
      <c r="N1120" s="5"/>
    </row>
    <row r="1121" spans="8:14" ht="15" customHeight="1" x14ac:dyDescent="0.3">
      <c r="H1121" s="11"/>
      <c r="I1121" s="5"/>
      <c r="J1121" s="5"/>
      <c r="K1121" s="5"/>
      <c r="L1121" s="5"/>
      <c r="M1121" s="5"/>
      <c r="N1121" s="5"/>
    </row>
    <row r="1122" spans="8:14" ht="15" customHeight="1" x14ac:dyDescent="0.3">
      <c r="H1122" s="11"/>
      <c r="I1122" s="5"/>
      <c r="J1122" s="5"/>
      <c r="K1122" s="5"/>
      <c r="L1122" s="5"/>
      <c r="M1122" s="5"/>
      <c r="N1122" s="5"/>
    </row>
    <row r="1123" spans="8:14" ht="15" customHeight="1" x14ac:dyDescent="0.3">
      <c r="H1123" s="11"/>
      <c r="I1123" s="5"/>
      <c r="J1123" s="5"/>
      <c r="K1123" s="5"/>
      <c r="L1123" s="5"/>
      <c r="M1123" s="5"/>
      <c r="N1123" s="5"/>
    </row>
    <row r="1124" spans="8:14" ht="15" customHeight="1" x14ac:dyDescent="0.3">
      <c r="H1124" s="11"/>
      <c r="I1124" s="5"/>
      <c r="J1124" s="5"/>
      <c r="K1124" s="5"/>
      <c r="L1124" s="5"/>
      <c r="M1124" s="5"/>
      <c r="N1124" s="5"/>
    </row>
    <row r="1125" spans="8:14" ht="15" customHeight="1" x14ac:dyDescent="0.3">
      <c r="H1125" s="11"/>
      <c r="I1125" s="5"/>
      <c r="J1125" s="5"/>
      <c r="K1125" s="5"/>
      <c r="L1125" s="5"/>
      <c r="M1125" s="5"/>
      <c r="N1125" s="5"/>
    </row>
    <row r="1126" spans="8:14" ht="15" customHeight="1" x14ac:dyDescent="0.3">
      <c r="H1126" s="11"/>
      <c r="I1126" s="5"/>
      <c r="J1126" s="5"/>
      <c r="K1126" s="5"/>
      <c r="L1126" s="5"/>
      <c r="M1126" s="5"/>
      <c r="N1126" s="5"/>
    </row>
    <row r="1127" spans="8:14" ht="15" customHeight="1" x14ac:dyDescent="0.3">
      <c r="H1127" s="11"/>
      <c r="I1127" s="5"/>
      <c r="J1127" s="5"/>
      <c r="K1127" s="5"/>
      <c r="L1127" s="5"/>
      <c r="M1127" s="5"/>
      <c r="N1127" s="5"/>
    </row>
    <row r="1128" spans="8:14" ht="15" customHeight="1" x14ac:dyDescent="0.3">
      <c r="H1128" s="11"/>
      <c r="I1128" s="5"/>
      <c r="J1128" s="5"/>
      <c r="K1128" s="5"/>
      <c r="L1128" s="5"/>
      <c r="M1128" s="5"/>
      <c r="N1128" s="5"/>
    </row>
    <row r="1129" spans="8:14" ht="15" customHeight="1" x14ac:dyDescent="0.3">
      <c r="H1129" s="11"/>
      <c r="I1129" s="5"/>
      <c r="J1129" s="5"/>
      <c r="K1129" s="5"/>
      <c r="L1129" s="5"/>
      <c r="M1129" s="5"/>
      <c r="N1129" s="5"/>
    </row>
    <row r="1130" spans="8:14" ht="15" customHeight="1" x14ac:dyDescent="0.3">
      <c r="H1130" s="11"/>
      <c r="I1130" s="5"/>
      <c r="J1130" s="5"/>
      <c r="K1130" s="5"/>
      <c r="L1130" s="5"/>
      <c r="M1130" s="5"/>
      <c r="N1130" s="5"/>
    </row>
    <row r="1131" spans="8:14" ht="15" customHeight="1" x14ac:dyDescent="0.3">
      <c r="H1131" s="11"/>
      <c r="I1131" s="5"/>
      <c r="J1131" s="5"/>
      <c r="K1131" s="5"/>
      <c r="L1131" s="5"/>
      <c r="M1131" s="5"/>
      <c r="N1131" s="5"/>
    </row>
    <row r="1132" spans="8:14" ht="15" customHeight="1" x14ac:dyDescent="0.3">
      <c r="H1132" s="11"/>
      <c r="I1132" s="5"/>
      <c r="J1132" s="5"/>
      <c r="K1132" s="5"/>
      <c r="L1132" s="5"/>
      <c r="M1132" s="5"/>
      <c r="N1132" s="5"/>
    </row>
    <row r="1133" spans="8:14" ht="15" customHeight="1" x14ac:dyDescent="0.3">
      <c r="H1133" s="11"/>
      <c r="I1133" s="5"/>
      <c r="J1133" s="5"/>
      <c r="K1133" s="5"/>
      <c r="L1133" s="5"/>
      <c r="M1133" s="5"/>
      <c r="N1133" s="5"/>
    </row>
    <row r="1134" spans="8:14" ht="15" customHeight="1" x14ac:dyDescent="0.3">
      <c r="H1134" s="11"/>
      <c r="I1134" s="5"/>
      <c r="J1134" s="5"/>
      <c r="K1134" s="5"/>
      <c r="L1134" s="5"/>
      <c r="M1134" s="5"/>
      <c r="N1134" s="5"/>
    </row>
    <row r="1135" spans="8:14" ht="15" customHeight="1" x14ac:dyDescent="0.3">
      <c r="H1135" s="11"/>
      <c r="I1135" s="5"/>
      <c r="J1135" s="5"/>
      <c r="K1135" s="5"/>
      <c r="L1135" s="5"/>
      <c r="M1135" s="5"/>
      <c r="N1135" s="5"/>
    </row>
    <row r="1136" spans="8:14" ht="15" customHeight="1" x14ac:dyDescent="0.3">
      <c r="H1136" s="11"/>
      <c r="I1136" s="5"/>
      <c r="J1136" s="5"/>
      <c r="K1136" s="5"/>
      <c r="L1136" s="5"/>
      <c r="M1136" s="5"/>
      <c r="N1136" s="5"/>
    </row>
    <row r="1137" spans="8:14" ht="15" customHeight="1" x14ac:dyDescent="0.3">
      <c r="H1137" s="11"/>
      <c r="I1137" s="5"/>
      <c r="J1137" s="5"/>
      <c r="K1137" s="5"/>
      <c r="L1137" s="5"/>
      <c r="M1137" s="5"/>
      <c r="N1137" s="5"/>
    </row>
    <row r="1138" spans="8:14" ht="15" customHeight="1" x14ac:dyDescent="0.3">
      <c r="H1138" s="11"/>
      <c r="I1138" s="5"/>
      <c r="J1138" s="5"/>
      <c r="K1138" s="5"/>
      <c r="L1138" s="5"/>
      <c r="M1138" s="5"/>
      <c r="N1138" s="5"/>
    </row>
    <row r="1139" spans="8:14" ht="15" customHeight="1" x14ac:dyDescent="0.3">
      <c r="H1139" s="11"/>
      <c r="I1139" s="5"/>
      <c r="J1139" s="5"/>
      <c r="K1139" s="5"/>
      <c r="L1139" s="5"/>
      <c r="M1139" s="5"/>
      <c r="N1139" s="5"/>
    </row>
    <row r="1140" spans="8:14" ht="15" customHeight="1" x14ac:dyDescent="0.3">
      <c r="H1140" s="11"/>
      <c r="I1140" s="5"/>
      <c r="J1140" s="5"/>
      <c r="K1140" s="5"/>
      <c r="L1140" s="5"/>
      <c r="M1140" s="5"/>
      <c r="N1140" s="5"/>
    </row>
    <row r="1141" spans="8:14" ht="15" customHeight="1" x14ac:dyDescent="0.3">
      <c r="H1141" s="11"/>
      <c r="I1141" s="5"/>
      <c r="J1141" s="5"/>
      <c r="K1141" s="5"/>
      <c r="L1141" s="5"/>
      <c r="M1141" s="5"/>
      <c r="N1141" s="5"/>
    </row>
    <row r="1142" spans="8:14" ht="15" customHeight="1" x14ac:dyDescent="0.3">
      <c r="H1142" s="11"/>
      <c r="I1142" s="5"/>
      <c r="J1142" s="5"/>
      <c r="K1142" s="5"/>
      <c r="L1142" s="5"/>
      <c r="M1142" s="5"/>
      <c r="N1142" s="5"/>
    </row>
    <row r="1143" spans="8:14" ht="15" customHeight="1" x14ac:dyDescent="0.3">
      <c r="H1143" s="11"/>
      <c r="I1143" s="5"/>
      <c r="J1143" s="5"/>
      <c r="K1143" s="5"/>
      <c r="L1143" s="5"/>
      <c r="M1143" s="5"/>
      <c r="N1143" s="5"/>
    </row>
    <row r="1144" spans="8:14" ht="15" customHeight="1" x14ac:dyDescent="0.3">
      <c r="H1144" s="11"/>
      <c r="I1144" s="5"/>
      <c r="J1144" s="5"/>
      <c r="K1144" s="5"/>
      <c r="L1144" s="5"/>
      <c r="M1144" s="5"/>
      <c r="N1144" s="5"/>
    </row>
    <row r="1145" spans="8:14" ht="15" customHeight="1" x14ac:dyDescent="0.3">
      <c r="H1145" s="11"/>
      <c r="I1145" s="5"/>
      <c r="J1145" s="5"/>
      <c r="K1145" s="5"/>
      <c r="L1145" s="5"/>
      <c r="M1145" s="5"/>
      <c r="N1145" s="5"/>
    </row>
    <row r="1146" spans="8:14" ht="15" customHeight="1" x14ac:dyDescent="0.3">
      <c r="H1146" s="11"/>
      <c r="I1146" s="5"/>
      <c r="J1146" s="5"/>
      <c r="K1146" s="5"/>
      <c r="L1146" s="5"/>
      <c r="M1146" s="5"/>
      <c r="N1146" s="5"/>
    </row>
    <row r="1147" spans="8:14" ht="15" customHeight="1" x14ac:dyDescent="0.3">
      <c r="H1147" s="11"/>
      <c r="I1147" s="5"/>
      <c r="J1147" s="5"/>
      <c r="K1147" s="5"/>
      <c r="L1147" s="5"/>
      <c r="M1147" s="5"/>
      <c r="N1147" s="5"/>
    </row>
    <row r="1148" spans="8:14" ht="15" customHeight="1" x14ac:dyDescent="0.3">
      <c r="H1148" s="11"/>
      <c r="I1148" s="5"/>
      <c r="J1148" s="5"/>
      <c r="K1148" s="5"/>
      <c r="L1148" s="5"/>
      <c r="M1148" s="5"/>
      <c r="N1148" s="5"/>
    </row>
    <row r="1149" spans="8:14" ht="15" customHeight="1" x14ac:dyDescent="0.3">
      <c r="H1149" s="11"/>
      <c r="I1149" s="5"/>
      <c r="J1149" s="5"/>
      <c r="K1149" s="5"/>
      <c r="L1149" s="5"/>
      <c r="M1149" s="5"/>
      <c r="N1149" s="5"/>
    </row>
    <row r="1150" spans="8:14" ht="15" customHeight="1" x14ac:dyDescent="0.3">
      <c r="H1150" s="11"/>
      <c r="I1150" s="5"/>
      <c r="J1150" s="5"/>
      <c r="K1150" s="5"/>
      <c r="L1150" s="5"/>
      <c r="M1150" s="5"/>
      <c r="N1150" s="5"/>
    </row>
    <row r="1151" spans="8:14" ht="15" customHeight="1" x14ac:dyDescent="0.3">
      <c r="H1151" s="11"/>
      <c r="I1151" s="5"/>
      <c r="J1151" s="5"/>
      <c r="K1151" s="5"/>
      <c r="L1151" s="5"/>
      <c r="M1151" s="5"/>
      <c r="N1151" s="5"/>
    </row>
    <row r="1152" spans="8:14" ht="15" customHeight="1" x14ac:dyDescent="0.3">
      <c r="H1152" s="11"/>
      <c r="I1152" s="5"/>
      <c r="J1152" s="5"/>
      <c r="K1152" s="5"/>
      <c r="L1152" s="5"/>
      <c r="M1152" s="5"/>
      <c r="N1152" s="5"/>
    </row>
    <row r="1153" spans="8:14" ht="15" customHeight="1" x14ac:dyDescent="0.3">
      <c r="H1153" s="11"/>
      <c r="I1153" s="5"/>
      <c r="J1153" s="5"/>
      <c r="K1153" s="5"/>
      <c r="L1153" s="5"/>
      <c r="M1153" s="5"/>
      <c r="N1153" s="5"/>
    </row>
    <row r="1154" spans="8:14" ht="15" customHeight="1" x14ac:dyDescent="0.3">
      <c r="H1154" s="11"/>
      <c r="I1154" s="5"/>
      <c r="J1154" s="5"/>
      <c r="K1154" s="5"/>
      <c r="L1154" s="5"/>
      <c r="M1154" s="5"/>
      <c r="N1154" s="5"/>
    </row>
    <row r="1155" spans="8:14" ht="15" customHeight="1" x14ac:dyDescent="0.3">
      <c r="H1155" s="11"/>
      <c r="I1155" s="5"/>
      <c r="J1155" s="5"/>
      <c r="K1155" s="5"/>
      <c r="L1155" s="5"/>
      <c r="M1155" s="5"/>
      <c r="N1155" s="5"/>
    </row>
    <row r="1156" spans="8:14" ht="15" customHeight="1" x14ac:dyDescent="0.3">
      <c r="H1156" s="11"/>
      <c r="I1156" s="5"/>
      <c r="J1156" s="5"/>
      <c r="K1156" s="5"/>
      <c r="L1156" s="5"/>
      <c r="M1156" s="5"/>
      <c r="N1156" s="5"/>
    </row>
    <row r="1157" spans="8:14" ht="15" customHeight="1" x14ac:dyDescent="0.3">
      <c r="H1157" s="11"/>
      <c r="I1157" s="5"/>
      <c r="J1157" s="5"/>
      <c r="K1157" s="5"/>
      <c r="L1157" s="5"/>
      <c r="M1157" s="5"/>
      <c r="N1157" s="5"/>
    </row>
    <row r="1158" spans="8:14" ht="15" customHeight="1" x14ac:dyDescent="0.3">
      <c r="H1158" s="11"/>
      <c r="I1158" s="5"/>
      <c r="J1158" s="5"/>
      <c r="K1158" s="5"/>
      <c r="L1158" s="5"/>
      <c r="M1158" s="5"/>
      <c r="N1158" s="5"/>
    </row>
  </sheetData>
  <customSheetViews>
    <customSheetView guid="{00901832-EFD8-4C78-9128-EC691A24DF17}" filter="1" showAutoFilter="1">
      <pageMargins left="0.7" right="0.7" top="0.75" bottom="0.75" header="0.3" footer="0.3"/>
      <autoFilter ref="H2:N25" xr:uid="{26C05B96-4F26-468C-97B8-BFBCAE163062}"/>
    </customSheetView>
    <customSheetView guid="{84CCB753-7D65-4F81-8D7C-3BC5B6117651}" filter="1" showAutoFilter="1">
      <pageMargins left="0.7" right="0.7" top="0.75" bottom="0.75" header="0.3" footer="0.3"/>
      <autoFilter ref="A2:E7" xr:uid="{06B96879-3AED-46E5-AC4B-1B05C0B8E713}"/>
    </customSheetView>
  </customSheetViews>
  <mergeCells count="2">
    <mergeCell ref="A1:E1"/>
    <mergeCell ref="H1:N1"/>
  </mergeCells>
  <conditionalFormatting sqref="E3:E4 E6">
    <cfRule type="cellIs" dxfId="3" priority="1" operator="lessThan">
      <formula>1500</formula>
    </cfRule>
  </conditionalFormatting>
  <pageMargins left="0.7" right="0.7" top="0.75" bottom="0.75" header="0" footer="0"/>
  <pageSetup orientation="landscape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Z1005"/>
  <sheetViews>
    <sheetView topLeftCell="B301" workbookViewId="0">
      <selection activeCell="L322" sqref="L322"/>
    </sheetView>
  </sheetViews>
  <sheetFormatPr defaultColWidth="14.44140625" defaultRowHeight="15" customHeight="1" x14ac:dyDescent="0.3"/>
  <cols>
    <col min="1" max="2" width="21.109375" customWidth="1"/>
    <col min="3" max="3" width="16.44140625" customWidth="1"/>
    <col min="4" max="4" width="15.44140625" customWidth="1"/>
    <col min="5" max="5" width="17" customWidth="1"/>
    <col min="6" max="6" width="20.5546875" customWidth="1"/>
    <col min="7" max="8" width="14.6640625" customWidth="1"/>
    <col min="9" max="9" width="23.88671875" customWidth="1"/>
    <col min="10" max="11" width="13.88671875" customWidth="1"/>
    <col min="12" max="12" width="11.6640625" customWidth="1"/>
    <col min="13" max="14" width="8.88671875" customWidth="1"/>
    <col min="15" max="26" width="8.6640625" customWidth="1"/>
  </cols>
  <sheetData>
    <row r="1" spans="1:26" ht="29.25" customHeight="1" x14ac:dyDescent="0.3">
      <c r="A1" s="1" t="s">
        <v>7</v>
      </c>
      <c r="B1" s="1"/>
      <c r="C1" s="420" t="s">
        <v>8</v>
      </c>
      <c r="D1" s="419"/>
      <c r="E1" s="419"/>
      <c r="F1" s="419"/>
      <c r="G1" s="419"/>
      <c r="H1" s="2">
        <v>6416973</v>
      </c>
      <c r="I1" s="3"/>
      <c r="J1" s="3">
        <f>SUM(Table_1[Benzine 1])</f>
        <v>494093</v>
      </c>
      <c r="K1" s="3">
        <f>SUM(Table_1[Benzine 2])</f>
        <v>396810</v>
      </c>
      <c r="L1" s="3">
        <f>SUM(Table_1[Mezout])</f>
        <v>315152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18</v>
      </c>
      <c r="K2" s="6" t="s">
        <v>19</v>
      </c>
      <c r="L2" s="6" t="s">
        <v>20</v>
      </c>
      <c r="M2" s="6" t="s">
        <v>21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 x14ac:dyDescent="0.3">
      <c r="A3" s="7" t="s">
        <v>7</v>
      </c>
      <c r="B3" s="7"/>
      <c r="C3" s="8">
        <v>36249</v>
      </c>
      <c r="D3" s="8">
        <v>12951</v>
      </c>
      <c r="E3" s="8">
        <v>27540</v>
      </c>
      <c r="F3" s="8">
        <v>7191</v>
      </c>
      <c r="G3" s="8">
        <v>6614230</v>
      </c>
      <c r="H3" s="8">
        <v>6416973</v>
      </c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0">
        <v>45965</v>
      </c>
      <c r="B4" s="10"/>
      <c r="C4" s="9">
        <v>37203</v>
      </c>
      <c r="D4" s="9">
        <v>13431</v>
      </c>
      <c r="E4" s="9">
        <v>28569</v>
      </c>
      <c r="F4" s="9">
        <v>7466</v>
      </c>
      <c r="G4" s="9">
        <v>6614729</v>
      </c>
      <c r="H4" s="9">
        <v>6417061</v>
      </c>
      <c r="I4" s="9"/>
      <c r="J4" s="9">
        <f>'ODOMETERS Halba'!$C4+'ODOMETERS Halba'!$D4-D3-C3</f>
        <v>1434</v>
      </c>
      <c r="K4" s="9">
        <f>'ODOMETERS Halba'!$E4+'ODOMETERS Halba'!$F4-F3-E3</f>
        <v>1304</v>
      </c>
      <c r="L4" s="9">
        <f>'ODOMETERS Halba'!$G4+'ODOMETERS Halba'!$H4-H3-G3</f>
        <v>587</v>
      </c>
      <c r="M4" s="9">
        <f>'ODOMETERS Halba'!$J4+'ODOMETERS Halba'!$K4+'ODOMETERS Halba'!$L4</f>
        <v>3325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 x14ac:dyDescent="0.3">
      <c r="A5" s="10">
        <v>45966</v>
      </c>
      <c r="B5" s="10"/>
      <c r="C5" s="9">
        <v>37855</v>
      </c>
      <c r="D5" s="9">
        <v>13814</v>
      </c>
      <c r="E5" s="9">
        <v>29326</v>
      </c>
      <c r="F5" s="9">
        <v>7605</v>
      </c>
      <c r="G5" s="9">
        <v>6615020</v>
      </c>
      <c r="H5" s="9">
        <v>6417187</v>
      </c>
      <c r="I5" s="9"/>
      <c r="J5" s="9">
        <f>'ODOMETERS Halba'!$C5+'ODOMETERS Halba'!$D5-D4-C4</f>
        <v>1035</v>
      </c>
      <c r="K5" s="9">
        <f>'ODOMETERS Halba'!$E5+'ODOMETERS Halba'!$F5-F4-E4</f>
        <v>896</v>
      </c>
      <c r="L5" s="9">
        <f>'ODOMETERS Halba'!$G5+'ODOMETERS Halba'!$H5-H4-G4</f>
        <v>417</v>
      </c>
      <c r="M5" s="9">
        <f>'ODOMETERS Halba'!$J5+'ODOMETERS Halba'!$K5+'ODOMETERS Halba'!$L5</f>
        <v>2348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 x14ac:dyDescent="0.3">
      <c r="A6" s="10">
        <v>45967</v>
      </c>
      <c r="B6" s="10"/>
      <c r="C6" s="9">
        <v>38625</v>
      </c>
      <c r="D6" s="9">
        <v>14258</v>
      </c>
      <c r="E6" s="9">
        <v>30174</v>
      </c>
      <c r="F6" s="9">
        <v>7731</v>
      </c>
      <c r="G6" s="9">
        <v>6615340</v>
      </c>
      <c r="H6" s="9">
        <v>6417308</v>
      </c>
      <c r="I6" s="9"/>
      <c r="J6" s="9">
        <f>'ODOMETERS Halba'!$C6+'ODOMETERS Halba'!$D6-D5-C5</f>
        <v>1214</v>
      </c>
      <c r="K6" s="9">
        <f>'ODOMETERS Halba'!$E6+'ODOMETERS Halba'!$F6-F5-E5</f>
        <v>974</v>
      </c>
      <c r="L6" s="9">
        <f>'ODOMETERS Halba'!$G6+'ODOMETERS Halba'!$H6-H5-G5</f>
        <v>441</v>
      </c>
      <c r="M6" s="9">
        <f>'ODOMETERS Halba'!$J6+'ODOMETERS Halba'!$K6+'ODOMETERS Halba'!$L6</f>
        <v>2629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3">
      <c r="A7" s="10">
        <v>45968</v>
      </c>
      <c r="B7" s="10" t="s">
        <v>22</v>
      </c>
      <c r="C7" s="9">
        <v>39057</v>
      </c>
      <c r="D7" s="9">
        <v>14436</v>
      </c>
      <c r="E7" s="9">
        <v>30546</v>
      </c>
      <c r="F7" s="9">
        <v>7817</v>
      </c>
      <c r="G7" s="9">
        <v>6615535</v>
      </c>
      <c r="H7" s="9">
        <v>6417425</v>
      </c>
      <c r="I7" s="9"/>
      <c r="J7" s="9">
        <f>'ODOMETERS Halba'!$C7+'ODOMETERS Halba'!$D7-D6-C6</f>
        <v>610</v>
      </c>
      <c r="K7" s="9">
        <f>'ODOMETERS Halba'!$E7+'ODOMETERS Halba'!$F7-F6-E6</f>
        <v>458</v>
      </c>
      <c r="L7" s="9">
        <f>'ODOMETERS Halba'!$G7+'ODOMETERS Halba'!$H7-H6-G6</f>
        <v>312</v>
      </c>
      <c r="M7" s="9">
        <f>'ODOMETERS Halba'!$J7+'ODOMETERS Halba'!$K7+'ODOMETERS Halba'!$L7</f>
        <v>1380</v>
      </c>
      <c r="N7" s="41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10">
        <v>45968</v>
      </c>
      <c r="B8" s="10" t="s">
        <v>23</v>
      </c>
      <c r="C8" s="9">
        <v>39403</v>
      </c>
      <c r="D8" s="9">
        <v>14617</v>
      </c>
      <c r="E8" s="9">
        <v>30987</v>
      </c>
      <c r="F8" s="9">
        <v>7957</v>
      </c>
      <c r="G8" s="9">
        <v>6615646</v>
      </c>
      <c r="H8" s="9">
        <v>6417483</v>
      </c>
      <c r="I8" s="9"/>
      <c r="J8" s="9">
        <f>'ODOMETERS Halba'!$C8+'ODOMETERS Halba'!$D8-D7-C7</f>
        <v>527</v>
      </c>
      <c r="K8" s="9">
        <f>'ODOMETERS Halba'!$E8+'ODOMETERS Halba'!$F8-F7-E7</f>
        <v>581</v>
      </c>
      <c r="L8" s="9">
        <f>'ODOMETERS Halba'!$G8+'ODOMETERS Halba'!$H8-H7-G7</f>
        <v>169</v>
      </c>
      <c r="M8" s="9">
        <f>'ODOMETERS Halba'!$J8+'ODOMETERS Halba'!$K8+'ODOMETERS Halba'!$L8</f>
        <v>1277</v>
      </c>
      <c r="N8" s="419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10">
        <v>45969</v>
      </c>
      <c r="B9" s="10"/>
      <c r="C9" s="9">
        <v>40689</v>
      </c>
      <c r="D9" s="9">
        <v>15226</v>
      </c>
      <c r="E9" s="9">
        <v>31886</v>
      </c>
      <c r="F9" s="9">
        <v>8117</v>
      </c>
      <c r="G9" s="9">
        <v>6615904</v>
      </c>
      <c r="H9" s="9">
        <v>6417659</v>
      </c>
      <c r="I9" s="9"/>
      <c r="J9" s="9">
        <f>'ODOMETERS Halba'!$C9+'ODOMETERS Halba'!$D9-D8-C8</f>
        <v>1895</v>
      </c>
      <c r="K9" s="9">
        <f>'ODOMETERS Halba'!$E9+'ODOMETERS Halba'!$F9-F8-E8</f>
        <v>1059</v>
      </c>
      <c r="L9" s="9">
        <f>'ODOMETERS Halba'!$G9+'ODOMETERS Halba'!$H9-H8-G8</f>
        <v>434</v>
      </c>
      <c r="M9" s="9">
        <f>'ODOMETERS Halba'!$J9+'ODOMETERS Halba'!$K9+'ODOMETERS Halba'!$L9</f>
        <v>3388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10">
        <v>45970</v>
      </c>
      <c r="B10" s="10"/>
      <c r="C10" s="9">
        <v>42154</v>
      </c>
      <c r="D10" s="9">
        <v>15849</v>
      </c>
      <c r="E10" s="9">
        <v>32384</v>
      </c>
      <c r="F10" s="9">
        <v>8204</v>
      </c>
      <c r="G10" s="9">
        <v>6616216</v>
      </c>
      <c r="H10" s="9">
        <v>6419864</v>
      </c>
      <c r="I10" s="9"/>
      <c r="J10" s="9">
        <f>'ODOMETERS Halba'!$C10+'ODOMETERS Halba'!$D10-D9-C9</f>
        <v>2088</v>
      </c>
      <c r="K10" s="9">
        <f>'ODOMETERS Halba'!$E10+'ODOMETERS Halba'!$F10-F9-E9</f>
        <v>585</v>
      </c>
      <c r="L10" s="9">
        <f>'ODOMETERS Halba'!$G10+'ODOMETERS Halba'!$H10-H9-G9</f>
        <v>2517</v>
      </c>
      <c r="M10" s="9">
        <f>'ODOMETERS Halba'!$J10+'ODOMETERS Halba'!$K10+'ODOMETERS Halba'!$L10</f>
        <v>5190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10">
        <v>45971</v>
      </c>
      <c r="B11" s="10"/>
      <c r="C11" s="9">
        <v>43690</v>
      </c>
      <c r="D11" s="9">
        <v>16344</v>
      </c>
      <c r="E11" s="9">
        <v>32643</v>
      </c>
      <c r="F11" s="9">
        <v>8373</v>
      </c>
      <c r="G11" s="9">
        <v>6616645</v>
      </c>
      <c r="H11" s="9">
        <v>6420075</v>
      </c>
      <c r="I11" s="9"/>
      <c r="J11" s="9">
        <f>'ODOMETERS Halba'!$C11+'ODOMETERS Halba'!$D11-D10-C10</f>
        <v>2031</v>
      </c>
      <c r="K11" s="9">
        <f>'ODOMETERS Halba'!$E11+'ODOMETERS Halba'!$F11-F10-E10</f>
        <v>428</v>
      </c>
      <c r="L11" s="9">
        <f>'ODOMETERS Halba'!$G11+'ODOMETERS Halba'!$H11-H10-G10</f>
        <v>640</v>
      </c>
      <c r="M11" s="9">
        <f>'ODOMETERS Halba'!$J11+'ODOMETERS Halba'!$K11+'ODOMETERS Halba'!$L11</f>
        <v>3099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10">
        <v>45972</v>
      </c>
      <c r="B12" s="9" t="s">
        <v>24</v>
      </c>
      <c r="C12" s="9">
        <v>44370</v>
      </c>
      <c r="D12" s="9">
        <v>16598</v>
      </c>
      <c r="E12" s="9">
        <v>33056</v>
      </c>
      <c r="F12" s="9">
        <v>8425</v>
      </c>
      <c r="G12" s="9">
        <v>6616910</v>
      </c>
      <c r="H12" s="9">
        <v>6421136</v>
      </c>
      <c r="I12" s="9"/>
      <c r="J12" s="9">
        <f>'ODOMETERS Halba'!$C12+'ODOMETERS Halba'!$D12-D11-C11</f>
        <v>934</v>
      </c>
      <c r="K12" s="9">
        <f>'ODOMETERS Halba'!$E12+'ODOMETERS Halba'!$F12-F11-E11</f>
        <v>465</v>
      </c>
      <c r="L12" s="9">
        <f>'ODOMETERS Halba'!$G12+'ODOMETERS Halba'!$H12-H11-G11</f>
        <v>1326</v>
      </c>
      <c r="M12" s="9">
        <f>'ODOMETERS Halba'!$J12+'ODOMETERS Halba'!$K12+'ODOMETERS Halba'!$L12</f>
        <v>2725</v>
      </c>
      <c r="N12" s="41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10">
        <v>45972</v>
      </c>
      <c r="B13" s="9" t="s">
        <v>25</v>
      </c>
      <c r="C13" s="9">
        <v>44905</v>
      </c>
      <c r="D13" s="9">
        <v>16973</v>
      </c>
      <c r="E13" s="9">
        <v>33549</v>
      </c>
      <c r="F13" s="9">
        <v>8570</v>
      </c>
      <c r="G13" s="9">
        <v>6617074</v>
      </c>
      <c r="H13" s="9">
        <v>6421273</v>
      </c>
      <c r="I13" s="9"/>
      <c r="J13" s="9">
        <f>'ODOMETERS Halba'!$C13+'ODOMETERS Halba'!$D13-D12-C12</f>
        <v>910</v>
      </c>
      <c r="K13" s="9">
        <f>'ODOMETERS Halba'!$E13+'ODOMETERS Halba'!$F13-F12-E12</f>
        <v>638</v>
      </c>
      <c r="L13" s="9">
        <f>'ODOMETERS Halba'!$G13+'ODOMETERS Halba'!$H13-H12-G12</f>
        <v>301</v>
      </c>
      <c r="M13" s="9">
        <f>'ODOMETERS Halba'!$J13+'ODOMETERS Halba'!$K13+'ODOMETERS Halba'!$L13</f>
        <v>1849</v>
      </c>
      <c r="N13" s="419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10">
        <v>45973</v>
      </c>
      <c r="B14" s="9"/>
      <c r="C14" s="9">
        <v>45759</v>
      </c>
      <c r="D14" s="9">
        <v>17378</v>
      </c>
      <c r="E14" s="9">
        <v>34319</v>
      </c>
      <c r="F14" s="9">
        <v>8762</v>
      </c>
      <c r="G14" s="9">
        <v>6617575</v>
      </c>
      <c r="H14" s="9">
        <v>6421888</v>
      </c>
      <c r="I14" s="9"/>
      <c r="J14" s="9">
        <f>'ODOMETERS Halba'!$C14+'ODOMETERS Halba'!$D14-D13-C13</f>
        <v>1259</v>
      </c>
      <c r="K14" s="9">
        <f>'ODOMETERS Halba'!$E14+'ODOMETERS Halba'!$F14-F13-E13</f>
        <v>962</v>
      </c>
      <c r="L14" s="9">
        <f>'ODOMETERS Halba'!$G14+'ODOMETERS Halba'!$H14-H13-G13</f>
        <v>1116</v>
      </c>
      <c r="M14" s="9">
        <f>'ODOMETERS Halba'!$J14+'ODOMETERS Halba'!$K14+'ODOMETERS Halba'!$L14</f>
        <v>3337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10">
        <v>45974</v>
      </c>
      <c r="B15" s="9"/>
      <c r="C15" s="9">
        <v>46733</v>
      </c>
      <c r="D15" s="9">
        <v>17981</v>
      </c>
      <c r="E15" s="9">
        <v>35149</v>
      </c>
      <c r="F15" s="9">
        <v>8976</v>
      </c>
      <c r="G15" s="9">
        <v>6617620</v>
      </c>
      <c r="H15" s="9">
        <v>6422168</v>
      </c>
      <c r="I15" s="9"/>
      <c r="J15" s="9">
        <f>'ODOMETERS Halba'!$C15+'ODOMETERS Halba'!$D15-D14-C14</f>
        <v>1577</v>
      </c>
      <c r="K15" s="9">
        <f>'ODOMETERS Halba'!$E15+'ODOMETERS Halba'!$F15-F14-E14</f>
        <v>1044</v>
      </c>
      <c r="L15" s="9">
        <f>'ODOMETERS Halba'!$G15+'ODOMETERS Halba'!$H15-H14-G14</f>
        <v>325</v>
      </c>
      <c r="M15" s="9">
        <f>'ODOMETERS Halba'!$J15+'ODOMETERS Halba'!$K15+'ODOMETERS Halba'!$L15</f>
        <v>2946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10">
        <v>45975</v>
      </c>
      <c r="B16" s="9" t="s">
        <v>24</v>
      </c>
      <c r="C16" s="9">
        <v>47053</v>
      </c>
      <c r="D16" s="9">
        <v>18178</v>
      </c>
      <c r="E16" s="9">
        <v>35542</v>
      </c>
      <c r="F16" s="9">
        <v>9054</v>
      </c>
      <c r="G16" s="9">
        <v>6617763</v>
      </c>
      <c r="H16" s="9">
        <v>6422312</v>
      </c>
      <c r="I16" s="9"/>
      <c r="J16" s="9">
        <f>'ODOMETERS Halba'!$C16+'ODOMETERS Halba'!$D16-D15-C15</f>
        <v>517</v>
      </c>
      <c r="K16" s="9">
        <f>'ODOMETERS Halba'!$E16+'ODOMETERS Halba'!$F16-F15-E15</f>
        <v>471</v>
      </c>
      <c r="L16" s="9">
        <f>'ODOMETERS Halba'!$G16+'ODOMETERS Halba'!$H16-H15-G15</f>
        <v>287</v>
      </c>
      <c r="M16" s="9">
        <f>'ODOMETERS Halba'!$J16+'ODOMETERS Halba'!$K16+'ODOMETERS Halba'!$L16</f>
        <v>1275</v>
      </c>
      <c r="N16" s="41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10">
        <v>45975</v>
      </c>
      <c r="B17" s="9" t="s">
        <v>25</v>
      </c>
      <c r="C17" s="9">
        <v>47416</v>
      </c>
      <c r="D17" s="9">
        <v>18466</v>
      </c>
      <c r="E17" s="9">
        <v>35886</v>
      </c>
      <c r="F17" s="9">
        <v>9144</v>
      </c>
      <c r="G17" s="9">
        <v>6618052</v>
      </c>
      <c r="H17" s="9">
        <v>6422675</v>
      </c>
      <c r="I17" s="9"/>
      <c r="J17" s="9">
        <f>'ODOMETERS Halba'!$C17+'ODOMETERS Halba'!$D17-D16-C16</f>
        <v>651</v>
      </c>
      <c r="K17" s="9">
        <f>'ODOMETERS Halba'!$E17+'ODOMETERS Halba'!$F17-F16-E16</f>
        <v>434</v>
      </c>
      <c r="L17" s="9">
        <f>'ODOMETERS Halba'!$G17+'ODOMETERS Halba'!$H17-H16-G16</f>
        <v>652</v>
      </c>
      <c r="M17" s="9">
        <f>'ODOMETERS Halba'!$J17+'ODOMETERS Halba'!$K17+'ODOMETERS Halba'!$L17</f>
        <v>1737</v>
      </c>
      <c r="N17" s="41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10">
        <v>45976</v>
      </c>
      <c r="B18" s="9"/>
      <c r="C18" s="9">
        <v>48582</v>
      </c>
      <c r="D18" s="9">
        <v>18996</v>
      </c>
      <c r="E18" s="9">
        <v>36555</v>
      </c>
      <c r="F18" s="9">
        <v>9295</v>
      </c>
      <c r="G18" s="9">
        <v>6618245</v>
      </c>
      <c r="H18" s="9">
        <v>6423216</v>
      </c>
      <c r="I18" s="9"/>
      <c r="J18" s="9">
        <f>'ODOMETERS Halba'!$C18+'ODOMETERS Halba'!$D18-D17-C17</f>
        <v>1696</v>
      </c>
      <c r="K18" s="9">
        <f>'ODOMETERS Halba'!$E18+'ODOMETERS Halba'!$F18-F17-E17</f>
        <v>820</v>
      </c>
      <c r="L18" s="9">
        <f>'ODOMETERS Halba'!$G18+'ODOMETERS Halba'!$H18-H17-G17</f>
        <v>734</v>
      </c>
      <c r="M18" s="9">
        <f>'ODOMETERS Halba'!$J18+'ODOMETERS Halba'!$K18+'ODOMETERS Halba'!$L18</f>
        <v>3250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10">
        <v>45977</v>
      </c>
      <c r="B19" s="9"/>
      <c r="C19" s="9">
        <v>49927</v>
      </c>
      <c r="D19" s="9">
        <v>19572</v>
      </c>
      <c r="E19" s="9">
        <v>37404</v>
      </c>
      <c r="F19" s="9">
        <v>9414</v>
      </c>
      <c r="G19" s="9">
        <v>6618393</v>
      </c>
      <c r="H19" s="9">
        <v>6423455</v>
      </c>
      <c r="I19" s="9"/>
      <c r="J19" s="9">
        <f>'ODOMETERS Halba'!$C19+'ODOMETERS Halba'!$D19-D18-C18</f>
        <v>1921</v>
      </c>
      <c r="K19" s="9">
        <f>'ODOMETERS Halba'!$E19+'ODOMETERS Halba'!$F19-F18-E18</f>
        <v>968</v>
      </c>
      <c r="L19" s="9">
        <f>'ODOMETERS Halba'!$G19+'ODOMETERS Halba'!$H19-H18-G18</f>
        <v>387</v>
      </c>
      <c r="M19" s="9">
        <f>'ODOMETERS Halba'!$J19+'ODOMETERS Halba'!$K19+'ODOMETERS Halba'!$L19</f>
        <v>3276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10">
        <v>45978</v>
      </c>
      <c r="B20" s="9"/>
      <c r="C20" s="9">
        <v>51096</v>
      </c>
      <c r="D20" s="9">
        <v>20224</v>
      </c>
      <c r="E20" s="9">
        <v>38006</v>
      </c>
      <c r="F20" s="9">
        <v>9694</v>
      </c>
      <c r="G20" s="9">
        <v>6619323</v>
      </c>
      <c r="H20" s="9">
        <v>6426286</v>
      </c>
      <c r="I20" s="9"/>
      <c r="J20" s="9">
        <f>'ODOMETERS Halba'!$C20+'ODOMETERS Halba'!$D20-D19-C19</f>
        <v>1821</v>
      </c>
      <c r="K20" s="9">
        <f>'ODOMETERS Halba'!$E20+'ODOMETERS Halba'!$F20-F19-E19</f>
        <v>882</v>
      </c>
      <c r="L20" s="9">
        <f>'ODOMETERS Halba'!$G20+'ODOMETERS Halba'!$H20-H19-G19</f>
        <v>3761</v>
      </c>
      <c r="M20" s="9">
        <f>'ODOMETERS Halba'!$J20+'ODOMETERS Halba'!$K20+'ODOMETERS Halba'!$L20</f>
        <v>6464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10">
        <v>45979</v>
      </c>
      <c r="B21" s="9" t="s">
        <v>24</v>
      </c>
      <c r="C21" s="9">
        <v>51531</v>
      </c>
      <c r="D21" s="9">
        <v>20589</v>
      </c>
      <c r="E21" s="9">
        <v>38319</v>
      </c>
      <c r="F21" s="9">
        <v>9826</v>
      </c>
      <c r="G21" s="9">
        <v>6619353</v>
      </c>
      <c r="H21" s="9">
        <v>6426327</v>
      </c>
      <c r="I21" s="9"/>
      <c r="J21" s="9">
        <f>'ODOMETERS Halba'!$C21+'ODOMETERS Halba'!$D21-D20-C20</f>
        <v>800</v>
      </c>
      <c r="K21" s="9">
        <f>'ODOMETERS Halba'!$E21+'ODOMETERS Halba'!$F21-F20-E20</f>
        <v>445</v>
      </c>
      <c r="L21" s="9">
        <f>'ODOMETERS Halba'!$G21+'ODOMETERS Halba'!$H21-H20-G20</f>
        <v>71</v>
      </c>
      <c r="M21" s="9">
        <f>'ODOMETERS Halba'!$J21+'ODOMETERS Halba'!$K21+'ODOMETERS Halba'!$L21</f>
        <v>1316</v>
      </c>
      <c r="N21" s="418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10">
        <v>45979</v>
      </c>
      <c r="B22" s="9" t="s">
        <v>26</v>
      </c>
      <c r="C22" s="9">
        <v>52121</v>
      </c>
      <c r="D22" s="9">
        <v>20772</v>
      </c>
      <c r="E22" s="9">
        <v>38674</v>
      </c>
      <c r="F22" s="9">
        <v>9877</v>
      </c>
      <c r="G22" s="9">
        <v>6619706</v>
      </c>
      <c r="H22" s="9">
        <v>6426617</v>
      </c>
      <c r="I22" s="9"/>
      <c r="J22" s="9">
        <f>'ODOMETERS Halba'!$C22+'ODOMETERS Halba'!$D22-D21-C21</f>
        <v>773</v>
      </c>
      <c r="K22" s="9">
        <f>'ODOMETERS Halba'!$E22+'ODOMETERS Halba'!$F22-F21-E21</f>
        <v>406</v>
      </c>
      <c r="L22" s="9">
        <f>'ODOMETERS Halba'!$G22+'ODOMETERS Halba'!$H22-H21-G21</f>
        <v>643</v>
      </c>
      <c r="M22" s="9">
        <f>'ODOMETERS Halba'!$J22+'ODOMETERS Halba'!$K22+'ODOMETERS Halba'!$L22</f>
        <v>1822</v>
      </c>
      <c r="N22" s="419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10">
        <v>45980</v>
      </c>
      <c r="B23" s="9"/>
      <c r="C23" s="9">
        <v>53066</v>
      </c>
      <c r="D23" s="9">
        <v>21263</v>
      </c>
      <c r="E23" s="9">
        <v>39753</v>
      </c>
      <c r="F23" s="9">
        <v>10143</v>
      </c>
      <c r="G23" s="9">
        <v>6620168</v>
      </c>
      <c r="H23" s="9">
        <v>6426817</v>
      </c>
      <c r="I23" s="9"/>
      <c r="J23" s="9">
        <f>'ODOMETERS Halba'!$C23+'ODOMETERS Halba'!$D23-D22-C22</f>
        <v>1436</v>
      </c>
      <c r="K23" s="9">
        <f>'ODOMETERS Halba'!$E23+'ODOMETERS Halba'!$F23-F22-E22</f>
        <v>1345</v>
      </c>
      <c r="L23" s="9">
        <f>'ODOMETERS Halba'!$G23+'ODOMETERS Halba'!$H23-H22-G22</f>
        <v>662</v>
      </c>
      <c r="M23" s="9">
        <f>'ODOMETERS Halba'!$J23+'ODOMETERS Halba'!$K23+'ODOMETERS Halba'!$L23</f>
        <v>3443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10">
        <v>45981</v>
      </c>
      <c r="B24" s="9"/>
      <c r="C24" s="9">
        <v>53912</v>
      </c>
      <c r="D24" s="9">
        <v>21859</v>
      </c>
      <c r="E24" s="9">
        <v>40455</v>
      </c>
      <c r="F24" s="9">
        <v>10339</v>
      </c>
      <c r="G24" s="9">
        <v>6620870</v>
      </c>
      <c r="H24" s="9">
        <v>6427051</v>
      </c>
      <c r="I24" s="9"/>
      <c r="J24" s="9">
        <f>'ODOMETERS Halba'!$C24+'ODOMETERS Halba'!$D24-D23-C23</f>
        <v>1442</v>
      </c>
      <c r="K24" s="9">
        <f>'ODOMETERS Halba'!$E24+'ODOMETERS Halba'!$F24-F23-E23</f>
        <v>898</v>
      </c>
      <c r="L24" s="9">
        <f>'ODOMETERS Halba'!$G24+'ODOMETERS Halba'!$H24-H23-G23</f>
        <v>936</v>
      </c>
      <c r="M24" s="9">
        <f>'ODOMETERS Halba'!$J24+'ODOMETERS Halba'!$K24+'ODOMETERS Halba'!$L24</f>
        <v>3276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10">
        <v>45982</v>
      </c>
      <c r="B25" s="9" t="s">
        <v>24</v>
      </c>
      <c r="C25" s="9">
        <v>54369</v>
      </c>
      <c r="D25" s="9">
        <v>22034</v>
      </c>
      <c r="E25" s="9">
        <v>40840</v>
      </c>
      <c r="F25" s="9">
        <v>10451</v>
      </c>
      <c r="G25" s="9">
        <v>6620915</v>
      </c>
      <c r="H25" s="9">
        <v>6427194</v>
      </c>
      <c r="I25" s="9"/>
      <c r="J25" s="9">
        <f>'ODOMETERS Halba'!$C25+'ODOMETERS Halba'!$D25-D24-C24</f>
        <v>632</v>
      </c>
      <c r="K25" s="9">
        <f>'ODOMETERS Halba'!$E25+'ODOMETERS Halba'!$F25-F24-E24</f>
        <v>497</v>
      </c>
      <c r="L25" s="9">
        <f>'ODOMETERS Halba'!$G25+'ODOMETERS Halba'!$H25-H24-G24</f>
        <v>188</v>
      </c>
      <c r="M25" s="9">
        <f>'ODOMETERS Halba'!$J25+'ODOMETERS Halba'!$K25+'ODOMETERS Halba'!$L25</f>
        <v>1317</v>
      </c>
      <c r="N25" s="418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10">
        <v>45982</v>
      </c>
      <c r="B26" s="9" t="s">
        <v>25</v>
      </c>
      <c r="C26" s="9">
        <v>55051</v>
      </c>
      <c r="D26" s="9">
        <v>22179</v>
      </c>
      <c r="E26" s="9">
        <v>41591</v>
      </c>
      <c r="F26" s="9">
        <v>10535</v>
      </c>
      <c r="G26" s="9">
        <v>6621753</v>
      </c>
      <c r="H26" s="9">
        <v>6427432</v>
      </c>
      <c r="I26" s="9"/>
      <c r="J26" s="9">
        <f>'ODOMETERS Halba'!$C26+'ODOMETERS Halba'!$D26-D25-C25</f>
        <v>827</v>
      </c>
      <c r="K26" s="9">
        <f>'ODOMETERS Halba'!$E26+'ODOMETERS Halba'!$F26-F25-E25</f>
        <v>835</v>
      </c>
      <c r="L26" s="9">
        <f>'ODOMETERS Halba'!$G26+'ODOMETERS Halba'!$H26-H25-G25</f>
        <v>1076</v>
      </c>
      <c r="M26" s="9">
        <f>'ODOMETERS Halba'!$J26+'ODOMETERS Halba'!$K26+'ODOMETERS Halba'!$L26</f>
        <v>2738</v>
      </c>
      <c r="N26" s="419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10">
        <v>45983</v>
      </c>
      <c r="B27" s="9"/>
      <c r="C27" s="9">
        <v>56491</v>
      </c>
      <c r="D27" s="9">
        <v>22631</v>
      </c>
      <c r="E27" s="9">
        <v>42619</v>
      </c>
      <c r="F27" s="9">
        <v>10747</v>
      </c>
      <c r="G27" s="9">
        <v>6622029</v>
      </c>
      <c r="H27" s="9">
        <v>6428687</v>
      </c>
      <c r="I27" s="9"/>
      <c r="J27" s="9">
        <f>'ODOMETERS Halba'!$C27+'ODOMETERS Halba'!$D27-D26-C26</f>
        <v>1892</v>
      </c>
      <c r="K27" s="9">
        <f>'ODOMETERS Halba'!$E27+'ODOMETERS Halba'!$F27-F26-E26</f>
        <v>1240</v>
      </c>
      <c r="L27" s="9">
        <f>'ODOMETERS Halba'!$G27+'ODOMETERS Halba'!$H27-H26-G26</f>
        <v>1531</v>
      </c>
      <c r="M27" s="9">
        <f>'ODOMETERS Halba'!$J27+'ODOMETERS Halba'!$K27+'ODOMETERS Halba'!$L27</f>
        <v>4663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10">
        <v>45984</v>
      </c>
      <c r="B28" s="9"/>
      <c r="C28" s="9">
        <v>57740</v>
      </c>
      <c r="D28" s="9">
        <v>23064</v>
      </c>
      <c r="E28" s="9">
        <v>43263</v>
      </c>
      <c r="F28" s="9">
        <v>10874</v>
      </c>
      <c r="G28" s="9">
        <v>6622142</v>
      </c>
      <c r="H28" s="9">
        <v>6428820</v>
      </c>
      <c r="I28" s="9"/>
      <c r="J28" s="9">
        <f>'ODOMETERS Halba'!$C28+'ODOMETERS Halba'!$D28-D27-C27</f>
        <v>1682</v>
      </c>
      <c r="K28" s="9">
        <f>'ODOMETERS Halba'!$E28+'ODOMETERS Halba'!$F28-F27-E27</f>
        <v>771</v>
      </c>
      <c r="L28" s="9">
        <f>'ODOMETERS Halba'!$G28+'ODOMETERS Halba'!$H28-H27-G27</f>
        <v>246</v>
      </c>
      <c r="M28" s="9">
        <f>'ODOMETERS Halba'!$J28+'ODOMETERS Halba'!$K28+'ODOMETERS Halba'!$L28</f>
        <v>2699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10">
        <v>45985</v>
      </c>
      <c r="B29" s="9"/>
      <c r="C29" s="9">
        <v>58778</v>
      </c>
      <c r="D29" s="9">
        <v>23433</v>
      </c>
      <c r="E29" s="9">
        <v>43915</v>
      </c>
      <c r="F29" s="9">
        <v>11191</v>
      </c>
      <c r="G29" s="9">
        <v>6622458</v>
      </c>
      <c r="H29" s="9">
        <v>6429709</v>
      </c>
      <c r="I29" s="9"/>
      <c r="J29" s="9">
        <f>'ODOMETERS Halba'!$C29+'ODOMETERS Halba'!$D29-D28-C28</f>
        <v>1407</v>
      </c>
      <c r="K29" s="9">
        <f>'ODOMETERS Halba'!$E29+'ODOMETERS Halba'!$F29-F28-E28</f>
        <v>969</v>
      </c>
      <c r="L29" s="9">
        <f>'ODOMETERS Halba'!$G29+'ODOMETERS Halba'!$H29-H28-G28</f>
        <v>1205</v>
      </c>
      <c r="M29" s="9">
        <f>'ODOMETERS Halba'!$J29+'ODOMETERS Halba'!$K29+'ODOMETERS Halba'!$L29</f>
        <v>3581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10">
        <v>45986</v>
      </c>
      <c r="B30" s="9" t="s">
        <v>24</v>
      </c>
      <c r="C30" s="9">
        <v>59315</v>
      </c>
      <c r="D30" s="9">
        <v>23757</v>
      </c>
      <c r="E30" s="9">
        <v>44134</v>
      </c>
      <c r="F30" s="9">
        <v>11301</v>
      </c>
      <c r="G30" s="9">
        <v>6622534</v>
      </c>
      <c r="H30" s="9">
        <v>6429750</v>
      </c>
      <c r="I30" s="9"/>
      <c r="J30" s="9">
        <f>'ODOMETERS Halba'!$C30+'ODOMETERS Halba'!$D30-D29-C29</f>
        <v>861</v>
      </c>
      <c r="K30" s="9">
        <f>'ODOMETERS Halba'!$E30+'ODOMETERS Halba'!$F30-F29-E29</f>
        <v>329</v>
      </c>
      <c r="L30" s="9">
        <f>'ODOMETERS Halba'!$G30+'ODOMETERS Halba'!$H30-H29-G29</f>
        <v>117</v>
      </c>
      <c r="M30" s="9">
        <f>'ODOMETERS Halba'!$J30+'ODOMETERS Halba'!$K30+'ODOMETERS Halba'!$L30</f>
        <v>1307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10">
        <v>45986</v>
      </c>
      <c r="B31" s="9" t="s">
        <v>25</v>
      </c>
      <c r="C31" s="9">
        <v>59821</v>
      </c>
      <c r="D31" s="9">
        <v>24025</v>
      </c>
      <c r="E31" s="9">
        <v>44548</v>
      </c>
      <c r="F31" s="9">
        <v>11470</v>
      </c>
      <c r="G31" s="9">
        <v>6622768</v>
      </c>
      <c r="H31" s="9">
        <v>6429865</v>
      </c>
      <c r="I31" s="9"/>
      <c r="J31" s="9">
        <f>'ODOMETERS Halba'!$C31+'ODOMETERS Halba'!$D31-D30-C30</f>
        <v>774</v>
      </c>
      <c r="K31" s="9">
        <f>'ODOMETERS Halba'!$E31+'ODOMETERS Halba'!$F31-F30-E30</f>
        <v>583</v>
      </c>
      <c r="L31" s="9">
        <f>'ODOMETERS Halba'!$G31+'ODOMETERS Halba'!$H31-H30-G30</f>
        <v>349</v>
      </c>
      <c r="M31" s="9">
        <f>'ODOMETERS Halba'!$J31+'ODOMETERS Halba'!$K31+'ODOMETERS Halba'!$L31</f>
        <v>1706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10">
        <v>45987</v>
      </c>
      <c r="B32" s="9"/>
      <c r="C32" s="9">
        <v>60604</v>
      </c>
      <c r="D32" s="9">
        <v>24383</v>
      </c>
      <c r="E32" s="9">
        <v>45239</v>
      </c>
      <c r="F32" s="9">
        <v>11635</v>
      </c>
      <c r="G32" s="9">
        <v>6623036</v>
      </c>
      <c r="H32" s="9">
        <v>6430069</v>
      </c>
      <c r="I32" s="9"/>
      <c r="J32" s="9">
        <f>'ODOMETERS Halba'!$C32+'ODOMETERS Halba'!$D32-D31-C31</f>
        <v>1141</v>
      </c>
      <c r="K32" s="9">
        <f>'ODOMETERS Halba'!$E32+'ODOMETERS Halba'!$F32-F31-E31</f>
        <v>856</v>
      </c>
      <c r="L32" s="9">
        <f>'ODOMETERS Halba'!$G32+'ODOMETERS Halba'!$H32-H31-G31</f>
        <v>472</v>
      </c>
      <c r="M32" s="9">
        <f>'ODOMETERS Halba'!$J32+'ODOMETERS Halba'!$K32+'ODOMETERS Halba'!$L32</f>
        <v>2469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10">
        <v>45988</v>
      </c>
      <c r="B33" s="9"/>
      <c r="C33" s="9">
        <v>61862</v>
      </c>
      <c r="D33" s="9">
        <v>24824</v>
      </c>
      <c r="E33" s="9">
        <v>46054</v>
      </c>
      <c r="F33" s="9">
        <v>11835</v>
      </c>
      <c r="G33" s="9">
        <v>6623086</v>
      </c>
      <c r="H33" s="9">
        <v>6430425</v>
      </c>
      <c r="I33" s="9"/>
      <c r="J33" s="9">
        <f>'ODOMETERS Halba'!$C33+'ODOMETERS Halba'!$D33-D32-C32</f>
        <v>1699</v>
      </c>
      <c r="K33" s="9">
        <f>'ODOMETERS Halba'!$E33+'ODOMETERS Halba'!$F33-F32-E32</f>
        <v>1015</v>
      </c>
      <c r="L33" s="9">
        <f>'ODOMETERS Halba'!$G33+'ODOMETERS Halba'!$H33-H32-G32</f>
        <v>406</v>
      </c>
      <c r="M33" s="9">
        <f>'ODOMETERS Halba'!$J33+'ODOMETERS Halba'!$K33+'ODOMETERS Halba'!$L33</f>
        <v>3120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10">
        <v>45989</v>
      </c>
      <c r="B34" s="9"/>
      <c r="C34" s="9">
        <v>63112</v>
      </c>
      <c r="D34" s="9">
        <v>25248</v>
      </c>
      <c r="E34" s="9">
        <v>47214</v>
      </c>
      <c r="F34" s="9">
        <v>12094</v>
      </c>
      <c r="G34" s="9">
        <v>6623672</v>
      </c>
      <c r="H34" s="9">
        <v>6430560</v>
      </c>
      <c r="I34" s="9"/>
      <c r="J34" s="9">
        <f>'ODOMETERS Halba'!$C34+'ODOMETERS Halba'!$D34-D33-C33</f>
        <v>1674</v>
      </c>
      <c r="K34" s="9">
        <f>'ODOMETERS Halba'!$E34+'ODOMETERS Halba'!$F34-F33-E33</f>
        <v>1419</v>
      </c>
      <c r="L34" s="9">
        <f>'ODOMETERS Halba'!$G34+'ODOMETERS Halba'!$H34-H33-G33</f>
        <v>721</v>
      </c>
      <c r="M34" s="9">
        <f>'ODOMETERS Halba'!$J34+'ODOMETERS Halba'!$K34+'ODOMETERS Halba'!$L34</f>
        <v>3814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10">
        <v>45990</v>
      </c>
      <c r="B35" s="9"/>
      <c r="C35" s="9">
        <v>64457</v>
      </c>
      <c r="D35" s="9">
        <v>25591</v>
      </c>
      <c r="E35" s="9">
        <v>48256</v>
      </c>
      <c r="F35" s="9">
        <v>12251</v>
      </c>
      <c r="G35" s="9">
        <v>6624057</v>
      </c>
      <c r="H35" s="9">
        <v>6430767</v>
      </c>
      <c r="I35" s="9"/>
      <c r="J35" s="9">
        <f>'ODOMETERS Halba'!$C35+'ODOMETERS Halba'!$D35-D34-C34</f>
        <v>1688</v>
      </c>
      <c r="K35" s="9">
        <f>'ODOMETERS Halba'!$E35+'ODOMETERS Halba'!$F35-F34-E34</f>
        <v>1199</v>
      </c>
      <c r="L35" s="9">
        <f>'ODOMETERS Halba'!$G35+'ODOMETERS Halba'!$H35-H34-G34</f>
        <v>592</v>
      </c>
      <c r="M35" s="9">
        <f>'ODOMETERS Halba'!$J35+'ODOMETERS Halba'!$K35+'ODOMETERS Halba'!$L35</f>
        <v>3479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10">
        <v>45991</v>
      </c>
      <c r="B36" s="9"/>
      <c r="C36" s="9">
        <v>65519</v>
      </c>
      <c r="D36" s="9">
        <v>25969</v>
      </c>
      <c r="E36" s="9">
        <v>49099</v>
      </c>
      <c r="F36" s="9">
        <v>12329</v>
      </c>
      <c r="G36" s="9">
        <v>6624684</v>
      </c>
      <c r="H36" s="9">
        <v>6430902</v>
      </c>
      <c r="I36" s="9"/>
      <c r="J36" s="9">
        <f>'ODOMETERS Halba'!$C36+'ODOMETERS Halba'!$D36-D35-C35</f>
        <v>1440</v>
      </c>
      <c r="K36" s="9">
        <f>'ODOMETERS Halba'!$E36+'ODOMETERS Halba'!$F36-F35-E35</f>
        <v>921</v>
      </c>
      <c r="L36" s="9">
        <f>'ODOMETERS Halba'!$G36+'ODOMETERS Halba'!$H36-H35-G35</f>
        <v>762</v>
      </c>
      <c r="M36" s="9">
        <f>'ODOMETERS Halba'!$J36+'ODOMETERS Halba'!$K36+'ODOMETERS Halba'!$L36</f>
        <v>3123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10">
        <v>45992</v>
      </c>
      <c r="B37" s="9"/>
      <c r="C37" s="9">
        <v>66817</v>
      </c>
      <c r="D37" s="9">
        <v>26228</v>
      </c>
      <c r="E37" s="9">
        <v>49792</v>
      </c>
      <c r="F37" s="9">
        <v>12565</v>
      </c>
      <c r="G37" s="9">
        <v>6624988</v>
      </c>
      <c r="H37" s="9">
        <v>6434444</v>
      </c>
      <c r="I37" s="9"/>
      <c r="J37" s="9">
        <f>'ODOMETERS Halba'!$C37+'ODOMETERS Halba'!$D37-D36-C36</f>
        <v>1557</v>
      </c>
      <c r="K37" s="9">
        <f>'ODOMETERS Halba'!$E37+'ODOMETERS Halba'!$F37-F36-E36</f>
        <v>929</v>
      </c>
      <c r="L37" s="9">
        <f>'ODOMETERS Halba'!$G37+'ODOMETERS Halba'!$H37-H36-G36+2091</f>
        <v>5937</v>
      </c>
      <c r="M37" s="9">
        <f>'ODOMETERS Halba'!$J37+'ODOMETERS Halba'!$K37+'ODOMETERS Halba'!$L37</f>
        <v>8423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10">
        <v>45993</v>
      </c>
      <c r="B38" s="9"/>
      <c r="C38" s="9">
        <v>67917</v>
      </c>
      <c r="D38" s="9">
        <v>26621</v>
      </c>
      <c r="E38" s="9">
        <v>50680</v>
      </c>
      <c r="F38" s="9">
        <v>12805</v>
      </c>
      <c r="G38" s="9">
        <v>6625337</v>
      </c>
      <c r="H38" s="9">
        <v>6435377</v>
      </c>
      <c r="I38" s="9"/>
      <c r="J38" s="9">
        <f>'ODOMETERS Halba'!$C38+'ODOMETERS Halba'!$D38-D37-C37</f>
        <v>1493</v>
      </c>
      <c r="K38" s="9">
        <f>'ODOMETERS Halba'!$E38+'ODOMETERS Halba'!$F38-F37-E37</f>
        <v>1128</v>
      </c>
      <c r="L38" s="9">
        <f>'ODOMETERS Halba'!$G38+'ODOMETERS Halba'!$H38-H37-G37</f>
        <v>1282</v>
      </c>
      <c r="M38" s="9">
        <f>'ODOMETERS Halba'!$J38+'ODOMETERS Halba'!$K38+'ODOMETERS Halba'!$L38</f>
        <v>3903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10">
        <v>45994</v>
      </c>
      <c r="B39" s="9" t="s">
        <v>24</v>
      </c>
      <c r="C39" s="9">
        <v>68254</v>
      </c>
      <c r="D39" s="9">
        <v>26720</v>
      </c>
      <c r="E39" s="9">
        <v>51358</v>
      </c>
      <c r="F39" s="9">
        <v>13076</v>
      </c>
      <c r="G39" s="9">
        <v>6625374</v>
      </c>
      <c r="H39" s="9">
        <v>6436822</v>
      </c>
      <c r="I39" s="9"/>
      <c r="J39" s="9">
        <f>'ODOMETERS Halba'!$C39+'ODOMETERS Halba'!$D39-D38-C38</f>
        <v>436</v>
      </c>
      <c r="K39" s="9">
        <f>'ODOMETERS Halba'!$E39+'ODOMETERS Halba'!$F39-F38-E38</f>
        <v>949</v>
      </c>
      <c r="L39" s="9">
        <f>'ODOMETERS Halba'!$G39+'ODOMETERS Halba'!$H39-H38-G38</f>
        <v>1482</v>
      </c>
      <c r="M39" s="9">
        <f>'ODOMETERS Halba'!$J39+'ODOMETERS Halba'!$K39+'ODOMETERS Halba'!$L39</f>
        <v>2867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10">
        <v>45994</v>
      </c>
      <c r="B40" s="9" t="s">
        <v>25</v>
      </c>
      <c r="C40" s="9">
        <v>68589</v>
      </c>
      <c r="D40" s="9">
        <v>26914</v>
      </c>
      <c r="E40" s="9">
        <v>51889</v>
      </c>
      <c r="F40" s="9">
        <v>13283</v>
      </c>
      <c r="G40" s="9">
        <v>6625820</v>
      </c>
      <c r="H40" s="9">
        <v>6437106</v>
      </c>
      <c r="I40" s="9"/>
      <c r="J40" s="9">
        <f>'ODOMETERS Halba'!$C40+'ODOMETERS Halba'!$D40-D39-C39</f>
        <v>529</v>
      </c>
      <c r="K40" s="9">
        <f>'ODOMETERS Halba'!$E40+'ODOMETERS Halba'!$F40-F39-E39</f>
        <v>738</v>
      </c>
      <c r="L40" s="9">
        <f>'ODOMETERS Halba'!$G40+'ODOMETERS Halba'!$H40-H39-G39</f>
        <v>730</v>
      </c>
      <c r="M40" s="9">
        <f>'ODOMETERS Halba'!$J40+'ODOMETERS Halba'!$K40+'ODOMETERS Halba'!$L40</f>
        <v>1997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10">
        <v>45995</v>
      </c>
      <c r="B41" s="9"/>
      <c r="C41" s="9">
        <v>69658</v>
      </c>
      <c r="D41" s="9">
        <v>27293</v>
      </c>
      <c r="E41" s="9">
        <v>53072</v>
      </c>
      <c r="F41" s="9">
        <v>13587</v>
      </c>
      <c r="G41" s="9">
        <v>6626018</v>
      </c>
      <c r="H41" s="9">
        <v>6438272</v>
      </c>
      <c r="I41" s="9"/>
      <c r="J41" s="9">
        <f>'ODOMETERS Halba'!$C41+'ODOMETERS Halba'!$D41-D40-C40</f>
        <v>1448</v>
      </c>
      <c r="K41" s="9">
        <f>'ODOMETERS Halba'!$E41+'ODOMETERS Halba'!$F41-F40-E40</f>
        <v>1487</v>
      </c>
      <c r="L41" s="9">
        <f>'ODOMETERS Halba'!$G41+'ODOMETERS Halba'!$H41-H40-G40</f>
        <v>1364</v>
      </c>
      <c r="M41" s="9">
        <f>'ODOMETERS Halba'!$J41+'ODOMETERS Halba'!$K41+'ODOMETERS Halba'!$L41</f>
        <v>4299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10">
        <v>45996</v>
      </c>
      <c r="B42" s="9" t="s">
        <v>24</v>
      </c>
      <c r="C42" s="9">
        <v>70042</v>
      </c>
      <c r="D42" s="9">
        <v>27470</v>
      </c>
      <c r="E42" s="9">
        <v>53448</v>
      </c>
      <c r="F42" s="9">
        <v>13704</v>
      </c>
      <c r="G42" s="9">
        <v>6626238</v>
      </c>
      <c r="H42" s="9">
        <v>6438311</v>
      </c>
      <c r="I42" s="9"/>
      <c r="J42" s="9">
        <f>'ODOMETERS Halba'!$C42+'ODOMETERS Halba'!$D42-D41-C41</f>
        <v>561</v>
      </c>
      <c r="K42" s="9">
        <f>'ODOMETERS Halba'!$E42+'ODOMETERS Halba'!$F42-F41-E41</f>
        <v>493</v>
      </c>
      <c r="L42" s="9">
        <f>'ODOMETERS Halba'!$G42+'ODOMETERS Halba'!$H42-H41-G41</f>
        <v>259</v>
      </c>
      <c r="M42" s="9">
        <f>'ODOMETERS Halba'!$J42+'ODOMETERS Halba'!$K42+'ODOMETERS Halba'!$L42</f>
        <v>1313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10">
        <v>45996</v>
      </c>
      <c r="B43" s="9" t="s">
        <v>25</v>
      </c>
      <c r="C43" s="9">
        <v>70791</v>
      </c>
      <c r="D43" s="9">
        <v>27800</v>
      </c>
      <c r="E43" s="9">
        <v>53797</v>
      </c>
      <c r="F43" s="9">
        <v>13791</v>
      </c>
      <c r="G43" s="9">
        <v>6626732</v>
      </c>
      <c r="H43" s="9">
        <v>6439425</v>
      </c>
      <c r="I43" s="9"/>
      <c r="J43" s="9">
        <f>'ODOMETERS Halba'!$C43+'ODOMETERS Halba'!$D43-D42-C42</f>
        <v>1079</v>
      </c>
      <c r="K43" s="9">
        <f>'ODOMETERS Halba'!$E43+'ODOMETERS Halba'!$F43-F42-E42</f>
        <v>436</v>
      </c>
      <c r="L43" s="9">
        <f>'ODOMETERS Halba'!$G43+'ODOMETERS Halba'!$H43-H42-G42</f>
        <v>1608</v>
      </c>
      <c r="M43" s="9">
        <f>'ODOMETERS Halba'!$J43+'ODOMETERS Halba'!$K43+'ODOMETERS Halba'!$L43</f>
        <v>3123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10">
        <v>45997</v>
      </c>
      <c r="B44" s="9"/>
      <c r="C44" s="9">
        <v>71819</v>
      </c>
      <c r="D44" s="9">
        <v>28268</v>
      </c>
      <c r="E44" s="9">
        <v>54891</v>
      </c>
      <c r="F44" s="9">
        <v>13926</v>
      </c>
      <c r="G44" s="9">
        <v>6627094</v>
      </c>
      <c r="H44" s="9">
        <v>6439492</v>
      </c>
      <c r="I44" s="9"/>
      <c r="J44" s="9">
        <f>'ODOMETERS Halba'!$C44+'ODOMETERS Halba'!$D44-D43-C43</f>
        <v>1496</v>
      </c>
      <c r="K44" s="9">
        <f>'ODOMETERS Halba'!$E44+'ODOMETERS Halba'!$F44-F43-E43</f>
        <v>1229</v>
      </c>
      <c r="L44" s="9">
        <f>'ODOMETERS Halba'!$G44+'ODOMETERS Halba'!$H44-H43-G43</f>
        <v>429</v>
      </c>
      <c r="M44" s="9">
        <f>'ODOMETERS Halba'!$J44+'ODOMETERS Halba'!$K44+'ODOMETERS Halba'!$L44</f>
        <v>3154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10">
        <v>45998</v>
      </c>
      <c r="B45" s="9"/>
      <c r="C45" s="9">
        <v>72847</v>
      </c>
      <c r="D45" s="9">
        <v>28783</v>
      </c>
      <c r="E45" s="9">
        <v>55877</v>
      </c>
      <c r="F45" s="9">
        <v>14096</v>
      </c>
      <c r="G45" s="9">
        <v>6627995</v>
      </c>
      <c r="H45" s="9">
        <v>6441435</v>
      </c>
      <c r="I45" s="9"/>
      <c r="J45" s="9">
        <f>'ODOMETERS Halba'!$C45+'ODOMETERS Halba'!$D45-D44-C44</f>
        <v>1543</v>
      </c>
      <c r="K45" s="9">
        <f>'ODOMETERS Halba'!$E45+'ODOMETERS Halba'!$F45-F44-E44</f>
        <v>1156</v>
      </c>
      <c r="L45" s="9">
        <f>'ODOMETERS Halba'!$G45+'ODOMETERS Halba'!$H45-H44-G44</f>
        <v>2844</v>
      </c>
      <c r="M45" s="9">
        <f>'ODOMETERS Halba'!$J45+'ODOMETERS Halba'!$K45+'ODOMETERS Halba'!$L45</f>
        <v>5543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10">
        <v>45999</v>
      </c>
      <c r="B46" s="9"/>
      <c r="C46" s="9">
        <v>73721</v>
      </c>
      <c r="D46" s="9">
        <v>29151</v>
      </c>
      <c r="E46" s="9">
        <v>56445</v>
      </c>
      <c r="F46" s="9">
        <v>14282</v>
      </c>
      <c r="G46" s="9">
        <v>6628141</v>
      </c>
      <c r="H46" s="9">
        <v>6441532</v>
      </c>
      <c r="I46" s="9"/>
      <c r="J46" s="9">
        <f>'ODOMETERS Halba'!$C46+'ODOMETERS Halba'!$D46-D45-C45</f>
        <v>1242</v>
      </c>
      <c r="K46" s="9">
        <f>'ODOMETERS Halba'!$E46+'ODOMETERS Halba'!$F46-F45-E45</f>
        <v>754</v>
      </c>
      <c r="L46" s="9">
        <f>'ODOMETERS Halba'!$G46+'ODOMETERS Halba'!$H46-H45-G45</f>
        <v>243</v>
      </c>
      <c r="M46" s="9">
        <f>'ODOMETERS Halba'!$J46+'ODOMETERS Halba'!$K46+'ODOMETERS Halba'!$L46</f>
        <v>2239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10">
        <v>46000</v>
      </c>
      <c r="B47" s="9" t="s">
        <v>24</v>
      </c>
      <c r="C47" s="9">
        <v>74233</v>
      </c>
      <c r="D47" s="9">
        <v>29406</v>
      </c>
      <c r="E47" s="9">
        <v>56819</v>
      </c>
      <c r="F47" s="9">
        <v>14303</v>
      </c>
      <c r="G47" s="9">
        <v>6628141</v>
      </c>
      <c r="H47" s="9">
        <v>6441666</v>
      </c>
      <c r="I47" s="9"/>
      <c r="J47" s="9">
        <f>'ODOMETERS Halba'!$C47+'ODOMETERS Halba'!$D47-D46-C46</f>
        <v>767</v>
      </c>
      <c r="K47" s="9">
        <f>'ODOMETERS Halba'!$E47+'ODOMETERS Halba'!$F47-F46-E46</f>
        <v>395</v>
      </c>
      <c r="L47" s="9">
        <f>'ODOMETERS Halba'!$G47+'ODOMETERS Halba'!$H47-H46-G46</f>
        <v>134</v>
      </c>
      <c r="M47" s="9">
        <f>'ODOMETERS Halba'!$J47+'ODOMETERS Halba'!$K47+'ODOMETERS Halba'!$L47</f>
        <v>1296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10">
        <v>46000</v>
      </c>
      <c r="B48" s="9" t="s">
        <v>25</v>
      </c>
      <c r="C48" s="9">
        <v>74941</v>
      </c>
      <c r="D48" s="9">
        <v>29565</v>
      </c>
      <c r="E48" s="9">
        <v>57253</v>
      </c>
      <c r="F48" s="9">
        <v>14454</v>
      </c>
      <c r="G48" s="9">
        <v>6628304</v>
      </c>
      <c r="H48" s="9">
        <v>6441752</v>
      </c>
      <c r="I48" s="9"/>
      <c r="J48" s="9">
        <f>'ODOMETERS Halba'!$C48+'ODOMETERS Halba'!$D48-D47-C47</f>
        <v>867</v>
      </c>
      <c r="K48" s="9">
        <f>'ODOMETERS Halba'!$E48+'ODOMETERS Halba'!$F48-F47-E47</f>
        <v>585</v>
      </c>
      <c r="L48" s="9">
        <f>'ODOMETERS Halba'!$G48+'ODOMETERS Halba'!$H48-H47-G47</f>
        <v>249</v>
      </c>
      <c r="M48" s="9">
        <f>'ODOMETERS Halba'!$J48+'ODOMETERS Halba'!$K48+'ODOMETERS Halba'!$L48</f>
        <v>1701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10">
        <v>46001</v>
      </c>
      <c r="B49" s="9"/>
      <c r="C49" s="9">
        <v>76130</v>
      </c>
      <c r="D49" s="9">
        <v>29979</v>
      </c>
      <c r="E49" s="9">
        <v>58425</v>
      </c>
      <c r="F49" s="9">
        <v>15167</v>
      </c>
      <c r="G49" s="9">
        <v>6628874</v>
      </c>
      <c r="H49" s="9">
        <v>6443205</v>
      </c>
      <c r="I49" s="9"/>
      <c r="J49" s="9">
        <f>'ODOMETERS Halba'!$C49+'ODOMETERS Halba'!$D49-D48-C48</f>
        <v>1603</v>
      </c>
      <c r="K49" s="9">
        <f>'ODOMETERS Halba'!$E49+'ODOMETERS Halba'!$F49-F48-E48</f>
        <v>1885</v>
      </c>
      <c r="L49" s="9">
        <f>'ODOMETERS Halba'!$G49+'ODOMETERS Halba'!$H49-H48-G48</f>
        <v>2023</v>
      </c>
      <c r="M49" s="9">
        <f>'ODOMETERS Halba'!$J49+'ODOMETERS Halba'!$K49+'ODOMETERS Halba'!$L49</f>
        <v>5511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10">
        <v>46002</v>
      </c>
      <c r="B50" s="9"/>
      <c r="C50" s="9">
        <v>77296</v>
      </c>
      <c r="D50" s="9">
        <v>30343</v>
      </c>
      <c r="E50" s="9">
        <v>59033</v>
      </c>
      <c r="F50" s="9">
        <v>15314</v>
      </c>
      <c r="G50" s="9">
        <v>6629149</v>
      </c>
      <c r="H50" s="9">
        <v>6443754</v>
      </c>
      <c r="I50" s="9"/>
      <c r="J50" s="9">
        <f>'ODOMETERS Halba'!$C50+'ODOMETERS Halba'!$D50-D49-C49</f>
        <v>1530</v>
      </c>
      <c r="K50" s="9">
        <f>'ODOMETERS Halba'!$E50+'ODOMETERS Halba'!$F50-F49-E49</f>
        <v>755</v>
      </c>
      <c r="L50" s="9">
        <f>'ODOMETERS Halba'!$G50+'ODOMETERS Halba'!$H50-H49-G49</f>
        <v>824</v>
      </c>
      <c r="M50" s="9">
        <f>'ODOMETERS Halba'!$J50+'ODOMETERS Halba'!$K50+'ODOMETERS Halba'!$L50</f>
        <v>3109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10">
        <v>46003</v>
      </c>
      <c r="B51" s="9" t="s">
        <v>24</v>
      </c>
      <c r="C51" s="9">
        <v>77751</v>
      </c>
      <c r="D51" s="9">
        <v>30567</v>
      </c>
      <c r="E51" s="9">
        <v>59315</v>
      </c>
      <c r="F51" s="9">
        <v>15388</v>
      </c>
      <c r="G51" s="9">
        <v>6629245</v>
      </c>
      <c r="H51" s="9">
        <v>6443857</v>
      </c>
      <c r="I51" s="9"/>
      <c r="J51" s="9">
        <f>'ODOMETERS Halba'!$C51+'ODOMETERS Halba'!$D51-D50-C50</f>
        <v>679</v>
      </c>
      <c r="K51" s="9">
        <f>'ODOMETERS Halba'!$E51+'ODOMETERS Halba'!$F51-F50-E50</f>
        <v>356</v>
      </c>
      <c r="L51" s="9">
        <f>'ODOMETERS Halba'!$G51+'ODOMETERS Halba'!$H51-H50-G50</f>
        <v>199</v>
      </c>
      <c r="M51" s="9">
        <f>'ODOMETERS Halba'!$J51+'ODOMETERS Halba'!$K51+'ODOMETERS Halba'!$L51</f>
        <v>1234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10">
        <v>46003</v>
      </c>
      <c r="B52" s="9" t="s">
        <v>25</v>
      </c>
      <c r="C52" s="9">
        <v>79078</v>
      </c>
      <c r="D52" s="9">
        <v>31554</v>
      </c>
      <c r="E52" s="9">
        <v>59758</v>
      </c>
      <c r="F52" s="9">
        <v>15518</v>
      </c>
      <c r="G52" s="9">
        <v>6629372</v>
      </c>
      <c r="H52" s="9">
        <v>6443917</v>
      </c>
      <c r="I52" s="9"/>
      <c r="J52" s="9">
        <f>'ODOMETERS Halba'!$C52+'ODOMETERS Halba'!$D52-D51-C51</f>
        <v>2314</v>
      </c>
      <c r="K52" s="9">
        <f>'ODOMETERS Halba'!$E52+'ODOMETERS Halba'!$F52-F51-E51</f>
        <v>573</v>
      </c>
      <c r="L52" s="9">
        <f>'ODOMETERS Halba'!$G52+'ODOMETERS Halba'!$H52-H51-G51</f>
        <v>187</v>
      </c>
      <c r="M52" s="9">
        <f>'ODOMETERS Halba'!$J52+'ODOMETERS Halba'!$K52+'ODOMETERS Halba'!$L52</f>
        <v>3074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10">
        <v>46004</v>
      </c>
      <c r="B53" s="9"/>
      <c r="C53" s="9">
        <v>80410</v>
      </c>
      <c r="D53" s="9">
        <v>31944</v>
      </c>
      <c r="E53" s="9">
        <v>60598</v>
      </c>
      <c r="F53" s="9">
        <v>15761</v>
      </c>
      <c r="G53" s="9">
        <v>6629675</v>
      </c>
      <c r="H53" s="9">
        <v>6445059</v>
      </c>
      <c r="I53" s="9"/>
      <c r="J53" s="9">
        <f>'ODOMETERS Halba'!$C53+'ODOMETERS Halba'!$D53-D52-C52</f>
        <v>1722</v>
      </c>
      <c r="K53" s="9">
        <f>'ODOMETERS Halba'!$E53+'ODOMETERS Halba'!$F53-F52-E52</f>
        <v>1083</v>
      </c>
      <c r="L53" s="9">
        <f>'ODOMETERS Halba'!$G53+'ODOMETERS Halba'!$H53-H52-G52</f>
        <v>1445</v>
      </c>
      <c r="M53" s="9">
        <f>'ODOMETERS Halba'!$J53+'ODOMETERS Halba'!$K53+'ODOMETERS Halba'!$L53</f>
        <v>4250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10">
        <v>46005</v>
      </c>
      <c r="B54" s="9"/>
      <c r="C54" s="9">
        <v>81470</v>
      </c>
      <c r="D54" s="9">
        <v>32304</v>
      </c>
      <c r="E54" s="9">
        <v>61983</v>
      </c>
      <c r="F54" s="9">
        <v>15944</v>
      </c>
      <c r="G54" s="9">
        <v>6629899</v>
      </c>
      <c r="H54" s="9">
        <v>6445492</v>
      </c>
      <c r="I54" s="9"/>
      <c r="J54" s="9">
        <f>'ODOMETERS Halba'!$C54+'ODOMETERS Halba'!$D54-D53-C53</f>
        <v>1420</v>
      </c>
      <c r="K54" s="9">
        <f>'ODOMETERS Halba'!$E54+'ODOMETERS Halba'!$F54-F53-E53</f>
        <v>1568</v>
      </c>
      <c r="L54" s="9">
        <f>'ODOMETERS Halba'!$G54+'ODOMETERS Halba'!$H54-H53-G53</f>
        <v>657</v>
      </c>
      <c r="M54" s="9">
        <f>'ODOMETERS Halba'!$J54+'ODOMETERS Halba'!$K54+'ODOMETERS Halba'!$L54</f>
        <v>3645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10">
        <v>46006</v>
      </c>
      <c r="B55" s="9"/>
      <c r="C55" s="9">
        <v>82050</v>
      </c>
      <c r="D55" s="9">
        <v>32593</v>
      </c>
      <c r="E55" s="9">
        <v>63585</v>
      </c>
      <c r="F55" s="9">
        <v>16343</v>
      </c>
      <c r="G55" s="9">
        <v>6630875</v>
      </c>
      <c r="H55" s="9">
        <v>6445678</v>
      </c>
      <c r="I55" s="9"/>
      <c r="J55" s="9">
        <f>'ODOMETERS Halba'!$C55+'ODOMETERS Halba'!$D55-D54-C54</f>
        <v>869</v>
      </c>
      <c r="K55" s="9">
        <f>'ODOMETERS Halba'!$E55+'ODOMETERS Halba'!$F55-F54-E54</f>
        <v>2001</v>
      </c>
      <c r="L55" s="9">
        <f>'ODOMETERS Halba'!$G55+'ODOMETERS Halba'!$H55-H54-G54</f>
        <v>1162</v>
      </c>
      <c r="M55" s="9">
        <f>'ODOMETERS Halba'!$J55+'ODOMETERS Halba'!$K55+'ODOMETERS Halba'!$L55</f>
        <v>4032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10">
        <v>46007</v>
      </c>
      <c r="B56" s="9" t="s">
        <v>24</v>
      </c>
      <c r="C56" s="9">
        <v>82289</v>
      </c>
      <c r="D56" s="9">
        <v>32758</v>
      </c>
      <c r="E56" s="9">
        <v>64040</v>
      </c>
      <c r="F56" s="9">
        <v>16436</v>
      </c>
      <c r="G56" s="9">
        <v>6633961</v>
      </c>
      <c r="H56" s="9">
        <v>6445775</v>
      </c>
      <c r="I56" s="9"/>
      <c r="J56" s="9">
        <f>'ODOMETERS Halba'!$C56+'ODOMETERS Halba'!$D56-D55-C55</f>
        <v>404</v>
      </c>
      <c r="K56" s="9">
        <f>'ODOMETERS Halba'!$E56+'ODOMETERS Halba'!$F56-F55-E55</f>
        <v>548</v>
      </c>
      <c r="L56" s="9">
        <f>'ODOMETERS Halba'!$G56+'ODOMETERS Halba'!$H56-H55-G55</f>
        <v>3183</v>
      </c>
      <c r="M56" s="9">
        <f>'ODOMETERS Halba'!$J56+'ODOMETERS Halba'!$K56+'ODOMETERS Halba'!$L56</f>
        <v>4135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10">
        <v>46007</v>
      </c>
      <c r="B57" s="9" t="s">
        <v>25</v>
      </c>
      <c r="C57" s="9">
        <v>82683</v>
      </c>
      <c r="D57" s="9">
        <v>32915</v>
      </c>
      <c r="E57" s="9">
        <v>64722</v>
      </c>
      <c r="F57" s="9">
        <v>16508</v>
      </c>
      <c r="G57" s="9">
        <v>6634439</v>
      </c>
      <c r="H57" s="9">
        <v>6445955</v>
      </c>
      <c r="I57" s="9"/>
      <c r="J57" s="9">
        <f>'ODOMETERS Halba'!$C57+'ODOMETERS Halba'!$D57-D56-C56</f>
        <v>551</v>
      </c>
      <c r="K57" s="9">
        <f>'ODOMETERS Halba'!$E57+'ODOMETERS Halba'!$F57-F56-E56</f>
        <v>754</v>
      </c>
      <c r="L57" s="9">
        <f>'ODOMETERS Halba'!$G57+'ODOMETERS Halba'!$H57-H56-G56</f>
        <v>658</v>
      </c>
      <c r="M57" s="9">
        <f>'ODOMETERS Halba'!$J57+'ODOMETERS Halba'!$K57+'ODOMETERS Halba'!$L57</f>
        <v>1963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10">
        <v>46008</v>
      </c>
      <c r="B58" s="9"/>
      <c r="C58" s="9">
        <v>83693</v>
      </c>
      <c r="D58" s="9">
        <v>33178</v>
      </c>
      <c r="E58" s="9">
        <v>66250</v>
      </c>
      <c r="F58" s="9">
        <v>17256</v>
      </c>
      <c r="G58" s="9">
        <v>6634792</v>
      </c>
      <c r="H58" s="9">
        <v>6446188</v>
      </c>
      <c r="I58" s="9"/>
      <c r="J58" s="9">
        <f>'ODOMETERS Halba'!$C58+'ODOMETERS Halba'!$D58-D57-C57</f>
        <v>1273</v>
      </c>
      <c r="K58" s="9">
        <f>'ODOMETERS Halba'!$E58+'ODOMETERS Halba'!$F58-F57-E57</f>
        <v>2276</v>
      </c>
      <c r="L58" s="9">
        <f>'ODOMETERS Halba'!$G58+'ODOMETERS Halba'!$H58-H57-G57</f>
        <v>586</v>
      </c>
      <c r="M58" s="9">
        <f>'ODOMETERS Halba'!$J58+'ODOMETERS Halba'!$K58+'ODOMETERS Halba'!$L58</f>
        <v>4135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10">
        <v>46009</v>
      </c>
      <c r="B59" s="9"/>
      <c r="C59" s="9">
        <v>84643</v>
      </c>
      <c r="D59" s="9">
        <v>33636</v>
      </c>
      <c r="E59" s="9">
        <v>67027</v>
      </c>
      <c r="F59" s="9">
        <v>17538</v>
      </c>
      <c r="G59" s="9">
        <v>6634922</v>
      </c>
      <c r="H59" s="9">
        <v>6446385</v>
      </c>
      <c r="I59" s="9"/>
      <c r="J59" s="9">
        <f>'ODOMETERS Halba'!$C59+'ODOMETERS Halba'!$D59-D58-C58</f>
        <v>1408</v>
      </c>
      <c r="K59" s="9">
        <f>'ODOMETERS Halba'!$E59+'ODOMETERS Halba'!$F59-F58-E58</f>
        <v>1059</v>
      </c>
      <c r="L59" s="9">
        <f>'ODOMETERS Halba'!$G59+'ODOMETERS Halba'!$H59-H58-G58</f>
        <v>327</v>
      </c>
      <c r="M59" s="9">
        <f>'ODOMETERS Halba'!$J59+'ODOMETERS Halba'!$K59+'ODOMETERS Halba'!$L59</f>
        <v>2794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10">
        <v>46010</v>
      </c>
      <c r="B60" s="9" t="s">
        <v>24</v>
      </c>
      <c r="C60" s="9">
        <v>85584</v>
      </c>
      <c r="D60" s="9">
        <v>33877</v>
      </c>
      <c r="E60" s="9">
        <v>67167</v>
      </c>
      <c r="F60" s="9">
        <v>17609</v>
      </c>
      <c r="G60" s="9">
        <v>6634950</v>
      </c>
      <c r="H60" s="9">
        <v>6446509</v>
      </c>
      <c r="I60" s="9"/>
      <c r="J60" s="9">
        <f>'ODOMETERS Halba'!$C60+'ODOMETERS Halba'!$D60-D59-C59</f>
        <v>1182</v>
      </c>
      <c r="K60" s="9">
        <f>'ODOMETERS Halba'!$E60+'ODOMETERS Halba'!$F60-F59-E59</f>
        <v>211</v>
      </c>
      <c r="L60" s="9">
        <f>'ODOMETERS Halba'!$G60+'ODOMETERS Halba'!$H60-H59-G59</f>
        <v>152</v>
      </c>
      <c r="M60" s="9">
        <f>'ODOMETERS Halba'!$J60+'ODOMETERS Halba'!$K60+'ODOMETERS Halba'!$L60</f>
        <v>1545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10">
        <v>46010</v>
      </c>
      <c r="B61" s="9" t="s">
        <v>25</v>
      </c>
      <c r="C61" s="9">
        <v>86479</v>
      </c>
      <c r="D61" s="9">
        <v>34050</v>
      </c>
      <c r="E61" s="9">
        <v>67339</v>
      </c>
      <c r="F61" s="9">
        <v>17665</v>
      </c>
      <c r="G61" s="9">
        <v>6635157</v>
      </c>
      <c r="H61" s="9">
        <v>6446937</v>
      </c>
      <c r="I61" s="9"/>
      <c r="J61" s="9">
        <f>'ODOMETERS Halba'!$C61+'ODOMETERS Halba'!$D61-D60-C60</f>
        <v>1068</v>
      </c>
      <c r="K61" s="9">
        <f>'ODOMETERS Halba'!$E61+'ODOMETERS Halba'!$F61-F60-E60</f>
        <v>228</v>
      </c>
      <c r="L61" s="9">
        <f>'ODOMETERS Halba'!$G61+'ODOMETERS Halba'!$H61-H60-G60</f>
        <v>635</v>
      </c>
      <c r="M61" s="9">
        <f>'ODOMETERS Halba'!$J61+'ODOMETERS Halba'!$K61+'ODOMETERS Halba'!$L61</f>
        <v>1931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12">
        <v>46011</v>
      </c>
      <c r="B62" s="5"/>
      <c r="C62" s="5">
        <v>88151</v>
      </c>
      <c r="D62" s="5">
        <v>34536</v>
      </c>
      <c r="E62" s="5">
        <v>68211</v>
      </c>
      <c r="F62" s="5">
        <v>17838</v>
      </c>
      <c r="G62" s="5">
        <v>6637740</v>
      </c>
      <c r="H62" s="5">
        <v>6447310</v>
      </c>
      <c r="I62" s="5"/>
      <c r="J62" s="9">
        <f>'ODOMETERS Halba'!$C62+'ODOMETERS Halba'!$D62-D61-C61</f>
        <v>2158</v>
      </c>
      <c r="K62" s="9">
        <f>'ODOMETERS Halba'!$E62+'ODOMETERS Halba'!$F62-F61-E61</f>
        <v>1045</v>
      </c>
      <c r="L62" s="9">
        <f>'ODOMETERS Halba'!$G62+'ODOMETERS Halba'!$H62-H61-G61</f>
        <v>2956</v>
      </c>
      <c r="M62" s="9">
        <f>'ODOMETERS Halba'!$J62+'ODOMETERS Halba'!$K62+'ODOMETERS Halba'!$L62</f>
        <v>6159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12">
        <v>46012</v>
      </c>
      <c r="B63" s="5"/>
      <c r="C63" s="5">
        <v>88778</v>
      </c>
      <c r="D63" s="5">
        <v>34784</v>
      </c>
      <c r="E63" s="5">
        <v>69995</v>
      </c>
      <c r="F63" s="5">
        <v>18220</v>
      </c>
      <c r="G63" s="5">
        <v>6637837</v>
      </c>
      <c r="H63" s="5">
        <v>6447511</v>
      </c>
      <c r="I63" s="5"/>
      <c r="J63" s="9">
        <f>'ODOMETERS Halba'!$C63+'ODOMETERS Halba'!$D63-D62-C62</f>
        <v>875</v>
      </c>
      <c r="K63" s="9">
        <f>'ODOMETERS Halba'!$E63+'ODOMETERS Halba'!$F63-F62-E62</f>
        <v>2166</v>
      </c>
      <c r="L63" s="9">
        <f>'ODOMETERS Halba'!$G63+'ODOMETERS Halba'!$H63-H62-G62</f>
        <v>298</v>
      </c>
      <c r="M63" s="9">
        <f>'ODOMETERS Halba'!$J63+'ODOMETERS Halba'!$K63+'ODOMETERS Halba'!$L63</f>
        <v>3339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12">
        <v>46013</v>
      </c>
      <c r="B64" s="5"/>
      <c r="C64" s="5">
        <v>90722</v>
      </c>
      <c r="D64" s="5">
        <v>35211</v>
      </c>
      <c r="E64" s="5">
        <v>70756</v>
      </c>
      <c r="F64" s="5">
        <v>18360</v>
      </c>
      <c r="G64" s="5">
        <v>6639704</v>
      </c>
      <c r="H64" s="5">
        <v>6448748</v>
      </c>
      <c r="I64" s="5"/>
      <c r="J64" s="9">
        <f>'ODOMETERS Halba'!$C64+'ODOMETERS Halba'!$D64-D63-C63</f>
        <v>2371</v>
      </c>
      <c r="K64" s="9">
        <f>'ODOMETERS Halba'!$E64+'ODOMETERS Halba'!$F64-F63-E63</f>
        <v>901</v>
      </c>
      <c r="L64" s="9">
        <f>'ODOMETERS Halba'!$G64+'ODOMETERS Halba'!$H64-H63-G63</f>
        <v>3104</v>
      </c>
      <c r="M64" s="9">
        <f>'ODOMETERS Halba'!$J64+'ODOMETERS Halba'!$K64+'ODOMETERS Halba'!$L64</f>
        <v>6376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12">
        <v>46014</v>
      </c>
      <c r="B65" s="5" t="s">
        <v>24</v>
      </c>
      <c r="C65" s="5">
        <v>91797</v>
      </c>
      <c r="D65" s="5">
        <v>35581</v>
      </c>
      <c r="E65" s="5">
        <v>70792</v>
      </c>
      <c r="F65" s="5">
        <v>18385</v>
      </c>
      <c r="G65" s="5">
        <v>6639847</v>
      </c>
      <c r="H65" s="5">
        <v>6448920</v>
      </c>
      <c r="I65" s="5"/>
      <c r="J65" s="9">
        <f>'ODOMETERS Halba'!$C65+'ODOMETERS Halba'!$D65-D64-C64</f>
        <v>1445</v>
      </c>
      <c r="K65" s="9">
        <f>'ODOMETERS Halba'!$E65+'ODOMETERS Halba'!$F65-F64-E64</f>
        <v>61</v>
      </c>
      <c r="L65" s="9">
        <f>'ODOMETERS Halba'!$G65+'ODOMETERS Halba'!$H65-H64-G64</f>
        <v>315</v>
      </c>
      <c r="M65" s="9">
        <f>'ODOMETERS Halba'!$J65+'ODOMETERS Halba'!$K65+'ODOMETERS Halba'!$L65</f>
        <v>1821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12">
        <v>46014</v>
      </c>
      <c r="B66" s="5" t="s">
        <v>25</v>
      </c>
      <c r="C66" s="5">
        <v>92224</v>
      </c>
      <c r="D66" s="5">
        <v>35711</v>
      </c>
      <c r="E66" s="5">
        <v>71632</v>
      </c>
      <c r="F66" s="5">
        <v>18510</v>
      </c>
      <c r="G66" s="5">
        <v>6640598</v>
      </c>
      <c r="H66" s="5">
        <v>6449172</v>
      </c>
      <c r="I66" s="5"/>
      <c r="J66" s="9">
        <f>'ODOMETERS Halba'!$C66+'ODOMETERS Halba'!$D66-D65-C65</f>
        <v>557</v>
      </c>
      <c r="K66" s="9">
        <f>'ODOMETERS Halba'!$E66+'ODOMETERS Halba'!$F66-F65-E65</f>
        <v>965</v>
      </c>
      <c r="L66" s="9">
        <f>'ODOMETERS Halba'!$G66+'ODOMETERS Halba'!$H66-H65-G65</f>
        <v>1003</v>
      </c>
      <c r="M66" s="9">
        <f>'ODOMETERS Halba'!$J66+'ODOMETERS Halba'!$K66+'ODOMETERS Halba'!$L66</f>
        <v>2525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12">
        <v>46015</v>
      </c>
      <c r="B67" s="5"/>
      <c r="C67" s="5">
        <v>92880</v>
      </c>
      <c r="D67" s="5">
        <v>35923</v>
      </c>
      <c r="E67" s="5">
        <v>73856</v>
      </c>
      <c r="F67" s="5">
        <v>18833</v>
      </c>
      <c r="G67" s="5">
        <v>6640941</v>
      </c>
      <c r="H67" s="5">
        <v>6449956</v>
      </c>
      <c r="I67" s="5"/>
      <c r="J67" s="9">
        <f>'ODOMETERS Halba'!$C67+'ODOMETERS Halba'!$D67-D66-C66</f>
        <v>868</v>
      </c>
      <c r="K67" s="9">
        <f>'ODOMETERS Halba'!$E67+'ODOMETERS Halba'!$F67-F66-E66</f>
        <v>2547</v>
      </c>
      <c r="L67" s="9">
        <f>'ODOMETERS Halba'!$G67+'ODOMETERS Halba'!$H67-H66-G66</f>
        <v>1127</v>
      </c>
      <c r="M67" s="9">
        <f>'ODOMETERS Halba'!$J67+'ODOMETERS Halba'!$K67+'ODOMETERS Halba'!$L67</f>
        <v>4542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12">
        <v>46016</v>
      </c>
      <c r="B68" s="5"/>
      <c r="C68" s="5">
        <v>95033</v>
      </c>
      <c r="D68" s="5">
        <v>36598</v>
      </c>
      <c r="E68" s="5">
        <v>74183</v>
      </c>
      <c r="F68" s="5">
        <v>18885</v>
      </c>
      <c r="G68" s="5">
        <v>6641080</v>
      </c>
      <c r="H68" s="5">
        <v>6450072</v>
      </c>
      <c r="I68" s="5"/>
      <c r="J68" s="9">
        <f>'ODOMETERS Halba'!$C68+'ODOMETERS Halba'!$D68-D67-C67</f>
        <v>2828</v>
      </c>
      <c r="K68" s="9">
        <f>'ODOMETERS Halba'!$E68+'ODOMETERS Halba'!$F68-F67-E67</f>
        <v>379</v>
      </c>
      <c r="L68" s="9">
        <f>'ODOMETERS Halba'!$G68+'ODOMETERS Halba'!$H68-H67-G67</f>
        <v>255</v>
      </c>
      <c r="M68" s="9">
        <f>'ODOMETERS Halba'!$J68+'ODOMETERS Halba'!$K68+'ODOMETERS Halba'!$L68</f>
        <v>3462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12">
        <v>46017</v>
      </c>
      <c r="B69" s="5" t="s">
        <v>24</v>
      </c>
      <c r="C69" s="5">
        <v>96317</v>
      </c>
      <c r="D69" s="5">
        <v>37079</v>
      </c>
      <c r="E69" s="5">
        <v>74183</v>
      </c>
      <c r="F69" s="5">
        <v>18911</v>
      </c>
      <c r="G69" s="5">
        <v>6641262</v>
      </c>
      <c r="H69" s="5">
        <v>6450415</v>
      </c>
      <c r="I69" s="5"/>
      <c r="J69" s="9">
        <f>'ODOMETERS Halba'!$C69+'ODOMETERS Halba'!$D69-D68-C68</f>
        <v>1765</v>
      </c>
      <c r="K69" s="9">
        <f>'ODOMETERS Halba'!$E69+'ODOMETERS Halba'!$F69-F68-E68</f>
        <v>26</v>
      </c>
      <c r="L69" s="9">
        <f>'ODOMETERS Halba'!$G69+'ODOMETERS Halba'!$H69-H68-G68</f>
        <v>525</v>
      </c>
      <c r="M69" s="9">
        <f>'ODOMETERS Halba'!$J69+'ODOMETERS Halba'!$K69+'ODOMETERS Halba'!$L69</f>
        <v>2316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12">
        <v>46017</v>
      </c>
      <c r="B70" s="5" t="s">
        <v>25</v>
      </c>
      <c r="C70" s="5">
        <v>97084</v>
      </c>
      <c r="D70" s="5">
        <v>37265</v>
      </c>
      <c r="E70" s="5">
        <v>74468</v>
      </c>
      <c r="F70" s="5">
        <v>18941</v>
      </c>
      <c r="G70" s="5">
        <v>6642713</v>
      </c>
      <c r="H70" s="5">
        <v>6450721</v>
      </c>
      <c r="I70" s="5"/>
      <c r="J70" s="9">
        <f>'ODOMETERS Halba'!$C70+'ODOMETERS Halba'!$D70-D69-C69</f>
        <v>953</v>
      </c>
      <c r="K70" s="9">
        <f>'ODOMETERS Halba'!$E70+'ODOMETERS Halba'!$F70-F69-E69</f>
        <v>315</v>
      </c>
      <c r="L70" s="9">
        <f>'ODOMETERS Halba'!$G70+'ODOMETERS Halba'!$H70-H69-G69</f>
        <v>1757</v>
      </c>
      <c r="M70" s="9">
        <f>'ODOMETERS Halba'!$J70+'ODOMETERS Halba'!$K70+'ODOMETERS Halba'!$L70</f>
        <v>3025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12">
        <v>46018</v>
      </c>
      <c r="B71" s="5"/>
      <c r="C71" s="5">
        <v>98266</v>
      </c>
      <c r="D71" s="5">
        <v>37623</v>
      </c>
      <c r="E71" s="5">
        <v>75058</v>
      </c>
      <c r="F71" s="5">
        <v>19123</v>
      </c>
      <c r="G71" s="5">
        <v>6643552</v>
      </c>
      <c r="H71" s="5">
        <v>6450976</v>
      </c>
      <c r="I71" s="5"/>
      <c r="J71" s="9">
        <f>'ODOMETERS Halba'!$C71+'ODOMETERS Halba'!$D71-D70-C70</f>
        <v>1540</v>
      </c>
      <c r="K71" s="9">
        <f>'ODOMETERS Halba'!$E71+'ODOMETERS Halba'!$F71-F70-E70</f>
        <v>772</v>
      </c>
      <c r="L71" s="9">
        <f>'ODOMETERS Halba'!$G71+'ODOMETERS Halba'!$H71-H70-G70</f>
        <v>1094</v>
      </c>
      <c r="M71" s="9">
        <f>'ODOMETERS Halba'!$J71+'ODOMETERS Halba'!$K71+'ODOMETERS Halba'!$L71</f>
        <v>3406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12">
        <v>46019</v>
      </c>
      <c r="B72" s="5"/>
      <c r="C72" s="5">
        <v>100122</v>
      </c>
      <c r="D72" s="5">
        <v>38001</v>
      </c>
      <c r="E72" s="5">
        <v>75670</v>
      </c>
      <c r="F72" s="5">
        <v>19300</v>
      </c>
      <c r="G72" s="5">
        <v>6643770</v>
      </c>
      <c r="H72" s="5">
        <v>6451346</v>
      </c>
      <c r="I72" s="5"/>
      <c r="J72" s="9">
        <f>'ODOMETERS Halba'!$C72+'ODOMETERS Halba'!$D72-D71-C71</f>
        <v>2234</v>
      </c>
      <c r="K72" s="9">
        <f>'ODOMETERS Halba'!$E72+'ODOMETERS Halba'!$F72-F71-E71</f>
        <v>789</v>
      </c>
      <c r="L72" s="9">
        <f>'ODOMETERS Halba'!$G72+'ODOMETERS Halba'!$H72-H71-G71</f>
        <v>588</v>
      </c>
      <c r="M72" s="9">
        <f>'ODOMETERS Halba'!$J72+'ODOMETERS Halba'!$K72+'ODOMETERS Halba'!$L72</f>
        <v>3611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12">
        <v>46020</v>
      </c>
      <c r="B73" s="5"/>
      <c r="C73" s="5">
        <v>101047</v>
      </c>
      <c r="D73" s="5">
        <v>38359</v>
      </c>
      <c r="E73" s="5">
        <v>77254</v>
      </c>
      <c r="F73" s="5">
        <v>19693</v>
      </c>
      <c r="G73" s="5">
        <v>6644123</v>
      </c>
      <c r="H73" s="5">
        <v>6451512</v>
      </c>
      <c r="I73" s="5"/>
      <c r="J73" s="9">
        <f>'ODOMETERS Halba'!$C73+'ODOMETERS Halba'!$D73-D72-C72</f>
        <v>1283</v>
      </c>
      <c r="K73" s="9">
        <f>'ODOMETERS Halba'!$E73+'ODOMETERS Halba'!$F73-F72-E72</f>
        <v>1977</v>
      </c>
      <c r="L73" s="9">
        <f>'ODOMETERS Halba'!$G73+'ODOMETERS Halba'!$H73-H72-G72</f>
        <v>519</v>
      </c>
      <c r="M73" s="9">
        <f>'ODOMETERS Halba'!$J73+'ODOMETERS Halba'!$K73+'ODOMETERS Halba'!$L73</f>
        <v>3779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12">
        <v>46021</v>
      </c>
      <c r="B74" s="5" t="s">
        <v>24</v>
      </c>
      <c r="C74" s="5">
        <v>101561</v>
      </c>
      <c r="D74" s="5">
        <v>38587</v>
      </c>
      <c r="E74" s="5">
        <v>77741</v>
      </c>
      <c r="F74" s="5">
        <v>19837</v>
      </c>
      <c r="G74" s="5">
        <v>6644163</v>
      </c>
      <c r="H74" s="5">
        <v>6451625</v>
      </c>
      <c r="I74" s="5"/>
      <c r="J74" s="9">
        <f>'ODOMETERS Halba'!$C74+'ODOMETERS Halba'!$D74-D73-C73</f>
        <v>742</v>
      </c>
      <c r="K74" s="9">
        <f>'ODOMETERS Halba'!$E74+'ODOMETERS Halba'!$F74-F73-E73</f>
        <v>631</v>
      </c>
      <c r="L74" s="9">
        <f>'ODOMETERS Halba'!$G74+'ODOMETERS Halba'!$H74-H73-G73</f>
        <v>153</v>
      </c>
      <c r="M74" s="9">
        <f>'ODOMETERS Halba'!$J74+'ODOMETERS Halba'!$K74+'ODOMETERS Halba'!$L74</f>
        <v>1526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12">
        <v>46021</v>
      </c>
      <c r="B75" s="5" t="s">
        <v>25</v>
      </c>
      <c r="C75" s="5">
        <v>102206</v>
      </c>
      <c r="D75" s="5">
        <v>38692</v>
      </c>
      <c r="E75" s="5">
        <v>78564</v>
      </c>
      <c r="F75" s="5">
        <v>20028</v>
      </c>
      <c r="G75" s="5">
        <v>6645660</v>
      </c>
      <c r="H75" s="5">
        <v>6452677</v>
      </c>
      <c r="I75" s="5"/>
      <c r="J75" s="9">
        <f>'ODOMETERS Halba'!$C75+'ODOMETERS Halba'!$D75-D74-C74</f>
        <v>750</v>
      </c>
      <c r="K75" s="9">
        <f>'ODOMETERS Halba'!$E75+'ODOMETERS Halba'!$F75-F74-E74</f>
        <v>1014</v>
      </c>
      <c r="L75" s="9">
        <f>'ODOMETERS Halba'!$G75+'ODOMETERS Halba'!$H75-H74-G74</f>
        <v>2549</v>
      </c>
      <c r="M75" s="9">
        <f>'ODOMETERS Halba'!$J75+'ODOMETERS Halba'!$K75+'ODOMETERS Halba'!$L75</f>
        <v>4313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12">
        <v>46022</v>
      </c>
      <c r="B76" s="5"/>
      <c r="C76" s="5">
        <v>103322</v>
      </c>
      <c r="D76" s="5">
        <v>39064</v>
      </c>
      <c r="E76" s="5">
        <v>79651</v>
      </c>
      <c r="F76" s="5">
        <v>20279</v>
      </c>
      <c r="G76" s="5">
        <v>6647349</v>
      </c>
      <c r="H76" s="5">
        <v>6452919</v>
      </c>
      <c r="I76" s="5"/>
      <c r="J76" s="9">
        <f>'ODOMETERS Halba'!$C76+'ODOMETERS Halba'!$D76-D75-C75</f>
        <v>1488</v>
      </c>
      <c r="K76" s="9">
        <f>'ODOMETERS Halba'!$E76+'ODOMETERS Halba'!$F76-F75-E75</f>
        <v>1338</v>
      </c>
      <c r="L76" s="9">
        <f>'ODOMETERS Halba'!$G76+'ODOMETERS Halba'!$H76-H75-G75</f>
        <v>1931</v>
      </c>
      <c r="M76" s="9">
        <f>'ODOMETERS Halba'!$J76+'ODOMETERS Halba'!$K76+'ODOMETERS Halba'!$L76</f>
        <v>4757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12">
        <v>46023</v>
      </c>
      <c r="B77" s="5"/>
      <c r="C77" s="5">
        <v>104523</v>
      </c>
      <c r="D77" s="5">
        <v>39470</v>
      </c>
      <c r="E77" s="5">
        <v>80228</v>
      </c>
      <c r="F77" s="5">
        <v>20359</v>
      </c>
      <c r="G77" s="5">
        <v>6649802</v>
      </c>
      <c r="H77" s="5">
        <v>6453182</v>
      </c>
      <c r="I77" s="5"/>
      <c r="J77" s="9">
        <f>'ODOMETERS Halba'!$C77+'ODOMETERS Halba'!$D77-D76-C76</f>
        <v>1607</v>
      </c>
      <c r="K77" s="9">
        <f>'ODOMETERS Halba'!$E77+'ODOMETERS Halba'!$F77-F76-E76</f>
        <v>657</v>
      </c>
      <c r="L77" s="9">
        <f>'ODOMETERS Halba'!$G77+'ODOMETERS Halba'!$H77-H76-G76</f>
        <v>2716</v>
      </c>
      <c r="M77" s="9">
        <f>'ODOMETERS Halba'!$J77+'ODOMETERS Halba'!$K77+'ODOMETERS Halba'!$L77</f>
        <v>4980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12">
        <v>46024</v>
      </c>
      <c r="B78" s="5"/>
      <c r="C78" s="5">
        <v>106293</v>
      </c>
      <c r="D78" s="5">
        <v>40117</v>
      </c>
      <c r="E78" s="5">
        <v>80321</v>
      </c>
      <c r="F78" s="5">
        <v>20409</v>
      </c>
      <c r="G78" s="5">
        <v>6651013</v>
      </c>
      <c r="H78" s="5">
        <v>6453402</v>
      </c>
      <c r="I78" s="5"/>
      <c r="J78" s="9">
        <f>'ODOMETERS Halba'!$C78+'ODOMETERS Halba'!$D78-D77-C77</f>
        <v>2417</v>
      </c>
      <c r="K78" s="9">
        <f>'ODOMETERS Halba'!$E78+'ODOMETERS Halba'!$F78-F77-E77</f>
        <v>143</v>
      </c>
      <c r="L78" s="9">
        <f>'ODOMETERS Halba'!$G78+'ODOMETERS Halba'!$H78-H77-G77</f>
        <v>1431</v>
      </c>
      <c r="M78" s="9">
        <f>'ODOMETERS Halba'!$J78+'ODOMETERS Halba'!$K78+'ODOMETERS Halba'!$L78</f>
        <v>3991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12">
        <v>46025</v>
      </c>
      <c r="B79" s="5" t="s">
        <v>24</v>
      </c>
      <c r="C79" s="5">
        <v>106983</v>
      </c>
      <c r="D79" s="5">
        <v>40316</v>
      </c>
      <c r="E79" s="5">
        <v>80620</v>
      </c>
      <c r="F79" s="5">
        <v>20419</v>
      </c>
      <c r="G79" s="5">
        <v>6651077</v>
      </c>
      <c r="H79" s="5">
        <v>6453489</v>
      </c>
      <c r="I79" s="5"/>
      <c r="J79" s="9">
        <f>'ODOMETERS Halba'!$C79+'ODOMETERS Halba'!$D79-D78-C78</f>
        <v>889</v>
      </c>
      <c r="K79" s="9">
        <f>'ODOMETERS Halba'!$E79+'ODOMETERS Halba'!$F79-F78-E78</f>
        <v>309</v>
      </c>
      <c r="L79" s="9">
        <f>'ODOMETERS Halba'!$G79+'ODOMETERS Halba'!$H79-H78-G78</f>
        <v>151</v>
      </c>
      <c r="M79" s="9">
        <f>'ODOMETERS Halba'!$J79+'ODOMETERS Halba'!$K79+'ODOMETERS Halba'!$L79</f>
        <v>1349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12">
        <v>46025</v>
      </c>
      <c r="B80" s="5" t="s">
        <v>25</v>
      </c>
      <c r="C80" s="5">
        <v>107860</v>
      </c>
      <c r="D80" s="5">
        <v>40614</v>
      </c>
      <c r="E80" s="5">
        <v>81244</v>
      </c>
      <c r="F80" s="5">
        <v>20574</v>
      </c>
      <c r="G80" s="5">
        <v>6651611</v>
      </c>
      <c r="H80" s="5">
        <v>6453567</v>
      </c>
      <c r="I80" s="5"/>
      <c r="J80" s="9">
        <f>'ODOMETERS Halba'!$C80+'ODOMETERS Halba'!$D80-D79-C79</f>
        <v>1175</v>
      </c>
      <c r="K80" s="9">
        <f>'ODOMETERS Halba'!$E80+'ODOMETERS Halba'!$F80-F79-E79</f>
        <v>779</v>
      </c>
      <c r="L80" s="9">
        <f>'ODOMETERS Halba'!$G80+'ODOMETERS Halba'!$H80-H79-G79</f>
        <v>612</v>
      </c>
      <c r="M80" s="9">
        <f>'ODOMETERS Halba'!$J80+'ODOMETERS Halba'!$K80+'ODOMETERS Halba'!$L80</f>
        <v>2566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12">
        <v>46026</v>
      </c>
      <c r="B81" s="5"/>
      <c r="C81" s="5">
        <v>109747</v>
      </c>
      <c r="D81" s="5">
        <v>41094</v>
      </c>
      <c r="E81" s="5">
        <v>82244</v>
      </c>
      <c r="F81" s="5">
        <v>20740</v>
      </c>
      <c r="G81" s="5">
        <v>6651760</v>
      </c>
      <c r="H81" s="5">
        <v>6453969</v>
      </c>
      <c r="I81" s="5"/>
      <c r="J81" s="9">
        <f>'ODOMETERS Halba'!$C81+'ODOMETERS Halba'!$D81-D80-C80</f>
        <v>2367</v>
      </c>
      <c r="K81" s="9">
        <f>'ODOMETERS Halba'!$E81+'ODOMETERS Halba'!$F81-F80-E80</f>
        <v>1166</v>
      </c>
      <c r="L81" s="9">
        <f>'ODOMETERS Halba'!$G81+'ODOMETERS Halba'!$H81-H80-G80</f>
        <v>551</v>
      </c>
      <c r="M81" s="9">
        <f>'ODOMETERS Halba'!$J81+'ODOMETERS Halba'!$K81+'ODOMETERS Halba'!$L81</f>
        <v>4084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12">
        <v>46027</v>
      </c>
      <c r="B82" s="5"/>
      <c r="C82" s="5">
        <v>110481</v>
      </c>
      <c r="D82" s="5">
        <v>41404</v>
      </c>
      <c r="E82" s="5">
        <v>83893</v>
      </c>
      <c r="F82" s="5">
        <v>21159</v>
      </c>
      <c r="G82" s="5">
        <v>6652765</v>
      </c>
      <c r="H82" s="5">
        <v>6454640</v>
      </c>
      <c r="I82" s="5"/>
      <c r="J82" s="9">
        <f>'ODOMETERS Halba'!$C82+'ODOMETERS Halba'!$D82-D81-C81</f>
        <v>1044</v>
      </c>
      <c r="K82" s="9">
        <f>'ODOMETERS Halba'!$E82+'ODOMETERS Halba'!$F82-F81-E81</f>
        <v>2068</v>
      </c>
      <c r="L82" s="9">
        <f>'ODOMETERS Halba'!$G82+'ODOMETERS Halba'!$H82-H81-G81</f>
        <v>1676</v>
      </c>
      <c r="M82" s="9">
        <f>'ODOMETERS Halba'!$J82+'ODOMETERS Halba'!$K82+'ODOMETERS Halba'!$L82</f>
        <v>4788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12">
        <v>46028</v>
      </c>
      <c r="B83" s="5"/>
      <c r="C83" s="5">
        <v>111713</v>
      </c>
      <c r="D83" s="5">
        <v>41865</v>
      </c>
      <c r="E83" s="5">
        <v>84563</v>
      </c>
      <c r="F83" s="5">
        <v>21420</v>
      </c>
      <c r="G83" s="5">
        <v>6654043</v>
      </c>
      <c r="H83" s="5">
        <v>6454989</v>
      </c>
      <c r="I83" s="5"/>
      <c r="J83" s="9">
        <f>'ODOMETERS Halba'!$C83+'ODOMETERS Halba'!$D83-D82-C82</f>
        <v>1693</v>
      </c>
      <c r="K83" s="9">
        <f>'ODOMETERS Halba'!$E83+'ODOMETERS Halba'!$F83-F82-E82</f>
        <v>931</v>
      </c>
      <c r="L83" s="9">
        <f>'ODOMETERS Halba'!$G83+'ODOMETERS Halba'!$H83-H82-G82</f>
        <v>1627</v>
      </c>
      <c r="M83" s="9">
        <f>'ODOMETERS Halba'!$J83+'ODOMETERS Halba'!$K83+'ODOMETERS Halba'!$L83</f>
        <v>4251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12">
        <v>46029</v>
      </c>
      <c r="B84" s="5" t="s">
        <v>24</v>
      </c>
      <c r="C84" s="5">
        <v>112345</v>
      </c>
      <c r="D84" s="5">
        <v>42262</v>
      </c>
      <c r="E84" s="5">
        <v>85067</v>
      </c>
      <c r="F84" s="5">
        <v>21686</v>
      </c>
      <c r="G84" s="5">
        <v>6655814</v>
      </c>
      <c r="H84" s="5">
        <v>6455231</v>
      </c>
      <c r="I84" s="5"/>
      <c r="J84" s="9">
        <f>'ODOMETERS Halba'!$C84+'ODOMETERS Halba'!$D84-D83-C83</f>
        <v>1029</v>
      </c>
      <c r="K84" s="9">
        <f>'ODOMETERS Halba'!$E84+'ODOMETERS Halba'!$F84-F83-E83</f>
        <v>770</v>
      </c>
      <c r="L84" s="9">
        <f>'ODOMETERS Halba'!$G84+'ODOMETERS Halba'!$H84-H83-G83</f>
        <v>2013</v>
      </c>
      <c r="M84" s="9">
        <f>'ODOMETERS Halba'!$J84+'ODOMETERS Halba'!$K84+'ODOMETERS Halba'!$L84</f>
        <v>3812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12">
        <v>46029</v>
      </c>
      <c r="B85" s="5" t="s">
        <v>25</v>
      </c>
      <c r="C85" s="5">
        <v>112807</v>
      </c>
      <c r="D85" s="5">
        <v>42426</v>
      </c>
      <c r="E85" s="5">
        <v>85368</v>
      </c>
      <c r="F85" s="5">
        <v>21733</v>
      </c>
      <c r="G85" s="5">
        <v>6655880</v>
      </c>
      <c r="H85" s="5">
        <v>6455320</v>
      </c>
      <c r="I85" s="5"/>
      <c r="J85" s="9">
        <f>'ODOMETERS Halba'!$C85+'ODOMETERS Halba'!$D85-D84-C84</f>
        <v>626</v>
      </c>
      <c r="K85" s="9">
        <f>'ODOMETERS Halba'!$E85+'ODOMETERS Halba'!$F85-F84-E84</f>
        <v>348</v>
      </c>
      <c r="L85" s="9">
        <f>'ODOMETERS Halba'!$G85+'ODOMETERS Halba'!$H85-H84-G84</f>
        <v>155</v>
      </c>
      <c r="M85" s="9">
        <f>'ODOMETERS Halba'!$J85+'ODOMETERS Halba'!$K85+'ODOMETERS Halba'!$L85</f>
        <v>1129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12">
        <v>46030</v>
      </c>
      <c r="B86" s="5"/>
      <c r="C86" s="5">
        <v>113939</v>
      </c>
      <c r="D86" s="5">
        <v>42936</v>
      </c>
      <c r="E86" s="5">
        <v>86253</v>
      </c>
      <c r="F86" s="5">
        <v>21943</v>
      </c>
      <c r="G86" s="5">
        <v>6658314</v>
      </c>
      <c r="H86" s="5">
        <v>6455646</v>
      </c>
      <c r="I86" s="5"/>
      <c r="J86" s="9">
        <f>'ODOMETERS Halba'!$C86+'ODOMETERS Halba'!$D86-D85-C85</f>
        <v>1642</v>
      </c>
      <c r="K86" s="9">
        <f>'ODOMETERS Halba'!$E86+'ODOMETERS Halba'!$F86-F85-E85</f>
        <v>1095</v>
      </c>
      <c r="L86" s="9">
        <f>'ODOMETERS Halba'!$G86+'ODOMETERS Halba'!$H86-H85-G85</f>
        <v>2760</v>
      </c>
      <c r="M86" s="9">
        <f>'ODOMETERS Halba'!$J86+'ODOMETERS Halba'!$K86+'ODOMETERS Halba'!$L86</f>
        <v>5497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12">
        <v>46031</v>
      </c>
      <c r="B87" s="5" t="s">
        <v>24</v>
      </c>
      <c r="C87" s="5">
        <v>114645</v>
      </c>
      <c r="D87" s="5">
        <v>43238</v>
      </c>
      <c r="E87" s="5">
        <v>86889</v>
      </c>
      <c r="F87" s="5">
        <v>22013</v>
      </c>
      <c r="G87" s="5">
        <v>6658578</v>
      </c>
      <c r="H87" s="5">
        <v>6455752</v>
      </c>
      <c r="I87" s="5"/>
      <c r="J87" s="9">
        <f>'ODOMETERS Halba'!$C87+'ODOMETERS Halba'!$D87-D86-C86</f>
        <v>1008</v>
      </c>
      <c r="K87" s="9">
        <f>'ODOMETERS Halba'!$E87+'ODOMETERS Halba'!$F87-F86-E86</f>
        <v>706</v>
      </c>
      <c r="L87" s="9">
        <f>'ODOMETERS Halba'!$G87+'ODOMETERS Halba'!$H87-H86-G86</f>
        <v>370</v>
      </c>
      <c r="M87" s="9">
        <f>'ODOMETERS Halba'!$J87+'ODOMETERS Halba'!$K87+'ODOMETERS Halba'!$L87</f>
        <v>2084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12">
        <v>46031</v>
      </c>
      <c r="B88" s="5" t="s">
        <v>25</v>
      </c>
      <c r="C88" s="5">
        <v>115125</v>
      </c>
      <c r="D88" s="5">
        <v>43479</v>
      </c>
      <c r="E88" s="5">
        <v>87267</v>
      </c>
      <c r="F88" s="5">
        <v>22097</v>
      </c>
      <c r="G88" s="5">
        <v>6658858</v>
      </c>
      <c r="H88" s="5">
        <v>6455927</v>
      </c>
      <c r="I88" s="5"/>
      <c r="J88" s="9">
        <f>'ODOMETERS Halba'!$C88+'ODOMETERS Halba'!$D88-D87-C87</f>
        <v>721</v>
      </c>
      <c r="K88" s="9">
        <f>'ODOMETERS Halba'!$E88+'ODOMETERS Halba'!$F88-F87-E87</f>
        <v>462</v>
      </c>
      <c r="L88" s="9">
        <f>'ODOMETERS Halba'!$G88+'ODOMETERS Halba'!$H88-H87-G87</f>
        <v>455</v>
      </c>
      <c r="M88" s="9">
        <f>'ODOMETERS Halba'!$J88+'ODOMETERS Halba'!$K88+'ODOMETERS Halba'!$L88</f>
        <v>1638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12">
        <v>46032</v>
      </c>
      <c r="B89" s="5"/>
      <c r="C89" s="5">
        <v>117065</v>
      </c>
      <c r="D89" s="5">
        <v>44216</v>
      </c>
      <c r="E89" s="5">
        <v>87708</v>
      </c>
      <c r="F89" s="5">
        <v>22180</v>
      </c>
      <c r="G89" s="5">
        <v>6660079</v>
      </c>
      <c r="H89" s="5">
        <v>6456164</v>
      </c>
      <c r="I89" s="5"/>
      <c r="J89" s="9">
        <f>'ODOMETERS Halba'!$C89+'ODOMETERS Halba'!$D89-D88-C88</f>
        <v>2677</v>
      </c>
      <c r="K89" s="9">
        <f>'ODOMETERS Halba'!$E89+'ODOMETERS Halba'!$F89-F88-E88</f>
        <v>524</v>
      </c>
      <c r="L89" s="9">
        <f>'ODOMETERS Halba'!$G89+'ODOMETERS Halba'!$H89-H88-G88</f>
        <v>1458</v>
      </c>
      <c r="M89" s="9">
        <f>'ODOMETERS Halba'!$J89+'ODOMETERS Halba'!$K89+'ODOMETERS Halba'!$L89</f>
        <v>4659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12">
        <v>46033</v>
      </c>
      <c r="B90" s="5"/>
      <c r="C90" s="5">
        <v>118485</v>
      </c>
      <c r="D90" s="5">
        <v>44756</v>
      </c>
      <c r="E90" s="5">
        <v>88402</v>
      </c>
      <c r="F90" s="5">
        <v>22411</v>
      </c>
      <c r="G90" s="5">
        <v>6660518</v>
      </c>
      <c r="H90" s="5">
        <v>6457865</v>
      </c>
      <c r="I90" s="5"/>
      <c r="J90" s="9">
        <f>'ODOMETERS Halba'!$C90+'ODOMETERS Halba'!$D90-D89-C89</f>
        <v>1960</v>
      </c>
      <c r="K90" s="9">
        <f>'ODOMETERS Halba'!$E90+'ODOMETERS Halba'!$F90-F89-E89</f>
        <v>925</v>
      </c>
      <c r="L90" s="9">
        <f>'ODOMETERS Halba'!$G90+'ODOMETERS Halba'!$H90-H89-G89</f>
        <v>2140</v>
      </c>
      <c r="M90" s="9">
        <f>'ODOMETERS Halba'!$J90+'ODOMETERS Halba'!$K90+'ODOMETERS Halba'!$L90</f>
        <v>5025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12">
        <v>46034</v>
      </c>
      <c r="B91" s="5"/>
      <c r="C91" s="5">
        <v>119289</v>
      </c>
      <c r="D91" s="5">
        <v>45199</v>
      </c>
      <c r="E91" s="5">
        <v>89960</v>
      </c>
      <c r="F91" s="5">
        <v>22645</v>
      </c>
      <c r="G91" s="5">
        <v>6660945</v>
      </c>
      <c r="H91" s="5">
        <v>6458134</v>
      </c>
      <c r="I91" s="5"/>
      <c r="J91" s="9">
        <f>'ODOMETERS Halba'!$C91+'ODOMETERS Halba'!$D91-D90-C90</f>
        <v>1247</v>
      </c>
      <c r="K91" s="9">
        <f>'ODOMETERS Halba'!$E91+'ODOMETERS Halba'!$F91-F90-E90</f>
        <v>1792</v>
      </c>
      <c r="L91" s="9">
        <f>'ODOMETERS Halba'!$G91+'ODOMETERS Halba'!$H91-H90-G90</f>
        <v>696</v>
      </c>
      <c r="M91" s="9">
        <f>'ODOMETERS Halba'!$J91+'ODOMETERS Halba'!$K91+'ODOMETERS Halba'!$L91</f>
        <v>3735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12">
        <v>46035</v>
      </c>
      <c r="B92" s="5" t="s">
        <v>24</v>
      </c>
      <c r="C92" s="5">
        <v>119879</v>
      </c>
      <c r="D92" s="5">
        <v>45370</v>
      </c>
      <c r="E92" s="5">
        <v>90290</v>
      </c>
      <c r="F92" s="5">
        <v>22765</v>
      </c>
      <c r="G92" s="5">
        <v>6662718</v>
      </c>
      <c r="H92" s="5">
        <v>6458285</v>
      </c>
      <c r="I92" s="5"/>
      <c r="J92" s="9">
        <f>'ODOMETERS Halba'!$C92+'ODOMETERS Halba'!$D92-D91-C91</f>
        <v>761</v>
      </c>
      <c r="K92" s="9">
        <f>'ODOMETERS Halba'!$E92+'ODOMETERS Halba'!$F92-F91-E91</f>
        <v>450</v>
      </c>
      <c r="L92" s="9">
        <f>'ODOMETERS Halba'!$G92+'ODOMETERS Halba'!$H92-H91-G91</f>
        <v>1924</v>
      </c>
      <c r="M92" s="9">
        <f>'ODOMETERS Halba'!$J92+'ODOMETERS Halba'!$K92+'ODOMETERS Halba'!$L92</f>
        <v>3135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12">
        <v>46035</v>
      </c>
      <c r="B93" s="5" t="s">
        <v>25</v>
      </c>
      <c r="C93" s="5">
        <v>120246</v>
      </c>
      <c r="D93" s="5">
        <v>45502</v>
      </c>
      <c r="E93" s="5">
        <v>90860</v>
      </c>
      <c r="F93" s="5">
        <v>22809</v>
      </c>
      <c r="G93" s="5">
        <v>6662905</v>
      </c>
      <c r="H93" s="5">
        <v>6458606</v>
      </c>
      <c r="I93" s="5"/>
      <c r="J93" s="9">
        <f>'ODOMETERS Halba'!$C93+'ODOMETERS Halba'!$D93-D92-C92</f>
        <v>499</v>
      </c>
      <c r="K93" s="9">
        <f>'ODOMETERS Halba'!$E93+'ODOMETERS Halba'!$F93-F92-E92</f>
        <v>614</v>
      </c>
      <c r="L93" s="9">
        <f>'ODOMETERS Halba'!$G93+'ODOMETERS Halba'!$H93-H92-G92</f>
        <v>508</v>
      </c>
      <c r="M93" s="9">
        <f>'ODOMETERS Halba'!$J93+'ODOMETERS Halba'!$K93+'ODOMETERS Halba'!$L93</f>
        <v>1621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12">
        <v>46036</v>
      </c>
      <c r="B94" s="5"/>
      <c r="C94" s="5">
        <v>121310</v>
      </c>
      <c r="D94" s="5">
        <v>46145</v>
      </c>
      <c r="E94" s="5">
        <v>91524</v>
      </c>
      <c r="F94" s="5">
        <v>22921</v>
      </c>
      <c r="G94" s="5">
        <v>6664756</v>
      </c>
      <c r="H94" s="5">
        <v>6461346</v>
      </c>
      <c r="I94" s="5"/>
      <c r="J94" s="9">
        <f>'ODOMETERS Halba'!$C94+'ODOMETERS Halba'!$D94-D93-C93</f>
        <v>1707</v>
      </c>
      <c r="K94" s="9">
        <f>'ODOMETERS Halba'!$E94+'ODOMETERS Halba'!$F94-F93-E93</f>
        <v>776</v>
      </c>
      <c r="L94" s="9">
        <f>'ODOMETERS Halba'!$G94+'ODOMETERS Halba'!$H94-H93-G93</f>
        <v>4591</v>
      </c>
      <c r="M94" s="9">
        <f>'ODOMETERS Halba'!$J94+'ODOMETERS Halba'!$K94+'ODOMETERS Halba'!$L94</f>
        <v>7074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12">
        <v>46037</v>
      </c>
      <c r="B95" s="5"/>
      <c r="C95" s="5">
        <v>122347</v>
      </c>
      <c r="D95" s="5">
        <v>46797</v>
      </c>
      <c r="E95" s="5">
        <v>92456</v>
      </c>
      <c r="F95" s="5">
        <v>23142</v>
      </c>
      <c r="G95" s="5">
        <v>6666313</v>
      </c>
      <c r="H95" s="5">
        <v>6461821</v>
      </c>
      <c r="I95" s="5"/>
      <c r="J95" s="9">
        <f>'ODOMETERS Halba'!$C95+'ODOMETERS Halba'!$D95-D94-C94</f>
        <v>1689</v>
      </c>
      <c r="K95" s="9">
        <f>'ODOMETERS Halba'!$E95+'ODOMETERS Halba'!$F95-F94-E94</f>
        <v>1153</v>
      </c>
      <c r="L95" s="9">
        <f>'ODOMETERS Halba'!$G95+'ODOMETERS Halba'!$H95-H94-G94</f>
        <v>2032</v>
      </c>
      <c r="M95" s="9">
        <f>'ODOMETERS Halba'!$J95+'ODOMETERS Halba'!$K95+'ODOMETERS Halba'!$L95</f>
        <v>4874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12">
        <v>46038</v>
      </c>
      <c r="B96" s="5" t="s">
        <v>24</v>
      </c>
      <c r="C96" s="5">
        <v>123034</v>
      </c>
      <c r="D96" s="5">
        <v>47011</v>
      </c>
      <c r="E96" s="5">
        <v>92879</v>
      </c>
      <c r="F96" s="5">
        <v>23239</v>
      </c>
      <c r="G96" s="5">
        <v>6666571</v>
      </c>
      <c r="H96" s="5">
        <v>6461981</v>
      </c>
      <c r="I96" s="5"/>
      <c r="J96" s="9">
        <f>'ODOMETERS Halba'!$C96+'ODOMETERS Halba'!$D96-D95-C95</f>
        <v>901</v>
      </c>
      <c r="K96" s="9">
        <f>'ODOMETERS Halba'!$E96+'ODOMETERS Halba'!$F96-F95-E95</f>
        <v>520</v>
      </c>
      <c r="L96" s="9">
        <f>'ODOMETERS Halba'!$G96+'ODOMETERS Halba'!$H96-H95-G95</f>
        <v>418</v>
      </c>
      <c r="M96" s="9">
        <f>'ODOMETERS Halba'!$J96+'ODOMETERS Halba'!$K96+'ODOMETERS Halba'!$L96</f>
        <v>1839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12">
        <v>46038</v>
      </c>
      <c r="B97" s="5" t="s">
        <v>25</v>
      </c>
      <c r="C97" s="5">
        <v>123575</v>
      </c>
      <c r="D97" s="5">
        <v>47209</v>
      </c>
      <c r="E97" s="5">
        <v>93498</v>
      </c>
      <c r="F97" s="5">
        <v>23302</v>
      </c>
      <c r="G97" s="5">
        <v>6667015</v>
      </c>
      <c r="H97" s="5">
        <v>6462078</v>
      </c>
      <c r="I97" s="5"/>
      <c r="J97" s="9">
        <f>'ODOMETERS Halba'!$C97+'ODOMETERS Halba'!$D97-D96-C96</f>
        <v>739</v>
      </c>
      <c r="K97" s="9">
        <f>'ODOMETERS Halba'!$E97+'ODOMETERS Halba'!$F97-F96-E96</f>
        <v>682</v>
      </c>
      <c r="L97" s="9">
        <f>'ODOMETERS Halba'!$G97+'ODOMETERS Halba'!$H97-H96-G96</f>
        <v>541</v>
      </c>
      <c r="M97" s="9">
        <f>'ODOMETERS Halba'!$J97+'ODOMETERS Halba'!$K97+'ODOMETERS Halba'!$L97</f>
        <v>1962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12">
        <v>46039</v>
      </c>
      <c r="B98" s="5"/>
      <c r="C98" s="231">
        <v>123863</v>
      </c>
      <c r="D98" s="231">
        <v>47437</v>
      </c>
      <c r="E98" s="5">
        <v>95587</v>
      </c>
      <c r="F98" s="5">
        <v>24223</v>
      </c>
      <c r="G98" s="5">
        <v>6667512</v>
      </c>
      <c r="H98" s="5">
        <v>6462292</v>
      </c>
      <c r="I98" s="5"/>
      <c r="J98" s="9">
        <f>'ODOMETERS Halba'!$C98+'ODOMETERS Halba'!$D98-D97-C97</f>
        <v>516</v>
      </c>
      <c r="K98" s="9">
        <f>'ODOMETERS Halba'!$E98+'ODOMETERS Halba'!$F98-F97-E97</f>
        <v>3010</v>
      </c>
      <c r="L98" s="9">
        <f>'ODOMETERS Halba'!$G98+'ODOMETERS Halba'!$H98-H97-G97</f>
        <v>711</v>
      </c>
      <c r="M98" s="9">
        <f>'ODOMETERS Halba'!$J98+'ODOMETERS Halba'!$K98+'ODOMETERS Halba'!$L98</f>
        <v>4237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12">
        <v>46040</v>
      </c>
      <c r="B99" s="5"/>
      <c r="C99" s="5">
        <v>125225</v>
      </c>
      <c r="D99" s="5">
        <v>48040</v>
      </c>
      <c r="E99" s="5">
        <v>96667</v>
      </c>
      <c r="F99" s="5">
        <v>24514</v>
      </c>
      <c r="G99" s="5">
        <v>6668817</v>
      </c>
      <c r="H99" s="5">
        <v>6462441</v>
      </c>
      <c r="I99" s="5"/>
      <c r="J99" s="9">
        <f>'ODOMETERS Halba'!$C99+'ODOMETERS Halba'!$D99-D98-C98</f>
        <v>1965</v>
      </c>
      <c r="K99" s="9">
        <f>'ODOMETERS Halba'!$E99+'ODOMETERS Halba'!$F99-F98-E98</f>
        <v>1371</v>
      </c>
      <c r="L99" s="9">
        <f>'ODOMETERS Halba'!$G99+'ODOMETERS Halba'!$H99-H98-G98</f>
        <v>1454</v>
      </c>
      <c r="M99" s="9">
        <f>'ODOMETERS Halba'!$J99+'ODOMETERS Halba'!$K99+'ODOMETERS Halba'!$L99</f>
        <v>4790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12">
        <v>46041</v>
      </c>
      <c r="B100" s="5"/>
      <c r="C100" s="5">
        <v>126540</v>
      </c>
      <c r="D100" s="5">
        <v>48673</v>
      </c>
      <c r="E100" s="5">
        <v>97575</v>
      </c>
      <c r="F100" s="5">
        <v>24737</v>
      </c>
      <c r="G100" s="5">
        <v>6671378</v>
      </c>
      <c r="H100" s="5">
        <v>6462865</v>
      </c>
      <c r="I100" s="5"/>
      <c r="J100" s="9">
        <f>'ODOMETERS Halba'!$C100+'ODOMETERS Halba'!$D100-D99-C99</f>
        <v>1948</v>
      </c>
      <c r="K100" s="9">
        <f>'ODOMETERS Halba'!$E100+'ODOMETERS Halba'!$F100-F99-E99</f>
        <v>1131</v>
      </c>
      <c r="L100" s="9">
        <f>'ODOMETERS Halba'!$G100+'ODOMETERS Halba'!$H100-H99-G99</f>
        <v>2985</v>
      </c>
      <c r="M100" s="9">
        <f>'ODOMETERS Halba'!$J100+'ODOMETERS Halba'!$K100+'ODOMETERS Halba'!$L100</f>
        <v>6064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12">
        <v>46042</v>
      </c>
      <c r="B101" s="5" t="s">
        <v>24</v>
      </c>
      <c r="C101" s="5">
        <v>127251</v>
      </c>
      <c r="D101" s="5">
        <v>48961</v>
      </c>
      <c r="E101" s="5">
        <v>98090</v>
      </c>
      <c r="F101" s="5">
        <v>24864</v>
      </c>
      <c r="G101" s="5">
        <v>6671749</v>
      </c>
      <c r="H101" s="5">
        <v>6463008</v>
      </c>
      <c r="I101" s="5"/>
      <c r="J101" s="9">
        <f>'ODOMETERS Halba'!$C101+'ODOMETERS Halba'!$D101-D100-C100</f>
        <v>999</v>
      </c>
      <c r="K101" s="9">
        <f>'ODOMETERS Halba'!$E101+'ODOMETERS Halba'!$F101-F100-E100</f>
        <v>642</v>
      </c>
      <c r="L101" s="9">
        <f>'ODOMETERS Halba'!$G101+'ODOMETERS Halba'!$H101-H100-G100</f>
        <v>514</v>
      </c>
      <c r="M101" s="9">
        <f>'ODOMETERS Halba'!$J101+'ODOMETERS Halba'!$K101+'ODOMETERS Halba'!$L101</f>
        <v>2155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12">
        <v>46042</v>
      </c>
      <c r="B102" s="5" t="s">
        <v>25</v>
      </c>
      <c r="C102" s="5">
        <v>127873</v>
      </c>
      <c r="D102" s="5">
        <v>49157</v>
      </c>
      <c r="E102" s="5">
        <v>98716</v>
      </c>
      <c r="F102" s="5">
        <v>24960</v>
      </c>
      <c r="G102" s="5">
        <v>6672433</v>
      </c>
      <c r="H102" s="5">
        <v>6463397</v>
      </c>
      <c r="I102" s="5"/>
      <c r="J102" s="9">
        <f>'ODOMETERS Halba'!$C102+'ODOMETERS Halba'!$D102-D101-C101</f>
        <v>818</v>
      </c>
      <c r="K102" s="9">
        <f>'ODOMETERS Halba'!$E102+'ODOMETERS Halba'!$F102-F101-E101</f>
        <v>722</v>
      </c>
      <c r="L102" s="9">
        <f>'ODOMETERS Halba'!$G102+'ODOMETERS Halba'!$H102-H101-G101</f>
        <v>1073</v>
      </c>
      <c r="M102" s="9">
        <f>'ODOMETERS Halba'!$J102+'ODOMETERS Halba'!$K102+'ODOMETERS Halba'!$L102</f>
        <v>2613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12">
        <v>46043</v>
      </c>
      <c r="B103" s="5"/>
      <c r="C103" s="5">
        <v>129263</v>
      </c>
      <c r="D103" s="5">
        <v>49774</v>
      </c>
      <c r="E103" s="5">
        <v>99735</v>
      </c>
      <c r="F103" s="5">
        <v>25270</v>
      </c>
      <c r="G103" s="5">
        <v>6672935</v>
      </c>
      <c r="H103" s="5">
        <v>6463581</v>
      </c>
      <c r="I103" s="5"/>
      <c r="J103" s="9">
        <f>'ODOMETERS Halba'!$C103+'ODOMETERS Halba'!$D103-D102-C102</f>
        <v>2007</v>
      </c>
      <c r="K103" s="9">
        <f>'ODOMETERS Halba'!$E103+'ODOMETERS Halba'!$F103-F102-E102</f>
        <v>1329</v>
      </c>
      <c r="L103" s="9">
        <f>'ODOMETERS Halba'!$G103+'ODOMETERS Halba'!$H103-H102-G102</f>
        <v>686</v>
      </c>
      <c r="M103" s="9">
        <f>'ODOMETERS Halba'!$J103+'ODOMETERS Halba'!$K103+'ODOMETERS Halba'!$L103</f>
        <v>4022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12">
        <v>46044</v>
      </c>
      <c r="B104" s="5"/>
      <c r="C104" s="5">
        <v>130557</v>
      </c>
      <c r="D104" s="5">
        <v>50354</v>
      </c>
      <c r="E104" s="5">
        <v>100333</v>
      </c>
      <c r="F104" s="5">
        <v>25514</v>
      </c>
      <c r="G104" s="5">
        <v>6675479</v>
      </c>
      <c r="H104" s="5">
        <v>6464227</v>
      </c>
      <c r="I104" s="5"/>
      <c r="J104" s="9">
        <f>'ODOMETERS Halba'!$C104+'ODOMETERS Halba'!$D104-D103-C103</f>
        <v>1874</v>
      </c>
      <c r="K104" s="9">
        <f>'ODOMETERS Halba'!$E104+'ODOMETERS Halba'!$F104-F103-E103</f>
        <v>842</v>
      </c>
      <c r="L104" s="9">
        <f>'ODOMETERS Halba'!$G104+'ODOMETERS Halba'!$H104-H103-G103</f>
        <v>3190</v>
      </c>
      <c r="M104" s="9">
        <f>'ODOMETERS Halba'!$J104+'ODOMETERS Halba'!$K104+'ODOMETERS Halba'!$L104</f>
        <v>5906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12">
        <v>46045</v>
      </c>
      <c r="B105" s="5" t="s">
        <v>24</v>
      </c>
      <c r="C105" s="5">
        <v>131130</v>
      </c>
      <c r="D105" s="5">
        <v>50582</v>
      </c>
      <c r="E105" s="5">
        <v>100738</v>
      </c>
      <c r="F105" s="5">
        <v>25636</v>
      </c>
      <c r="G105" s="5">
        <v>6676022</v>
      </c>
      <c r="H105" s="5">
        <v>6464350</v>
      </c>
      <c r="I105" s="5"/>
      <c r="J105" s="9">
        <f>'ODOMETERS Halba'!$C105+'ODOMETERS Halba'!$D105-D104-C104</f>
        <v>801</v>
      </c>
      <c r="K105" s="9">
        <f>'ODOMETERS Halba'!$E105+'ODOMETERS Halba'!$F105-F104-E104</f>
        <v>527</v>
      </c>
      <c r="L105" s="9">
        <f>'ODOMETERS Halba'!$G105+'ODOMETERS Halba'!$H105-H104-G104</f>
        <v>666</v>
      </c>
      <c r="M105" s="9">
        <f>'ODOMETERS Halba'!$J105+'ODOMETERS Halba'!$K105+'ODOMETERS Halba'!$L105</f>
        <v>1994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12">
        <v>46045</v>
      </c>
      <c r="B106" s="5" t="s">
        <v>25</v>
      </c>
      <c r="C106" s="5">
        <v>132001</v>
      </c>
      <c r="D106" s="5">
        <v>50776</v>
      </c>
      <c r="E106" s="5">
        <v>101216</v>
      </c>
      <c r="F106" s="5">
        <v>25808</v>
      </c>
      <c r="G106" s="5">
        <v>6676665</v>
      </c>
      <c r="H106" s="5">
        <v>6464476</v>
      </c>
      <c r="I106" s="5"/>
      <c r="J106" s="9">
        <f>'ODOMETERS Halba'!$C106+'ODOMETERS Halba'!$D106-D105-C105</f>
        <v>1065</v>
      </c>
      <c r="K106" s="9">
        <f>'ODOMETERS Halba'!$E106+'ODOMETERS Halba'!$F106-F105-E105</f>
        <v>650</v>
      </c>
      <c r="L106" s="9">
        <f>'ODOMETERS Halba'!$G106+'ODOMETERS Halba'!$H106-H105-G105</f>
        <v>769</v>
      </c>
      <c r="M106" s="9">
        <f>'ODOMETERS Halba'!$J106+'ODOMETERS Halba'!$K106+'ODOMETERS Halba'!$L106</f>
        <v>2484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12">
        <v>46046</v>
      </c>
      <c r="B107" s="5"/>
      <c r="C107" s="5">
        <v>133336</v>
      </c>
      <c r="D107" s="5">
        <v>51141</v>
      </c>
      <c r="E107" s="5">
        <v>102204</v>
      </c>
      <c r="F107" s="5">
        <v>26048</v>
      </c>
      <c r="G107" s="5">
        <v>6678947</v>
      </c>
      <c r="H107" s="5">
        <v>6464795</v>
      </c>
      <c r="I107" s="5"/>
      <c r="J107" s="9">
        <f>'ODOMETERS Halba'!$C107+'ODOMETERS Halba'!$D107-D106-C106</f>
        <v>1700</v>
      </c>
      <c r="K107" s="9">
        <f>'ODOMETERS Halba'!$E107+'ODOMETERS Halba'!$F107-F106-E106</f>
        <v>1228</v>
      </c>
      <c r="L107" s="9">
        <f>'ODOMETERS Halba'!$G107+'ODOMETERS Halba'!$H107-H106-G106</f>
        <v>2601</v>
      </c>
      <c r="M107" s="9">
        <f>'ODOMETERS Halba'!$J107+'ODOMETERS Halba'!$K107+'ODOMETERS Halba'!$L107</f>
        <v>5529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12">
        <v>46047</v>
      </c>
      <c r="B108" s="5"/>
      <c r="C108" s="5">
        <v>134671</v>
      </c>
      <c r="D108" s="5">
        <v>51582</v>
      </c>
      <c r="E108" s="5">
        <v>103058</v>
      </c>
      <c r="F108" s="5">
        <v>26294</v>
      </c>
      <c r="G108" s="5">
        <v>6680065</v>
      </c>
      <c r="H108" s="5">
        <v>6465043</v>
      </c>
      <c r="I108" s="5"/>
      <c r="J108" s="9">
        <f>'ODOMETERS Halba'!$C108+'ODOMETERS Halba'!$D108-D107-C107</f>
        <v>1776</v>
      </c>
      <c r="K108" s="9">
        <f>'ODOMETERS Halba'!$E108+'ODOMETERS Halba'!$F108-F107-E107</f>
        <v>1100</v>
      </c>
      <c r="L108" s="9">
        <f>'ODOMETERS Halba'!$G108+'ODOMETERS Halba'!$H108-H107-G107</f>
        <v>1366</v>
      </c>
      <c r="M108" s="9">
        <f>'ODOMETERS Halba'!$J108+'ODOMETERS Halba'!$K108+'ODOMETERS Halba'!$L108</f>
        <v>4242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12">
        <v>46048</v>
      </c>
      <c r="B109" s="5"/>
      <c r="C109" s="5">
        <v>136183</v>
      </c>
      <c r="D109" s="5">
        <v>52051</v>
      </c>
      <c r="E109" s="5">
        <v>104180</v>
      </c>
      <c r="F109" s="5">
        <v>26439</v>
      </c>
      <c r="G109" s="5">
        <v>6680535</v>
      </c>
      <c r="H109" s="5">
        <v>6465292</v>
      </c>
      <c r="I109" s="5"/>
      <c r="J109" s="9">
        <f>'ODOMETERS Halba'!$C109+'ODOMETERS Halba'!$D109-D108-C108</f>
        <v>1981</v>
      </c>
      <c r="K109" s="9">
        <f>'ODOMETERS Halba'!$E109+'ODOMETERS Halba'!$F109-F108-E108</f>
        <v>1267</v>
      </c>
      <c r="L109" s="9">
        <f>'ODOMETERS Halba'!$G109+'ODOMETERS Halba'!$H109-H108-G108</f>
        <v>719</v>
      </c>
      <c r="M109" s="9">
        <f>'ODOMETERS Halba'!$J109+'ODOMETERS Halba'!$K109+'ODOMETERS Halba'!$L109</f>
        <v>3967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12">
        <v>46049</v>
      </c>
      <c r="B110" s="5" t="s">
        <v>24</v>
      </c>
      <c r="C110" s="5">
        <v>136597</v>
      </c>
      <c r="D110" s="5">
        <v>52283</v>
      </c>
      <c r="E110" s="5">
        <v>104506</v>
      </c>
      <c r="F110" s="5">
        <v>26623</v>
      </c>
      <c r="G110" s="5">
        <v>6680718</v>
      </c>
      <c r="H110" s="5">
        <v>6465356</v>
      </c>
      <c r="I110" s="5"/>
      <c r="J110" s="9">
        <f>'ODOMETERS Halba'!$C110+'ODOMETERS Halba'!$D110-D109-C109</f>
        <v>646</v>
      </c>
      <c r="K110" s="9">
        <f>'ODOMETERS Halba'!$E110+'ODOMETERS Halba'!$F110-F109-E109</f>
        <v>510</v>
      </c>
      <c r="L110" s="9">
        <f>'ODOMETERS Halba'!$G110+'ODOMETERS Halba'!$H110-H109-G109</f>
        <v>247</v>
      </c>
      <c r="M110" s="9">
        <f>'ODOMETERS Halba'!$J110+'ODOMETERS Halba'!$K110+'ODOMETERS Halba'!$L110</f>
        <v>1403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12">
        <v>46049</v>
      </c>
      <c r="B111" s="5" t="s">
        <v>25</v>
      </c>
      <c r="C111" s="5">
        <v>137151</v>
      </c>
      <c r="D111" s="5">
        <v>52433</v>
      </c>
      <c r="E111" s="5">
        <v>104983</v>
      </c>
      <c r="F111" s="5">
        <v>26832</v>
      </c>
      <c r="G111" s="5">
        <v>6680849</v>
      </c>
      <c r="H111" s="5">
        <v>6465517</v>
      </c>
      <c r="I111" s="5"/>
      <c r="J111" s="9">
        <f>'ODOMETERS Halba'!$C111+'ODOMETERS Halba'!$D111-D110-C110</f>
        <v>704</v>
      </c>
      <c r="K111" s="9">
        <f>'ODOMETERS Halba'!$E111+'ODOMETERS Halba'!$F111-F110-E110</f>
        <v>686</v>
      </c>
      <c r="L111" s="9">
        <f>'ODOMETERS Halba'!$G111+'ODOMETERS Halba'!$H111-H110-G110</f>
        <v>292</v>
      </c>
      <c r="M111" s="9">
        <f>'ODOMETERS Halba'!$J111+'ODOMETERS Halba'!$K111+'ODOMETERS Halba'!$L111</f>
        <v>1682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12">
        <v>46050</v>
      </c>
      <c r="B112" s="5"/>
      <c r="C112" s="5">
        <v>138317</v>
      </c>
      <c r="D112" s="5">
        <v>52875</v>
      </c>
      <c r="E112" s="5">
        <v>106292</v>
      </c>
      <c r="F112" s="5">
        <v>27145</v>
      </c>
      <c r="G112" s="5">
        <v>6681229</v>
      </c>
      <c r="H112" s="5">
        <v>6465889</v>
      </c>
      <c r="I112" s="5"/>
      <c r="J112" s="9">
        <f>'ODOMETERS Halba'!$C112+'ODOMETERS Halba'!$D112-D111-C111</f>
        <v>1608</v>
      </c>
      <c r="K112" s="9">
        <f>'ODOMETERS Halba'!$E112+'ODOMETERS Halba'!$F112-F111-E111</f>
        <v>1622</v>
      </c>
      <c r="L112" s="9">
        <f>'ODOMETERS Halba'!$G112+'ODOMETERS Halba'!$H112-H111-G111</f>
        <v>752</v>
      </c>
      <c r="M112" s="9">
        <f>'ODOMETERS Halba'!$J112+'ODOMETERS Halba'!$K112+'ODOMETERS Halba'!$L112</f>
        <v>3982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12">
        <v>46051</v>
      </c>
      <c r="B113" s="5"/>
      <c r="C113" s="5">
        <v>139243</v>
      </c>
      <c r="D113" s="5">
        <v>53331</v>
      </c>
      <c r="E113" s="5">
        <v>107625</v>
      </c>
      <c r="F113" s="5">
        <v>27535</v>
      </c>
      <c r="G113" s="5">
        <v>6682248</v>
      </c>
      <c r="H113" s="5">
        <v>6466127</v>
      </c>
      <c r="I113" s="5"/>
      <c r="J113" s="9">
        <f>'ODOMETERS Halba'!$C113+'ODOMETERS Halba'!$D113-D112-C112</f>
        <v>1382</v>
      </c>
      <c r="K113" s="9">
        <f>'ODOMETERS Halba'!$E113+'ODOMETERS Halba'!$F113-F112-E112</f>
        <v>1723</v>
      </c>
      <c r="L113" s="9">
        <f>'ODOMETERS Halba'!$G113+'ODOMETERS Halba'!$H113-H112-G112</f>
        <v>1257</v>
      </c>
      <c r="M113" s="9">
        <f>'ODOMETERS Halba'!$J113+'ODOMETERS Halba'!$K113+'ODOMETERS Halba'!$L113</f>
        <v>4362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174">
        <v>46052</v>
      </c>
      <c r="B114" s="175" t="s">
        <v>24</v>
      </c>
      <c r="C114" s="175">
        <v>139811</v>
      </c>
      <c r="D114" s="175">
        <v>53664</v>
      </c>
      <c r="E114" s="175">
        <v>108099</v>
      </c>
      <c r="F114" s="175">
        <v>27668</v>
      </c>
      <c r="G114" s="175">
        <v>6682552</v>
      </c>
      <c r="H114" s="175">
        <v>6466249</v>
      </c>
      <c r="I114" s="175"/>
      <c r="J114" s="9">
        <f>'ODOMETERS Halba'!$C114+'ODOMETERS Halba'!$D114-D113-C113</f>
        <v>901</v>
      </c>
      <c r="K114" s="9">
        <f>'ODOMETERS Halba'!$E114+'ODOMETERS Halba'!$F114-F113-E113</f>
        <v>607</v>
      </c>
      <c r="L114" s="9">
        <f>'ODOMETERS Halba'!$G114+'ODOMETERS Halba'!$H114-H113-G113</f>
        <v>426</v>
      </c>
      <c r="M114" s="9">
        <f>'ODOMETERS Halba'!$J114+'ODOMETERS Halba'!$K114+'ODOMETERS Halba'!$L114</f>
        <v>1934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12">
        <v>46052</v>
      </c>
      <c r="B115" s="5" t="s">
        <v>25</v>
      </c>
      <c r="C115" s="5">
        <v>140428</v>
      </c>
      <c r="D115" s="5">
        <v>53879</v>
      </c>
      <c r="E115" s="5">
        <v>109114</v>
      </c>
      <c r="F115" s="5">
        <v>27946</v>
      </c>
      <c r="G115" s="5">
        <v>6682825</v>
      </c>
      <c r="H115" s="5">
        <v>6466492</v>
      </c>
      <c r="I115" s="5"/>
      <c r="J115" s="9">
        <f>'ODOMETERS Halba'!$C115+'ODOMETERS Halba'!$D115-D114-C114</f>
        <v>832</v>
      </c>
      <c r="K115" s="9">
        <f>'ODOMETERS Halba'!$E115+'ODOMETERS Halba'!$F115-F114-E114</f>
        <v>1293</v>
      </c>
      <c r="L115" s="9">
        <f>'ODOMETERS Halba'!$G115+'ODOMETERS Halba'!$H115-H114-G114</f>
        <v>516</v>
      </c>
      <c r="M115" s="9">
        <f>'ODOMETERS Halba'!$J115+'ODOMETERS Halba'!$K115+'ODOMETERS Halba'!$L115</f>
        <v>2641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12">
        <v>46053</v>
      </c>
      <c r="B116" s="5"/>
      <c r="C116" s="5">
        <v>141956</v>
      </c>
      <c r="D116" s="5">
        <v>54439</v>
      </c>
      <c r="E116" s="5">
        <v>110401</v>
      </c>
      <c r="F116" s="5">
        <v>28267</v>
      </c>
      <c r="G116" s="5">
        <v>6686393</v>
      </c>
      <c r="H116" s="5">
        <v>6467984</v>
      </c>
      <c r="I116" s="5"/>
      <c r="J116" s="9">
        <f>'ODOMETERS Halba'!$C116+'ODOMETERS Halba'!$D116-D115-C115</f>
        <v>2088</v>
      </c>
      <c r="K116" s="9">
        <f>'ODOMETERS Halba'!$E116+'ODOMETERS Halba'!$F116-F115-E115</f>
        <v>1608</v>
      </c>
      <c r="L116" s="9">
        <f>'ODOMETERS Halba'!$G116+'ODOMETERS Halba'!$H116-H115-G115</f>
        <v>5060</v>
      </c>
      <c r="M116" s="9">
        <f>'ODOMETERS Halba'!$J116+'ODOMETERS Halba'!$K116+'ODOMETERS Halba'!$L116</f>
        <v>8756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12">
        <v>46054</v>
      </c>
      <c r="B117" s="5"/>
      <c r="C117" s="5">
        <v>143359</v>
      </c>
      <c r="D117" s="5">
        <v>55008</v>
      </c>
      <c r="E117" s="5">
        <v>112168</v>
      </c>
      <c r="F117" s="5">
        <v>28706</v>
      </c>
      <c r="G117" s="5">
        <v>6687216</v>
      </c>
      <c r="H117" s="5">
        <v>6468144</v>
      </c>
      <c r="I117" s="5"/>
      <c r="J117" s="9">
        <f>'ODOMETERS Halba'!$C117+'ODOMETERS Halba'!$D117-D116-C116</f>
        <v>1972</v>
      </c>
      <c r="K117" s="9">
        <f>'ODOMETERS Halba'!$E117+'ODOMETERS Halba'!$F117-F116-E116</f>
        <v>2206</v>
      </c>
      <c r="L117" s="9">
        <f>'ODOMETERS Halba'!$G117+'ODOMETERS Halba'!$H117-H116-G116</f>
        <v>983</v>
      </c>
      <c r="M117" s="9">
        <f>'ODOMETERS Halba'!$J117+'ODOMETERS Halba'!$K117+'ODOMETERS Halba'!$L117</f>
        <v>5161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12">
        <v>46055</v>
      </c>
      <c r="B118" s="5"/>
      <c r="C118" s="5">
        <v>144628</v>
      </c>
      <c r="D118" s="5">
        <v>55481</v>
      </c>
      <c r="E118" s="5">
        <v>113078</v>
      </c>
      <c r="F118" s="5">
        <v>29126</v>
      </c>
      <c r="G118" s="5">
        <v>6687618</v>
      </c>
      <c r="H118" s="5">
        <v>6468276</v>
      </c>
      <c r="I118" s="5"/>
      <c r="J118" s="9">
        <f>'ODOMETERS Halba'!$C118+'ODOMETERS Halba'!$D118-D117-C117</f>
        <v>1742</v>
      </c>
      <c r="K118" s="9">
        <f>'ODOMETERS Halba'!$E118+'ODOMETERS Halba'!$F118-F117-E117</f>
        <v>1330</v>
      </c>
      <c r="L118" s="9">
        <f>'ODOMETERS Halba'!$G118+'ODOMETERS Halba'!$H118-H117-G117</f>
        <v>534</v>
      </c>
      <c r="M118" s="9">
        <f>'ODOMETERS Halba'!$J118+'ODOMETERS Halba'!$K118+'ODOMETERS Halba'!$L118</f>
        <v>3606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12">
        <v>46056</v>
      </c>
      <c r="B119" s="5" t="s">
        <v>24</v>
      </c>
      <c r="C119" s="5">
        <v>145131</v>
      </c>
      <c r="D119" s="5">
        <v>55596</v>
      </c>
      <c r="E119" s="5">
        <v>113546</v>
      </c>
      <c r="F119" s="5">
        <v>29352</v>
      </c>
      <c r="G119" s="5">
        <v>6689939</v>
      </c>
      <c r="H119" s="5">
        <v>6468363</v>
      </c>
      <c r="I119" s="5"/>
      <c r="J119" s="9">
        <f>'ODOMETERS Halba'!$C119+'ODOMETERS Halba'!$D119-D118-C118</f>
        <v>618</v>
      </c>
      <c r="K119" s="9">
        <f>'ODOMETERS Halba'!$E119+'ODOMETERS Halba'!$F119-F118-E118</f>
        <v>694</v>
      </c>
      <c r="L119" s="9">
        <f>'ODOMETERS Halba'!$G119+'ODOMETERS Halba'!$H119-H118-G118</f>
        <v>2408</v>
      </c>
      <c r="M119" s="9">
        <f>'ODOMETERS Halba'!$J119+'ODOMETERS Halba'!$K119+'ODOMETERS Halba'!$L119</f>
        <v>3720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12">
        <v>46056</v>
      </c>
      <c r="B120" s="5" t="s">
        <v>25</v>
      </c>
      <c r="C120" s="5">
        <v>145777</v>
      </c>
      <c r="D120" s="5">
        <v>55703</v>
      </c>
      <c r="E120" s="5">
        <v>114270</v>
      </c>
      <c r="F120" s="5">
        <v>29476</v>
      </c>
      <c r="G120" s="5">
        <v>6691709</v>
      </c>
      <c r="H120" s="5">
        <v>6468468</v>
      </c>
      <c r="I120" s="5"/>
      <c r="J120" s="9">
        <f>'ODOMETERS Halba'!$C120+'ODOMETERS Halba'!$D120-D119-C119</f>
        <v>753</v>
      </c>
      <c r="K120" s="9">
        <f>'ODOMETERS Halba'!$E120+'ODOMETERS Halba'!$F120-F119-E119</f>
        <v>848</v>
      </c>
      <c r="L120" s="9">
        <f>'ODOMETERS Halba'!$G120+'ODOMETERS Halba'!$H120-H119-G119</f>
        <v>1875</v>
      </c>
      <c r="M120" s="9">
        <f>'ODOMETERS Halba'!$J120+'ODOMETERS Halba'!$K120+'ODOMETERS Halba'!$L120</f>
        <v>3476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12">
        <v>46057</v>
      </c>
      <c r="B121" s="5"/>
      <c r="C121" s="5">
        <v>146712</v>
      </c>
      <c r="D121" s="5">
        <v>56190</v>
      </c>
      <c r="E121" s="5">
        <v>115826</v>
      </c>
      <c r="F121" s="5">
        <v>29929</v>
      </c>
      <c r="G121" s="5">
        <v>6691861</v>
      </c>
      <c r="H121" s="5">
        <v>6468831</v>
      </c>
      <c r="I121" s="5"/>
      <c r="J121" s="9">
        <f>'ODOMETERS Halba'!$C121+'ODOMETERS Halba'!$D121-D120-C120</f>
        <v>1422</v>
      </c>
      <c r="K121" s="9">
        <f>'ODOMETERS Halba'!$E121+'ODOMETERS Halba'!$F121-F120-E120</f>
        <v>2009</v>
      </c>
      <c r="L121" s="9">
        <f>'ODOMETERS Halba'!$G121+'ODOMETERS Halba'!$H121-H120-G120</f>
        <v>515</v>
      </c>
      <c r="M121" s="9">
        <f>'ODOMETERS Halba'!$J121+'ODOMETERS Halba'!$K121+'ODOMETERS Halba'!$L121</f>
        <v>3946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12">
        <v>46058</v>
      </c>
      <c r="B122" s="5"/>
      <c r="C122" s="5">
        <v>148185</v>
      </c>
      <c r="D122" s="5">
        <v>56543</v>
      </c>
      <c r="E122" s="5">
        <v>116873</v>
      </c>
      <c r="F122" s="5">
        <v>30233</v>
      </c>
      <c r="G122" s="5">
        <v>6692522</v>
      </c>
      <c r="H122" s="5">
        <v>6469254</v>
      </c>
      <c r="I122" s="5"/>
      <c r="J122" s="9">
        <f>'ODOMETERS Halba'!$C122+'ODOMETERS Halba'!$D122-D121-C121</f>
        <v>1826</v>
      </c>
      <c r="K122" s="9">
        <f>'ODOMETERS Halba'!$E122+'ODOMETERS Halba'!$F122-F121-E121</f>
        <v>1351</v>
      </c>
      <c r="L122" s="9">
        <f>'ODOMETERS Halba'!$G122+'ODOMETERS Halba'!$H122-H121-G121</f>
        <v>1084</v>
      </c>
      <c r="M122" s="9">
        <f>'ODOMETERS Halba'!$J122+'ODOMETERS Halba'!$K122+'ODOMETERS Halba'!$L122</f>
        <v>4261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12">
        <v>46059</v>
      </c>
      <c r="B123" s="5" t="s">
        <v>24</v>
      </c>
      <c r="C123" s="5">
        <v>148883</v>
      </c>
      <c r="D123" s="5">
        <v>56825</v>
      </c>
      <c r="E123" s="5">
        <v>117481</v>
      </c>
      <c r="F123" s="5">
        <v>30404</v>
      </c>
      <c r="G123" s="5">
        <v>6692790</v>
      </c>
      <c r="H123" s="5">
        <v>6469338</v>
      </c>
      <c r="I123" s="5"/>
      <c r="J123" s="9">
        <f>'ODOMETERS Halba'!$C123+'ODOMETERS Halba'!$D123-D122-C122</f>
        <v>980</v>
      </c>
      <c r="K123" s="9">
        <f>'ODOMETERS Halba'!$E123+'ODOMETERS Halba'!$F123-F122-E122</f>
        <v>779</v>
      </c>
      <c r="L123" s="9">
        <f>'ODOMETERS Halba'!$G123+'ODOMETERS Halba'!$H123-H122-G122</f>
        <v>352</v>
      </c>
      <c r="M123" s="9">
        <f>'ODOMETERS Halba'!$J123+'ODOMETERS Halba'!$K123+'ODOMETERS Halba'!$L123</f>
        <v>2111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12">
        <v>46059</v>
      </c>
      <c r="B124" s="5" t="s">
        <v>25</v>
      </c>
      <c r="C124" s="5">
        <v>149549</v>
      </c>
      <c r="D124" s="5">
        <v>57042</v>
      </c>
      <c r="E124" s="5">
        <v>117916</v>
      </c>
      <c r="F124" s="5">
        <v>30630</v>
      </c>
      <c r="G124" s="5">
        <v>6693203</v>
      </c>
      <c r="H124" s="5">
        <v>6469695</v>
      </c>
      <c r="I124" s="5"/>
      <c r="J124" s="9">
        <f>'ODOMETERS Halba'!$C124+'ODOMETERS Halba'!$D124-D123-C123</f>
        <v>883</v>
      </c>
      <c r="K124" s="9">
        <f>'ODOMETERS Halba'!$E124+'ODOMETERS Halba'!$F124-F123-E123</f>
        <v>661</v>
      </c>
      <c r="L124" s="9">
        <f>'ODOMETERS Halba'!$G124+'ODOMETERS Halba'!$H124-H123-G123</f>
        <v>770</v>
      </c>
      <c r="M124" s="9">
        <f>'ODOMETERS Halba'!$J124+'ODOMETERS Halba'!$K124+'ODOMETERS Halba'!$L124</f>
        <v>2314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12">
        <v>46060</v>
      </c>
      <c r="B125" s="5"/>
      <c r="C125" s="5">
        <v>150596</v>
      </c>
      <c r="D125" s="5">
        <v>57576</v>
      </c>
      <c r="E125" s="5">
        <v>118963</v>
      </c>
      <c r="F125" s="5">
        <v>30852</v>
      </c>
      <c r="G125" s="5">
        <v>6693468</v>
      </c>
      <c r="H125" s="5">
        <v>6469924</v>
      </c>
      <c r="I125" s="5"/>
      <c r="J125" s="9">
        <f>'ODOMETERS Halba'!$C125+'ODOMETERS Halba'!$D125-D124-C124</f>
        <v>1581</v>
      </c>
      <c r="K125" s="9">
        <f>'ODOMETERS Halba'!$E125+'ODOMETERS Halba'!$F125-F124-E124</f>
        <v>1269</v>
      </c>
      <c r="L125" s="9">
        <f>'ODOMETERS Halba'!$G125+'ODOMETERS Halba'!$H125-H124-G124</f>
        <v>494</v>
      </c>
      <c r="M125" s="9">
        <f>'ODOMETERS Halba'!$J125+'ODOMETERS Halba'!$K125+'ODOMETERS Halba'!$L125</f>
        <v>3344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12">
        <v>46061</v>
      </c>
      <c r="B126" s="5"/>
      <c r="C126" s="5">
        <v>152130</v>
      </c>
      <c r="D126" s="5">
        <v>58025</v>
      </c>
      <c r="E126" s="5">
        <v>120354</v>
      </c>
      <c r="F126" s="5">
        <v>31061</v>
      </c>
      <c r="G126" s="5">
        <v>6693714</v>
      </c>
      <c r="H126" s="5">
        <v>6470303</v>
      </c>
      <c r="I126" s="5"/>
      <c r="J126" s="9">
        <f>'ODOMETERS Halba'!$C126+'ODOMETERS Halba'!$D126-D125-C125</f>
        <v>1983</v>
      </c>
      <c r="K126" s="9">
        <f>'ODOMETERS Halba'!$E126+'ODOMETERS Halba'!$F126-F125-E125</f>
        <v>1600</v>
      </c>
      <c r="L126" s="9">
        <f>'ODOMETERS Halba'!$G126+'ODOMETERS Halba'!$H126-H125-G125</f>
        <v>625</v>
      </c>
      <c r="M126" s="9">
        <f>'ODOMETERS Halba'!$J126+'ODOMETERS Halba'!$K126+'ODOMETERS Halba'!$L126</f>
        <v>4208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12">
        <v>46062</v>
      </c>
      <c r="B127" s="5"/>
      <c r="C127" s="5">
        <v>153523</v>
      </c>
      <c r="D127" s="5">
        <v>58460</v>
      </c>
      <c r="E127" s="5">
        <v>121763</v>
      </c>
      <c r="F127" s="5">
        <v>31274</v>
      </c>
      <c r="G127" s="5">
        <v>6697252</v>
      </c>
      <c r="H127" s="5">
        <v>6470576</v>
      </c>
      <c r="I127" s="5"/>
      <c r="J127" s="9">
        <f>'ODOMETERS Halba'!$C127+'ODOMETERS Halba'!$D127-D126-C126</f>
        <v>1828</v>
      </c>
      <c r="K127" s="9">
        <f>'ODOMETERS Halba'!$E127+'ODOMETERS Halba'!$F127-F126-E126</f>
        <v>1622</v>
      </c>
      <c r="L127" s="9">
        <f>'ODOMETERS Halba'!$G127+'ODOMETERS Halba'!$H127-H126-G126</f>
        <v>3811</v>
      </c>
      <c r="M127" s="9">
        <f>'ODOMETERS Halba'!$J127+'ODOMETERS Halba'!$K127+'ODOMETERS Halba'!$L127</f>
        <v>7261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12">
        <v>46063</v>
      </c>
      <c r="B128" s="5" t="s">
        <v>24</v>
      </c>
      <c r="C128" s="5">
        <v>154136</v>
      </c>
      <c r="D128" s="5">
        <v>58708</v>
      </c>
      <c r="E128" s="5">
        <v>122536</v>
      </c>
      <c r="F128" s="5">
        <v>31412</v>
      </c>
      <c r="G128" s="5">
        <v>6697449</v>
      </c>
      <c r="H128" s="5">
        <v>6470639</v>
      </c>
      <c r="I128" s="5"/>
      <c r="J128" s="9">
        <f>'ODOMETERS Halba'!$C128+'ODOMETERS Halba'!$D128-D127-C127</f>
        <v>861</v>
      </c>
      <c r="K128" s="9">
        <f>'ODOMETERS Halba'!$E128+'ODOMETERS Halba'!$F128-F127-E127</f>
        <v>911</v>
      </c>
      <c r="L128" s="9">
        <f>'ODOMETERS Halba'!$G128+'ODOMETERS Halba'!$H128-H127-G127</f>
        <v>260</v>
      </c>
      <c r="M128" s="9">
        <f>'ODOMETERS Halba'!$J128+'ODOMETERS Halba'!$K128+'ODOMETERS Halba'!$L128</f>
        <v>2032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12">
        <v>46063</v>
      </c>
      <c r="B129" s="5" t="s">
        <v>25</v>
      </c>
      <c r="C129" s="5">
        <v>155088</v>
      </c>
      <c r="D129" s="5">
        <v>58958</v>
      </c>
      <c r="E129" s="5">
        <v>123163</v>
      </c>
      <c r="F129" s="5">
        <v>31672</v>
      </c>
      <c r="G129" s="5">
        <v>6697779</v>
      </c>
      <c r="H129" s="5">
        <v>6470714</v>
      </c>
      <c r="I129" s="5"/>
      <c r="J129" s="9">
        <f>'ODOMETERS Halba'!$C129+'ODOMETERS Halba'!$D129-D128-C128</f>
        <v>1202</v>
      </c>
      <c r="K129" s="9">
        <f>'ODOMETERS Halba'!$E129+'ODOMETERS Halba'!$F129-F128-E128</f>
        <v>887</v>
      </c>
      <c r="L129" s="9">
        <f>'ODOMETERS Halba'!$G129+'ODOMETERS Halba'!$H129-H128-G128</f>
        <v>405</v>
      </c>
      <c r="M129" s="9">
        <f>'ODOMETERS Halba'!$J129+'ODOMETERS Halba'!$K129+'ODOMETERS Halba'!$L129</f>
        <v>2494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12">
        <v>46064</v>
      </c>
      <c r="B130" s="5"/>
      <c r="C130" s="5">
        <v>156571</v>
      </c>
      <c r="D130" s="5">
        <v>59376</v>
      </c>
      <c r="E130" s="5">
        <v>124378</v>
      </c>
      <c r="F130" s="5">
        <v>32035</v>
      </c>
      <c r="G130" s="5">
        <v>6698004</v>
      </c>
      <c r="H130" s="5">
        <v>6471035</v>
      </c>
      <c r="I130" s="5"/>
      <c r="J130" s="9">
        <f>'ODOMETERS Halba'!$C130+'ODOMETERS Halba'!$D130-D129-C129</f>
        <v>1901</v>
      </c>
      <c r="K130" s="9">
        <f>'ODOMETERS Halba'!$E130+'ODOMETERS Halba'!$F130-F129-E129</f>
        <v>1578</v>
      </c>
      <c r="L130" s="9">
        <f>'ODOMETERS Halba'!$G130+'ODOMETERS Halba'!$H130-H129-G129</f>
        <v>546</v>
      </c>
      <c r="M130" s="9">
        <f>'ODOMETERS Halba'!$J130+'ODOMETERS Halba'!$K130+'ODOMETERS Halba'!$L130</f>
        <v>4025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12">
        <v>46065</v>
      </c>
      <c r="B131" s="5"/>
      <c r="C131" s="5">
        <v>157729</v>
      </c>
      <c r="D131" s="5">
        <v>59797</v>
      </c>
      <c r="E131" s="5">
        <v>125408</v>
      </c>
      <c r="F131" s="5">
        <v>32369</v>
      </c>
      <c r="G131" s="5">
        <v>6698371</v>
      </c>
      <c r="H131" s="5">
        <v>6471200</v>
      </c>
      <c r="I131" s="5"/>
      <c r="J131" s="9">
        <f>'ODOMETERS Halba'!$C131+'ODOMETERS Halba'!$D131-D130-C130</f>
        <v>1579</v>
      </c>
      <c r="K131" s="9">
        <f>'ODOMETERS Halba'!$E131+'ODOMETERS Halba'!$F131-F130-E130</f>
        <v>1364</v>
      </c>
      <c r="L131" s="9">
        <f>'ODOMETERS Halba'!$G131+'ODOMETERS Halba'!$H131-H130-G130</f>
        <v>532</v>
      </c>
      <c r="M131" s="9">
        <f>'ODOMETERS Halba'!$J131+'ODOMETERS Halba'!$K131+'ODOMETERS Halba'!$L131</f>
        <v>3475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12">
        <v>46066</v>
      </c>
      <c r="B132" s="5" t="s">
        <v>24</v>
      </c>
      <c r="C132" s="5">
        <v>158410</v>
      </c>
      <c r="D132" s="5">
        <v>60141</v>
      </c>
      <c r="E132" s="5">
        <v>125847</v>
      </c>
      <c r="F132" s="5">
        <v>32484</v>
      </c>
      <c r="G132" s="5">
        <v>6698670</v>
      </c>
      <c r="H132" s="5">
        <v>6471270</v>
      </c>
      <c r="I132" s="5"/>
      <c r="J132" s="9">
        <f>'ODOMETERS Halba'!$C132+'ODOMETERS Halba'!$D132-D131-C131</f>
        <v>1025</v>
      </c>
      <c r="K132" s="9">
        <f>'ODOMETERS Halba'!$E132+'ODOMETERS Halba'!$F132-F131-E131</f>
        <v>554</v>
      </c>
      <c r="L132" s="9">
        <f>'ODOMETERS Halba'!$G132+'ODOMETERS Halba'!$H132-H131-G131</f>
        <v>369</v>
      </c>
      <c r="M132" s="9">
        <f>'ODOMETERS Halba'!$J132+'ODOMETERS Halba'!$K132+'ODOMETERS Halba'!$L132</f>
        <v>1948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12">
        <v>46066</v>
      </c>
      <c r="B133" s="5" t="s">
        <v>25</v>
      </c>
      <c r="C133" s="5">
        <v>159018</v>
      </c>
      <c r="D133" s="5">
        <v>60400</v>
      </c>
      <c r="E133" s="5">
        <v>126497</v>
      </c>
      <c r="F133" s="5">
        <v>32677</v>
      </c>
      <c r="G133" s="5">
        <v>6699871</v>
      </c>
      <c r="H133" s="5">
        <v>6471321</v>
      </c>
      <c r="I133" s="5"/>
      <c r="J133" s="9">
        <f>'ODOMETERS Halba'!$C133+'ODOMETERS Halba'!$D133-D132-C132</f>
        <v>867</v>
      </c>
      <c r="K133" s="9">
        <f>'ODOMETERS Halba'!$E133+'ODOMETERS Halba'!$F133-F132-E132</f>
        <v>843</v>
      </c>
      <c r="L133" s="9">
        <f>'ODOMETERS Halba'!$G133+'ODOMETERS Halba'!$H133-H132-G132</f>
        <v>1252</v>
      </c>
      <c r="M133" s="9">
        <f>'ODOMETERS Halba'!$J133+'ODOMETERS Halba'!$K133+'ODOMETERS Halba'!$L133</f>
        <v>2962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12">
        <v>46067</v>
      </c>
      <c r="B134" s="5"/>
      <c r="C134" s="5">
        <v>160850</v>
      </c>
      <c r="D134" s="5">
        <v>60828</v>
      </c>
      <c r="E134" s="5">
        <v>127711</v>
      </c>
      <c r="F134" s="5">
        <v>33032</v>
      </c>
      <c r="G134" s="5">
        <v>6700337</v>
      </c>
      <c r="H134" s="5">
        <v>6471701</v>
      </c>
      <c r="I134" s="5"/>
      <c r="J134" s="9">
        <f>'ODOMETERS Halba'!$C134+'ODOMETERS Halba'!$D134-D133-C133</f>
        <v>2260</v>
      </c>
      <c r="K134" s="9">
        <f>'ODOMETERS Halba'!$E134+'ODOMETERS Halba'!$F134-F133-E133</f>
        <v>1569</v>
      </c>
      <c r="L134" s="9">
        <f>'ODOMETERS Halba'!$G134+'ODOMETERS Halba'!$H134-H133-G133</f>
        <v>846</v>
      </c>
      <c r="M134" s="9">
        <f>'ODOMETERS Halba'!$J134+'ODOMETERS Halba'!$K134+'ODOMETERS Halba'!$L134</f>
        <v>4675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12">
        <v>46068</v>
      </c>
      <c r="B135" s="5"/>
      <c r="C135" s="5">
        <v>162387</v>
      </c>
      <c r="D135" s="5">
        <v>61195</v>
      </c>
      <c r="E135" s="5">
        <v>128972</v>
      </c>
      <c r="F135" s="5">
        <v>33493</v>
      </c>
      <c r="G135" s="5">
        <v>6700476</v>
      </c>
      <c r="H135" s="5">
        <v>6471965</v>
      </c>
      <c r="I135" s="5"/>
      <c r="J135" s="9">
        <f>'ODOMETERS Halba'!$C135+'ODOMETERS Halba'!$D135-D134-C134</f>
        <v>1904</v>
      </c>
      <c r="K135" s="9">
        <f>'ODOMETERS Halba'!$E135+'ODOMETERS Halba'!$F135-F134-E134</f>
        <v>1722</v>
      </c>
      <c r="L135" s="9">
        <f>'ODOMETERS Halba'!$G135+'ODOMETERS Halba'!$H135-H134-G134</f>
        <v>403</v>
      </c>
      <c r="M135" s="9">
        <f>'ODOMETERS Halba'!$J135+'ODOMETERS Halba'!$K135+'ODOMETERS Halba'!$L135</f>
        <v>4029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12">
        <v>46069</v>
      </c>
      <c r="B136" s="5"/>
      <c r="C136" s="5">
        <v>163918</v>
      </c>
      <c r="D136" s="5">
        <v>61816</v>
      </c>
      <c r="E136" s="5">
        <v>130578</v>
      </c>
      <c r="F136" s="5">
        <v>34016</v>
      </c>
      <c r="G136" s="5">
        <v>6700896</v>
      </c>
      <c r="H136" s="5">
        <v>6472201</v>
      </c>
      <c r="I136" s="5"/>
      <c r="J136" s="9">
        <f>'ODOMETERS Halba'!$C136+'ODOMETERS Halba'!$D136-D135-C135</f>
        <v>2152</v>
      </c>
      <c r="K136" s="9">
        <f>'ODOMETERS Halba'!$E136+'ODOMETERS Halba'!$F136-F135-E135</f>
        <v>2129</v>
      </c>
      <c r="L136" s="9">
        <f>'ODOMETERS Halba'!$G136+'ODOMETERS Halba'!$H136-H135-G135</f>
        <v>656</v>
      </c>
      <c r="M136" s="9">
        <f>'ODOMETERS Halba'!$J136+'ODOMETERS Halba'!$K136+'ODOMETERS Halba'!$L136</f>
        <v>4937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12">
        <v>46070</v>
      </c>
      <c r="B137" s="5" t="s">
        <v>24</v>
      </c>
      <c r="C137" s="5">
        <v>164551</v>
      </c>
      <c r="D137" s="5">
        <v>61951</v>
      </c>
      <c r="E137" s="5">
        <v>130912</v>
      </c>
      <c r="F137" s="5">
        <v>34152</v>
      </c>
      <c r="G137" s="5">
        <v>6700922</v>
      </c>
      <c r="H137" s="5">
        <v>6472254</v>
      </c>
      <c r="I137" s="5"/>
      <c r="J137" s="9">
        <f>'ODOMETERS Halba'!$C137+'ODOMETERS Halba'!$D137-D136-C136</f>
        <v>768</v>
      </c>
      <c r="K137" s="9">
        <f>'ODOMETERS Halba'!$E137+'ODOMETERS Halba'!$F137-F136-E136</f>
        <v>470</v>
      </c>
      <c r="L137" s="9">
        <f>'ODOMETERS Halba'!$G137+'ODOMETERS Halba'!$H137-H136-G136</f>
        <v>79</v>
      </c>
      <c r="M137" s="9">
        <f>'ODOMETERS Halba'!$J137+'ODOMETERS Halba'!$K137+'ODOMETERS Halba'!$L137</f>
        <v>1317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12">
        <v>46070</v>
      </c>
      <c r="B138" s="5" t="s">
        <v>25</v>
      </c>
      <c r="C138" s="5">
        <v>165612</v>
      </c>
      <c r="D138" s="5">
        <v>62175</v>
      </c>
      <c r="E138" s="5">
        <v>131654</v>
      </c>
      <c r="F138" s="5">
        <v>34355</v>
      </c>
      <c r="G138" s="5">
        <v>6701084</v>
      </c>
      <c r="H138" s="5">
        <v>6472375</v>
      </c>
      <c r="I138" s="5"/>
      <c r="J138" s="9">
        <f>'ODOMETERS Halba'!$C138+'ODOMETERS Halba'!$D138-D137-C137</f>
        <v>1285</v>
      </c>
      <c r="K138" s="9">
        <f>'ODOMETERS Halba'!$E138+'ODOMETERS Halba'!$F138-F137-E137</f>
        <v>945</v>
      </c>
      <c r="L138" s="9">
        <f>'ODOMETERS Halba'!$G138+'ODOMETERS Halba'!$H138-H137-G137</f>
        <v>283</v>
      </c>
      <c r="M138" s="9">
        <f>'ODOMETERS Halba'!$J138+'ODOMETERS Halba'!$K138+'ODOMETERS Halba'!$L138</f>
        <v>2513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12">
        <v>46071</v>
      </c>
      <c r="B139" s="5"/>
      <c r="C139" s="5">
        <v>166935</v>
      </c>
      <c r="D139" s="5">
        <v>62649</v>
      </c>
      <c r="E139" s="5">
        <v>133098</v>
      </c>
      <c r="F139" s="5">
        <v>35097</v>
      </c>
      <c r="G139" s="5">
        <v>6701617</v>
      </c>
      <c r="H139" s="5">
        <v>6472575</v>
      </c>
      <c r="I139" s="5"/>
      <c r="J139" s="9">
        <f>'ODOMETERS Halba'!$C139+'ODOMETERS Halba'!$D139-D138-C138</f>
        <v>1797</v>
      </c>
      <c r="K139" s="9">
        <f>'ODOMETERS Halba'!$E139+'ODOMETERS Halba'!$F139-F138-E138</f>
        <v>2186</v>
      </c>
      <c r="L139" s="9">
        <f>'ODOMETERS Halba'!$G139+'ODOMETERS Halba'!$H139-H138-G138</f>
        <v>733</v>
      </c>
      <c r="M139" s="9">
        <f>'ODOMETERS Halba'!$J139+'ODOMETERS Halba'!$K139+'ODOMETERS Halba'!$L139</f>
        <v>4716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12">
        <v>46072</v>
      </c>
      <c r="B140" s="5"/>
      <c r="C140" s="5">
        <v>168221</v>
      </c>
      <c r="D140" s="5">
        <v>63055</v>
      </c>
      <c r="E140" s="5">
        <v>134222</v>
      </c>
      <c r="F140" s="5">
        <v>35448</v>
      </c>
      <c r="G140" s="5">
        <v>6701911</v>
      </c>
      <c r="H140" s="5">
        <v>6472732</v>
      </c>
      <c r="I140" s="5"/>
      <c r="J140" s="9">
        <f>'ODOMETERS Halba'!$C140+'ODOMETERS Halba'!$D140-D139-C139</f>
        <v>1692</v>
      </c>
      <c r="K140" s="9">
        <f>'ODOMETERS Halba'!$E140+'ODOMETERS Halba'!$F140-F139-E139</f>
        <v>1475</v>
      </c>
      <c r="L140" s="9">
        <f>'ODOMETERS Halba'!$G140+'ODOMETERS Halba'!$H140-H139-G139</f>
        <v>451</v>
      </c>
      <c r="M140" s="9">
        <f>'ODOMETERS Halba'!$J140+'ODOMETERS Halba'!$K140+'ODOMETERS Halba'!$L140</f>
        <v>3618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12">
        <v>46073</v>
      </c>
      <c r="B141" s="5" t="s">
        <v>24</v>
      </c>
      <c r="C141" s="5">
        <v>168755</v>
      </c>
      <c r="D141" s="5">
        <v>63222</v>
      </c>
      <c r="E141" s="5">
        <v>134610</v>
      </c>
      <c r="F141" s="5">
        <v>35531</v>
      </c>
      <c r="G141" s="5">
        <v>6701988</v>
      </c>
      <c r="H141" s="5">
        <v>6472747</v>
      </c>
      <c r="I141" s="5"/>
      <c r="J141" s="9">
        <f>'ODOMETERS Halba'!$C141+'ODOMETERS Halba'!$D141-D140-C140</f>
        <v>701</v>
      </c>
      <c r="K141" s="9">
        <f>'ODOMETERS Halba'!$E141+'ODOMETERS Halba'!$F141-F140-E140</f>
        <v>471</v>
      </c>
      <c r="L141" s="9">
        <f>'ODOMETERS Halba'!$G141+'ODOMETERS Halba'!$H141-H140-G140</f>
        <v>92</v>
      </c>
      <c r="M141" s="9">
        <f>'ODOMETERS Halba'!$J141+'ODOMETERS Halba'!$K141+'ODOMETERS Halba'!$L141</f>
        <v>1264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12">
        <v>46073</v>
      </c>
      <c r="B142" s="5" t="s">
        <v>25</v>
      </c>
      <c r="C142" s="5">
        <v>169393</v>
      </c>
      <c r="D142" s="5">
        <v>63462</v>
      </c>
      <c r="E142" s="5">
        <v>135339</v>
      </c>
      <c r="F142" s="5">
        <v>35703</v>
      </c>
      <c r="G142" s="5">
        <v>6702047</v>
      </c>
      <c r="H142" s="5">
        <v>6472905</v>
      </c>
      <c r="I142" s="5"/>
      <c r="J142" s="9">
        <f>'ODOMETERS Halba'!$C142+'ODOMETERS Halba'!$D142-D141-C141</f>
        <v>878</v>
      </c>
      <c r="K142" s="9">
        <f>'ODOMETERS Halba'!$E142+'ODOMETERS Halba'!$F142-F141-E141</f>
        <v>901</v>
      </c>
      <c r="L142" s="9">
        <f>'ODOMETERS Halba'!$G142+'ODOMETERS Halba'!$H142-H141-G141</f>
        <v>217</v>
      </c>
      <c r="M142" s="9">
        <f>'ODOMETERS Halba'!$J142+'ODOMETERS Halba'!$K142+'ODOMETERS Halba'!$L142</f>
        <v>1996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12">
        <v>46074</v>
      </c>
      <c r="B143" s="5"/>
      <c r="C143" s="5">
        <v>170764</v>
      </c>
      <c r="D143" s="5">
        <v>63937</v>
      </c>
      <c r="E143" s="5">
        <v>136619</v>
      </c>
      <c r="F143" s="5">
        <v>36074</v>
      </c>
      <c r="G143" s="5">
        <v>6702436</v>
      </c>
      <c r="H143" s="5">
        <v>6473055</v>
      </c>
      <c r="I143" s="5"/>
      <c r="J143" s="9">
        <f>'ODOMETERS Halba'!$C143+'ODOMETERS Halba'!$D143-D142-C142</f>
        <v>1846</v>
      </c>
      <c r="K143" s="9">
        <f>'ODOMETERS Halba'!$E143+'ODOMETERS Halba'!$F143-F142-E142</f>
        <v>1651</v>
      </c>
      <c r="L143" s="9">
        <f>'ODOMETERS Halba'!$G143+'ODOMETERS Halba'!$H143-H142-G142</f>
        <v>539</v>
      </c>
      <c r="M143" s="9">
        <f>'ODOMETERS Halba'!$J143+'ODOMETERS Halba'!$K143+'ODOMETERS Halba'!$L143</f>
        <v>4036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12">
        <v>46075</v>
      </c>
      <c r="B144" s="5"/>
      <c r="C144" s="5">
        <v>171968</v>
      </c>
      <c r="D144" s="5">
        <v>65110</v>
      </c>
      <c r="E144" s="5">
        <v>138028</v>
      </c>
      <c r="F144" s="5">
        <v>36358</v>
      </c>
      <c r="G144" s="5">
        <v>6706939</v>
      </c>
      <c r="H144" s="5">
        <v>6474358</v>
      </c>
      <c r="I144" s="5"/>
      <c r="J144" s="9">
        <f>'ODOMETERS Halba'!$C144+'ODOMETERS Halba'!$D144-D143-C143</f>
        <v>2377</v>
      </c>
      <c r="K144" s="9">
        <f>'ODOMETERS Halba'!$E144+'ODOMETERS Halba'!$F144-F143-E143</f>
        <v>1693</v>
      </c>
      <c r="L144" s="9">
        <f>'ODOMETERS Halba'!$G144+'ODOMETERS Halba'!$H144-H143-G143</f>
        <v>5806</v>
      </c>
      <c r="M144" s="9">
        <f>'ODOMETERS Halba'!$J144+'ODOMETERS Halba'!$K144+'ODOMETERS Halba'!$L144</f>
        <v>9876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12">
        <v>46076</v>
      </c>
      <c r="B145" s="5"/>
      <c r="C145" s="5">
        <v>173639</v>
      </c>
      <c r="D145" s="5">
        <v>65631</v>
      </c>
      <c r="E145" s="5">
        <v>139140</v>
      </c>
      <c r="F145" s="5">
        <v>36733</v>
      </c>
      <c r="G145" s="5">
        <v>6707313</v>
      </c>
      <c r="H145" s="5">
        <v>6474555</v>
      </c>
      <c r="I145" s="5"/>
      <c r="J145" s="9">
        <f>'ODOMETERS Halba'!$C145+'ODOMETERS Halba'!$D145-D144-C144</f>
        <v>2192</v>
      </c>
      <c r="K145" s="9">
        <f>'ODOMETERS Halba'!$E145+'ODOMETERS Halba'!$F145-F144-E144</f>
        <v>1487</v>
      </c>
      <c r="L145" s="9">
        <f>'ODOMETERS Halba'!$G145+'ODOMETERS Halba'!$H145-H144-G144</f>
        <v>571</v>
      </c>
      <c r="M145" s="9">
        <f>'ODOMETERS Halba'!$J145+'ODOMETERS Halba'!$K145+'ODOMETERS Halba'!$L145</f>
        <v>4250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12">
        <v>46077</v>
      </c>
      <c r="B146" s="5" t="s">
        <v>24</v>
      </c>
      <c r="C146" s="5">
        <v>174325</v>
      </c>
      <c r="D146" s="5">
        <v>65753</v>
      </c>
      <c r="E146" s="5">
        <v>139502</v>
      </c>
      <c r="F146" s="5">
        <v>36872</v>
      </c>
      <c r="G146" s="5">
        <v>6707385</v>
      </c>
      <c r="H146" s="5">
        <v>6474632</v>
      </c>
      <c r="I146" s="5"/>
      <c r="J146" s="9">
        <f>'ODOMETERS Halba'!$C146+'ODOMETERS Halba'!$D146-D145-C145</f>
        <v>808</v>
      </c>
      <c r="K146" s="9">
        <f>'ODOMETERS Halba'!$E146+'ODOMETERS Halba'!$F146-F145-E145</f>
        <v>501</v>
      </c>
      <c r="L146" s="9">
        <f>'ODOMETERS Halba'!$G146+'ODOMETERS Halba'!$H146-H145-G145</f>
        <v>149</v>
      </c>
      <c r="M146" s="9">
        <f>'ODOMETERS Halba'!$J146+'ODOMETERS Halba'!$K146+'ODOMETERS Halba'!$L146</f>
        <v>1458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12">
        <v>46077</v>
      </c>
      <c r="B147" s="5" t="s">
        <v>25</v>
      </c>
      <c r="C147" s="5">
        <v>175092</v>
      </c>
      <c r="D147" s="5">
        <v>65888</v>
      </c>
      <c r="E147" s="5">
        <v>140171</v>
      </c>
      <c r="F147" s="5">
        <v>37074</v>
      </c>
      <c r="G147" s="5">
        <v>6707711</v>
      </c>
      <c r="H147" s="5">
        <v>6474820</v>
      </c>
      <c r="I147" s="5"/>
      <c r="J147" s="9">
        <f>'ODOMETERS Halba'!$C147+'ODOMETERS Halba'!$D147-D146-C146</f>
        <v>902</v>
      </c>
      <c r="K147" s="9">
        <f>'ODOMETERS Halba'!$E147+'ODOMETERS Halba'!$F147-F146-E146</f>
        <v>871</v>
      </c>
      <c r="L147" s="9">
        <f>'ODOMETERS Halba'!$G147+'ODOMETERS Halba'!$H147-H146-G146</f>
        <v>514</v>
      </c>
      <c r="M147" s="9">
        <f>'ODOMETERS Halba'!$J147+'ODOMETERS Halba'!$K147+'ODOMETERS Halba'!$L147</f>
        <v>2287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12">
        <v>46078</v>
      </c>
      <c r="B148" s="5"/>
      <c r="C148" s="5">
        <v>176418</v>
      </c>
      <c r="D148" s="5">
        <v>66290</v>
      </c>
      <c r="E148" s="5">
        <v>141502</v>
      </c>
      <c r="F148" s="5">
        <v>37404</v>
      </c>
      <c r="G148" s="5">
        <v>6708059</v>
      </c>
      <c r="H148" s="5">
        <v>6475157</v>
      </c>
      <c r="I148" s="5"/>
      <c r="J148" s="9">
        <f>'ODOMETERS Halba'!$C148+'ODOMETERS Halba'!$D148-D147-C147</f>
        <v>1728</v>
      </c>
      <c r="K148" s="9">
        <f>'ODOMETERS Halba'!$E148+'ODOMETERS Halba'!$F148-F147-E147</f>
        <v>1661</v>
      </c>
      <c r="L148" s="9">
        <f>'ODOMETERS Halba'!$G148+'ODOMETERS Halba'!$H148-H147-G147</f>
        <v>685</v>
      </c>
      <c r="M148" s="9">
        <f>'ODOMETERS Halba'!$J148+'ODOMETERS Halba'!$K148+'ODOMETERS Halba'!$L148</f>
        <v>4074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12">
        <v>46079</v>
      </c>
      <c r="B149" s="5"/>
      <c r="C149" s="5">
        <v>178223</v>
      </c>
      <c r="D149" s="5">
        <v>66841</v>
      </c>
      <c r="E149" s="5">
        <v>142189</v>
      </c>
      <c r="F149" s="5">
        <v>37588</v>
      </c>
      <c r="G149" s="5">
        <v>6709720</v>
      </c>
      <c r="H149" s="5">
        <v>6475574</v>
      </c>
      <c r="I149" s="5"/>
      <c r="J149" s="9">
        <f>'ODOMETERS Halba'!$C149+'ODOMETERS Halba'!$D149-D148-C148</f>
        <v>2356</v>
      </c>
      <c r="K149" s="9">
        <f>'ODOMETERS Halba'!$E149+'ODOMETERS Halba'!$F149-F148-E148</f>
        <v>871</v>
      </c>
      <c r="L149" s="9">
        <f>'ODOMETERS Halba'!$G149+'ODOMETERS Halba'!$H149-H148-G148</f>
        <v>2078</v>
      </c>
      <c r="M149" s="9">
        <f>'ODOMETERS Halba'!$J149+'ODOMETERS Halba'!$K149+'ODOMETERS Halba'!$L149</f>
        <v>5305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12">
        <v>46080</v>
      </c>
      <c r="B150" s="5" t="s">
        <v>24</v>
      </c>
      <c r="C150" s="5">
        <v>178971</v>
      </c>
      <c r="D150" s="5">
        <v>67080</v>
      </c>
      <c r="E150" s="5">
        <v>142645</v>
      </c>
      <c r="F150" s="5">
        <v>37724</v>
      </c>
      <c r="G150" s="5">
        <v>6711944</v>
      </c>
      <c r="H150" s="5">
        <v>6475762</v>
      </c>
      <c r="I150" s="5"/>
      <c r="J150" s="9">
        <f>'ODOMETERS Halba'!$C150+'ODOMETERS Halba'!$D150-D149-C149</f>
        <v>987</v>
      </c>
      <c r="K150" s="9">
        <f>'ODOMETERS Halba'!$E150+'ODOMETERS Halba'!$F150-F149-E149</f>
        <v>592</v>
      </c>
      <c r="L150" s="9">
        <f>'ODOMETERS Halba'!$G150+'ODOMETERS Halba'!$H150-H149-G149</f>
        <v>2412</v>
      </c>
      <c r="M150" s="9">
        <f>'ODOMETERS Halba'!$J150+'ODOMETERS Halba'!$K150+'ODOMETERS Halba'!$L150</f>
        <v>3991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12">
        <v>46080</v>
      </c>
      <c r="B151" s="5" t="s">
        <v>25</v>
      </c>
      <c r="C151" s="5">
        <v>179986</v>
      </c>
      <c r="D151" s="5">
        <v>67356</v>
      </c>
      <c r="E151" s="5">
        <v>143593</v>
      </c>
      <c r="F151" s="5">
        <v>37879</v>
      </c>
      <c r="G151" s="5">
        <v>6712123</v>
      </c>
      <c r="H151" s="5">
        <v>6475979</v>
      </c>
      <c r="I151" s="5"/>
      <c r="J151" s="9">
        <f>'ODOMETERS Halba'!$C151+'ODOMETERS Halba'!$D151-D150-C150</f>
        <v>1291</v>
      </c>
      <c r="K151" s="9">
        <f>'ODOMETERS Halba'!$E151+'ODOMETERS Halba'!$F151-F150-E150</f>
        <v>1103</v>
      </c>
      <c r="L151" s="9">
        <f>'ODOMETERS Halba'!$G151+'ODOMETERS Halba'!$H151-H150-G150</f>
        <v>396</v>
      </c>
      <c r="M151" s="9">
        <f>'ODOMETERS Halba'!$J151+'ODOMETERS Halba'!$K151+'ODOMETERS Halba'!$L151</f>
        <v>2790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12">
        <v>46081</v>
      </c>
      <c r="B152" s="5"/>
      <c r="C152" s="5">
        <v>184331</v>
      </c>
      <c r="D152" s="5">
        <v>68763</v>
      </c>
      <c r="E152" s="5">
        <v>147523</v>
      </c>
      <c r="F152" s="5">
        <v>39147</v>
      </c>
      <c r="G152" s="5">
        <v>6713023</v>
      </c>
      <c r="H152" s="5">
        <v>6476404</v>
      </c>
      <c r="I152" s="5"/>
      <c r="J152" s="9">
        <f>'ODOMETERS Halba'!$C152+'ODOMETERS Halba'!$D152-D151-C151</f>
        <v>5752</v>
      </c>
      <c r="K152" s="9">
        <f>'ODOMETERS Halba'!$E152+'ODOMETERS Halba'!$F152-F151-E151</f>
        <v>5198</v>
      </c>
      <c r="L152" s="9">
        <f>'ODOMETERS Halba'!$G152+'ODOMETERS Halba'!$H152-H151-G151</f>
        <v>1325</v>
      </c>
      <c r="M152" s="9">
        <f>'ODOMETERS Halba'!$J152+'ODOMETERS Halba'!$K152+'ODOMETERS Halba'!$L152</f>
        <v>12275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12">
        <v>46082</v>
      </c>
      <c r="B153" s="5"/>
      <c r="C153" s="5">
        <v>185842</v>
      </c>
      <c r="D153" s="5">
        <v>68984</v>
      </c>
      <c r="E153" s="5">
        <v>148633</v>
      </c>
      <c r="F153" s="5">
        <v>39307</v>
      </c>
      <c r="G153" s="5">
        <v>6713200</v>
      </c>
      <c r="H153" s="5">
        <v>6476562</v>
      </c>
      <c r="I153" s="5"/>
      <c r="J153" s="9">
        <f>'ODOMETERS Halba'!$C153+'ODOMETERS Halba'!$D153-D152-C152</f>
        <v>1732</v>
      </c>
      <c r="K153" s="9">
        <f>'ODOMETERS Halba'!$E153+'ODOMETERS Halba'!$F153-F152-E152</f>
        <v>1270</v>
      </c>
      <c r="L153" s="9">
        <f>'ODOMETERS Halba'!$G153+'ODOMETERS Halba'!$H153-H152-G152</f>
        <v>335</v>
      </c>
      <c r="M153" s="9">
        <f>'ODOMETERS Halba'!$J153+'ODOMETERS Halba'!$K153+'ODOMETERS Halba'!$L153</f>
        <v>3337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12">
        <v>46083</v>
      </c>
      <c r="B154" s="5"/>
      <c r="C154" s="5">
        <v>188255</v>
      </c>
      <c r="D154" s="5">
        <v>69543</v>
      </c>
      <c r="E154" s="5">
        <v>150352</v>
      </c>
      <c r="F154" s="5">
        <v>39676</v>
      </c>
      <c r="G154" s="5">
        <v>6714235</v>
      </c>
      <c r="H154" s="5">
        <v>6476997</v>
      </c>
      <c r="I154" s="5"/>
      <c r="J154" s="9">
        <f>'ODOMETERS Halba'!$C154+'ODOMETERS Halba'!$D154-D153-C153</f>
        <v>2972</v>
      </c>
      <c r="K154" s="9">
        <f>'ODOMETERS Halba'!$E154+'ODOMETERS Halba'!$F154-F153-E153</f>
        <v>2088</v>
      </c>
      <c r="L154" s="9">
        <f>'ODOMETERS Halba'!$G154+'ODOMETERS Halba'!$H154-H153-G153</f>
        <v>1470</v>
      </c>
      <c r="M154" s="9">
        <f>'ODOMETERS Halba'!$J154+'ODOMETERS Halba'!$K154+'ODOMETERS Halba'!$L154</f>
        <v>6530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12">
        <v>46084</v>
      </c>
      <c r="B155" s="5" t="s">
        <v>24</v>
      </c>
      <c r="C155" s="5">
        <v>188682</v>
      </c>
      <c r="D155" s="5">
        <v>69677</v>
      </c>
      <c r="E155" s="5">
        <v>150573</v>
      </c>
      <c r="F155" s="5">
        <v>39716</v>
      </c>
      <c r="G155" s="5">
        <v>6714302</v>
      </c>
      <c r="H155" s="5">
        <v>6477047</v>
      </c>
      <c r="I155" s="5"/>
      <c r="J155" s="9">
        <f>'ODOMETERS Halba'!$C155+'ODOMETERS Halba'!$D155-D154-C154</f>
        <v>561</v>
      </c>
      <c r="K155" s="9">
        <f>'ODOMETERS Halba'!$E155+'ODOMETERS Halba'!$F155-F154-E154</f>
        <v>261</v>
      </c>
      <c r="L155" s="9">
        <f>'ODOMETERS Halba'!$G155+'ODOMETERS Halba'!$H155-H154-G154</f>
        <v>117</v>
      </c>
      <c r="M155" s="9">
        <f>'ODOMETERS Halba'!$J155+'ODOMETERS Halba'!$K155+'ODOMETERS Halba'!$L155</f>
        <v>939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12">
        <v>46084</v>
      </c>
      <c r="B156" s="5" t="s">
        <v>25</v>
      </c>
      <c r="C156" s="5">
        <v>189503</v>
      </c>
      <c r="D156" s="5">
        <v>69937</v>
      </c>
      <c r="E156" s="5">
        <v>151294</v>
      </c>
      <c r="F156" s="5">
        <v>39896</v>
      </c>
      <c r="G156" s="5">
        <v>6714416</v>
      </c>
      <c r="H156" s="5">
        <v>6477235</v>
      </c>
      <c r="I156" s="5"/>
      <c r="J156" s="9">
        <f>'ODOMETERS Halba'!$C156+'ODOMETERS Halba'!$D156-D155-C155</f>
        <v>1081</v>
      </c>
      <c r="K156" s="9">
        <f>'ODOMETERS Halba'!$E156+'ODOMETERS Halba'!$F156-F155-E155</f>
        <v>901</v>
      </c>
      <c r="L156" s="9">
        <f>'ODOMETERS Halba'!$G156+'ODOMETERS Halba'!$H156-H155-G155</f>
        <v>302</v>
      </c>
      <c r="M156" s="9">
        <f>'ODOMETERS Halba'!$J156+'ODOMETERS Halba'!$K156+'ODOMETERS Halba'!$L156</f>
        <v>2284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12">
        <v>46085</v>
      </c>
      <c r="B157" s="5"/>
      <c r="C157" s="5">
        <v>191044</v>
      </c>
      <c r="D157" s="5">
        <v>70291</v>
      </c>
      <c r="E157" s="5">
        <v>152302</v>
      </c>
      <c r="F157" s="5">
        <v>40070</v>
      </c>
      <c r="G157" s="5">
        <v>6717469</v>
      </c>
      <c r="H157" s="5">
        <v>6478048</v>
      </c>
      <c r="I157" s="5"/>
      <c r="J157" s="9">
        <f>'ODOMETERS Halba'!$C157+'ODOMETERS Halba'!$D157-D156-C156</f>
        <v>1895</v>
      </c>
      <c r="K157" s="9">
        <f>'ODOMETERS Halba'!$E157+'ODOMETERS Halba'!$F157-F156-E156</f>
        <v>1182</v>
      </c>
      <c r="L157" s="9">
        <f>'ODOMETERS Halba'!$G157+'ODOMETERS Halba'!$H157-H156-G156</f>
        <v>3866</v>
      </c>
      <c r="M157" s="9">
        <f>'ODOMETERS Halba'!$J157+'ODOMETERS Halba'!$K157+'ODOMETERS Halba'!$L157</f>
        <v>6943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12">
        <v>46086</v>
      </c>
      <c r="B158" s="5"/>
      <c r="C158" s="5">
        <v>192270</v>
      </c>
      <c r="D158" s="5">
        <v>70568</v>
      </c>
      <c r="E158" s="5">
        <v>153253</v>
      </c>
      <c r="F158" s="5">
        <v>40344</v>
      </c>
      <c r="G158" s="5">
        <v>6719025</v>
      </c>
      <c r="H158" s="5">
        <v>6478427</v>
      </c>
      <c r="I158" s="5"/>
      <c r="J158" s="9">
        <f>'ODOMETERS Halba'!$C158+'ODOMETERS Halba'!$D158-D157-C157</f>
        <v>1503</v>
      </c>
      <c r="K158" s="9">
        <f>'ODOMETERS Halba'!$E158+'ODOMETERS Halba'!$F158-F157-E157</f>
        <v>1225</v>
      </c>
      <c r="L158" s="9">
        <f>'ODOMETERS Halba'!$G158+'ODOMETERS Halba'!$H158-H157-G157</f>
        <v>1935</v>
      </c>
      <c r="M158" s="9">
        <f>'ODOMETERS Halba'!$J158+'ODOMETERS Halba'!$K158+'ODOMETERS Halba'!$L158</f>
        <v>4663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12">
        <v>46087</v>
      </c>
      <c r="B159" s="5" t="s">
        <v>24</v>
      </c>
      <c r="C159" s="5">
        <v>192664</v>
      </c>
      <c r="D159" s="5">
        <v>70722</v>
      </c>
      <c r="E159" s="5">
        <v>153724</v>
      </c>
      <c r="F159" s="5">
        <v>40419</v>
      </c>
      <c r="G159" s="5">
        <v>6719032</v>
      </c>
      <c r="H159" s="5">
        <v>6478557</v>
      </c>
      <c r="I159" s="5"/>
      <c r="J159" s="9">
        <f>'ODOMETERS Halba'!$C159+'ODOMETERS Halba'!$D159-D158-C158</f>
        <v>548</v>
      </c>
      <c r="K159" s="9">
        <f>'ODOMETERS Halba'!$E159+'ODOMETERS Halba'!$F159-F158-E158</f>
        <v>546</v>
      </c>
      <c r="L159" s="9">
        <f>'ODOMETERS Halba'!$G159+'ODOMETERS Halba'!$H159-H158-G158</f>
        <v>137</v>
      </c>
      <c r="M159" s="9">
        <f>'ODOMETERS Halba'!$J159+'ODOMETERS Halba'!$K159+'ODOMETERS Halba'!$L159</f>
        <v>1231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12">
        <v>46087</v>
      </c>
      <c r="B160" s="5" t="s">
        <v>25</v>
      </c>
      <c r="C160" s="5">
        <v>193397</v>
      </c>
      <c r="D160" s="5">
        <v>70878</v>
      </c>
      <c r="E160" s="5">
        <v>154344</v>
      </c>
      <c r="F160" s="5">
        <v>40599</v>
      </c>
      <c r="G160" s="5">
        <v>6719592</v>
      </c>
      <c r="H160" s="5">
        <v>6478704</v>
      </c>
      <c r="I160" s="5"/>
      <c r="J160" s="9">
        <f>'ODOMETERS Halba'!$C160+'ODOMETERS Halba'!$D160-D159-C159</f>
        <v>889</v>
      </c>
      <c r="K160" s="9">
        <f>'ODOMETERS Halba'!$E160+'ODOMETERS Halba'!$F160-F159-E159</f>
        <v>800</v>
      </c>
      <c r="L160" s="9">
        <f>'ODOMETERS Halba'!$G160+'ODOMETERS Halba'!$H160-H159-G159</f>
        <v>707</v>
      </c>
      <c r="M160" s="9">
        <f>'ODOMETERS Halba'!$J160+'ODOMETERS Halba'!$K160+'ODOMETERS Halba'!$L160</f>
        <v>2396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12">
        <v>46088</v>
      </c>
      <c r="B161" s="5"/>
      <c r="C161" s="5">
        <v>194593</v>
      </c>
      <c r="D161" s="5">
        <v>71214</v>
      </c>
      <c r="E161" s="5">
        <v>155613</v>
      </c>
      <c r="F161" s="5">
        <v>40806</v>
      </c>
      <c r="G161" s="5">
        <v>6720539</v>
      </c>
      <c r="H161" s="5">
        <v>6478985</v>
      </c>
      <c r="I161" s="5"/>
      <c r="J161" s="9">
        <f>'ODOMETERS Halba'!$C161+'ODOMETERS Halba'!$D161-D160-C160</f>
        <v>1532</v>
      </c>
      <c r="K161" s="9">
        <f>'ODOMETERS Halba'!$E161+'ODOMETERS Halba'!$F161-F160-E160</f>
        <v>1476</v>
      </c>
      <c r="L161" s="9">
        <f>'ODOMETERS Halba'!$G161+'ODOMETERS Halba'!$H161-H160-G160</f>
        <v>1228</v>
      </c>
      <c r="M161" s="9">
        <f>'ODOMETERS Halba'!$J161+'ODOMETERS Halba'!$K161+'ODOMETERS Halba'!$L161</f>
        <v>4236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12">
        <v>46089</v>
      </c>
      <c r="B162" s="5"/>
      <c r="C162" s="5">
        <v>195792</v>
      </c>
      <c r="D162" s="5">
        <v>71561</v>
      </c>
      <c r="E162" s="5">
        <v>156548</v>
      </c>
      <c r="F162" s="5">
        <v>40936</v>
      </c>
      <c r="G162" s="5">
        <v>6721358</v>
      </c>
      <c r="H162" s="5">
        <v>6479180</v>
      </c>
      <c r="I162" s="5"/>
      <c r="J162" s="9">
        <f>'ODOMETERS Halba'!$C162+'ODOMETERS Halba'!$D162-D161-C161</f>
        <v>1546</v>
      </c>
      <c r="K162" s="9">
        <f>'ODOMETERS Halba'!$E162+'ODOMETERS Halba'!$F162-F161-E161</f>
        <v>1065</v>
      </c>
      <c r="L162" s="9">
        <f>'ODOMETERS Halba'!$G162+'ODOMETERS Halba'!$H162-H161-G161</f>
        <v>1014</v>
      </c>
      <c r="M162" s="9">
        <f>'ODOMETERS Halba'!$J162+'ODOMETERS Halba'!$K162+'ODOMETERS Halba'!$L162</f>
        <v>3625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12">
        <v>46090</v>
      </c>
      <c r="B163" s="5"/>
      <c r="C163" s="5">
        <v>197280</v>
      </c>
      <c r="D163" s="5">
        <v>71951</v>
      </c>
      <c r="E163" s="5">
        <v>157595</v>
      </c>
      <c r="F163" s="5">
        <v>41141</v>
      </c>
      <c r="G163" s="5">
        <v>6722166</v>
      </c>
      <c r="H163" s="5">
        <v>6479716</v>
      </c>
      <c r="I163" s="5"/>
      <c r="J163" s="9">
        <f>'ODOMETERS Halba'!$C163+'ODOMETERS Halba'!$D163-D162-C162</f>
        <v>1878</v>
      </c>
      <c r="K163" s="9">
        <f>'ODOMETERS Halba'!$E163+'ODOMETERS Halba'!$F163-F162-E162</f>
        <v>1252</v>
      </c>
      <c r="L163" s="9">
        <f>'ODOMETERS Halba'!$G163+'ODOMETERS Halba'!$H163-H162-G162</f>
        <v>1344</v>
      </c>
      <c r="M163" s="9">
        <f>'ODOMETERS Halba'!$J163+'ODOMETERS Halba'!$K163+'ODOMETERS Halba'!$L163</f>
        <v>4474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12">
        <v>46091</v>
      </c>
      <c r="B164" s="5" t="s">
        <v>24</v>
      </c>
      <c r="C164" s="5">
        <v>197681</v>
      </c>
      <c r="D164" s="5">
        <v>72108</v>
      </c>
      <c r="E164" s="5">
        <v>157872</v>
      </c>
      <c r="F164" s="5">
        <v>41179</v>
      </c>
      <c r="G164" s="5">
        <v>6722238</v>
      </c>
      <c r="H164" s="5">
        <v>6479742</v>
      </c>
      <c r="I164" s="5"/>
      <c r="J164" s="9">
        <f>'ODOMETERS Halba'!$C164+'ODOMETERS Halba'!$D164-D163-C163</f>
        <v>558</v>
      </c>
      <c r="K164" s="9">
        <f>'ODOMETERS Halba'!$E164+'ODOMETERS Halba'!$F164-F163-E163</f>
        <v>315</v>
      </c>
      <c r="L164" s="9">
        <f>'ODOMETERS Halba'!$G164+'ODOMETERS Halba'!$H164-H163-G163</f>
        <v>98</v>
      </c>
      <c r="M164" s="9">
        <f>'ODOMETERS Halba'!$J164+'ODOMETERS Halba'!$K164+'ODOMETERS Halba'!$L164</f>
        <v>971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12">
        <v>46091</v>
      </c>
      <c r="B165" s="5" t="s">
        <v>25</v>
      </c>
      <c r="C165" s="5">
        <v>198476</v>
      </c>
      <c r="D165" s="5">
        <v>72281</v>
      </c>
      <c r="E165" s="5">
        <v>158570</v>
      </c>
      <c r="F165" s="5">
        <v>41309</v>
      </c>
      <c r="G165" s="5">
        <v>6723312</v>
      </c>
      <c r="H165" s="5">
        <v>6480672</v>
      </c>
      <c r="I165" s="5"/>
      <c r="J165" s="9">
        <f>'ODOMETERS Halba'!$C165+'ODOMETERS Halba'!$D165-D164-C164</f>
        <v>968</v>
      </c>
      <c r="K165" s="9">
        <f>'ODOMETERS Halba'!$E165+'ODOMETERS Halba'!$F165-F164-E164</f>
        <v>828</v>
      </c>
      <c r="L165" s="9">
        <f>'ODOMETERS Halba'!$G165+'ODOMETERS Halba'!$H165-H164-G164</f>
        <v>2004</v>
      </c>
      <c r="M165" s="9">
        <f>'ODOMETERS Halba'!$J165+'ODOMETERS Halba'!$K165+'ODOMETERS Halba'!$L165</f>
        <v>3800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12">
        <v>46092</v>
      </c>
      <c r="B166" s="5"/>
      <c r="C166" s="5">
        <v>199580</v>
      </c>
      <c r="D166" s="5">
        <v>72612</v>
      </c>
      <c r="E166" s="5">
        <v>159476</v>
      </c>
      <c r="F166" s="5">
        <v>41480</v>
      </c>
      <c r="G166" s="5">
        <v>6726405</v>
      </c>
      <c r="H166" s="5">
        <v>6480987</v>
      </c>
      <c r="I166" s="5"/>
      <c r="J166" s="9">
        <f>'ODOMETERS Halba'!$C166+'ODOMETERS Halba'!$D166-D165-C165</f>
        <v>1435</v>
      </c>
      <c r="K166" s="9">
        <f>'ODOMETERS Halba'!$E166+'ODOMETERS Halba'!$F166-F165-E165</f>
        <v>1077</v>
      </c>
      <c r="L166" s="9">
        <f>'ODOMETERS Halba'!$G166+'ODOMETERS Halba'!$H166-H165-G165</f>
        <v>3408</v>
      </c>
      <c r="M166" s="9">
        <f>'ODOMETERS Halba'!$J166+'ODOMETERS Halba'!$K166+'ODOMETERS Halba'!$L166</f>
        <v>5920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12">
        <v>46093</v>
      </c>
      <c r="B167" s="5"/>
      <c r="C167" s="5">
        <v>201080</v>
      </c>
      <c r="D167" s="5">
        <v>73130</v>
      </c>
      <c r="E167" s="5">
        <v>160626</v>
      </c>
      <c r="F167" s="5">
        <v>41717</v>
      </c>
      <c r="G167" s="5">
        <v>6732044</v>
      </c>
      <c r="H167" s="5">
        <v>6481337</v>
      </c>
      <c r="I167" s="5"/>
      <c r="J167" s="9">
        <f>'ODOMETERS Halba'!$C167+'ODOMETERS Halba'!$D167-D166-C166</f>
        <v>2018</v>
      </c>
      <c r="K167" s="9">
        <f>'ODOMETERS Halba'!$E167+'ODOMETERS Halba'!$F167-F166-E166</f>
        <v>1387</v>
      </c>
      <c r="L167" s="9">
        <f>'ODOMETERS Halba'!$G167+'ODOMETERS Halba'!$H167-H166-G166</f>
        <v>5989</v>
      </c>
      <c r="M167" s="9">
        <f>'ODOMETERS Halba'!$J167+'ODOMETERS Halba'!$K167+'ODOMETERS Halba'!$L167</f>
        <v>9394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12">
        <v>46094</v>
      </c>
      <c r="B168" s="5" t="s">
        <v>24</v>
      </c>
      <c r="C168" s="5">
        <v>201728</v>
      </c>
      <c r="D168" s="5">
        <v>73359</v>
      </c>
      <c r="E168" s="5">
        <v>161037</v>
      </c>
      <c r="F168" s="5">
        <v>41776</v>
      </c>
      <c r="G168" s="5">
        <v>6732238</v>
      </c>
      <c r="H168" s="5">
        <v>6481402</v>
      </c>
      <c r="I168" s="5"/>
      <c r="J168" s="9">
        <f>'ODOMETERS Halba'!$C168+'ODOMETERS Halba'!$D168-D167-C167</f>
        <v>877</v>
      </c>
      <c r="K168" s="9">
        <f>'ODOMETERS Halba'!$E168+'ODOMETERS Halba'!$F168-F167-E167</f>
        <v>470</v>
      </c>
      <c r="L168" s="9">
        <f>'ODOMETERS Halba'!$G168+'ODOMETERS Halba'!$H168-H167-G167</f>
        <v>259</v>
      </c>
      <c r="M168" s="9">
        <f>'ODOMETERS Halba'!$J168+'ODOMETERS Halba'!$K168+'ODOMETERS Halba'!$L168</f>
        <v>1606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12">
        <v>46094</v>
      </c>
      <c r="B169" s="5" t="s">
        <v>25</v>
      </c>
      <c r="C169" s="5">
        <v>202494</v>
      </c>
      <c r="D169" s="5">
        <v>73499</v>
      </c>
      <c r="E169" s="5">
        <v>161595</v>
      </c>
      <c r="F169" s="5">
        <v>41899</v>
      </c>
      <c r="G169" s="5">
        <v>6734837</v>
      </c>
      <c r="H169" s="5">
        <v>6481564</v>
      </c>
      <c r="I169" s="5"/>
      <c r="J169" s="9">
        <f>'ODOMETERS Halba'!$C169+'ODOMETERS Halba'!$D169-D168-C168</f>
        <v>906</v>
      </c>
      <c r="K169" s="9">
        <f>'ODOMETERS Halba'!$E169+'ODOMETERS Halba'!$F169-F168-E168</f>
        <v>681</v>
      </c>
      <c r="L169" s="9">
        <f>'ODOMETERS Halba'!$G169+'ODOMETERS Halba'!$H169-H168-G168</f>
        <v>2761</v>
      </c>
      <c r="M169" s="9">
        <f>'ODOMETERS Halba'!$J169+'ODOMETERS Halba'!$K169+'ODOMETERS Halba'!$L169</f>
        <v>4348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12">
        <v>46095</v>
      </c>
      <c r="B170" s="5"/>
      <c r="C170" s="5">
        <v>203602</v>
      </c>
      <c r="D170" s="5">
        <v>73816</v>
      </c>
      <c r="E170" s="5">
        <v>162471</v>
      </c>
      <c r="F170" s="5">
        <v>42184</v>
      </c>
      <c r="G170" s="5">
        <v>6735822</v>
      </c>
      <c r="H170" s="5">
        <v>6481723</v>
      </c>
      <c r="I170" s="5"/>
      <c r="J170" s="9">
        <f>'ODOMETERS Halba'!$C170+'ODOMETERS Halba'!$D170-D169-C169</f>
        <v>1425</v>
      </c>
      <c r="K170" s="9">
        <f>'ODOMETERS Halba'!$E170+'ODOMETERS Halba'!$F170-F169-E169</f>
        <v>1161</v>
      </c>
      <c r="L170" s="9">
        <f>'ODOMETERS Halba'!$G170+'ODOMETERS Halba'!$H170-H169-G169</f>
        <v>1144</v>
      </c>
      <c r="M170" s="9">
        <f>'ODOMETERS Halba'!$J170+'ODOMETERS Halba'!$K170+'ODOMETERS Halba'!$L170</f>
        <v>3730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12">
        <v>46096</v>
      </c>
      <c r="B171" s="5"/>
      <c r="C171" s="5">
        <v>204697</v>
      </c>
      <c r="D171" s="5">
        <v>74295</v>
      </c>
      <c r="E171" s="5">
        <v>163294</v>
      </c>
      <c r="F171" s="5">
        <v>42333</v>
      </c>
      <c r="G171" s="5">
        <v>6736048</v>
      </c>
      <c r="H171" s="5">
        <v>6481912</v>
      </c>
      <c r="I171" s="5"/>
      <c r="J171" s="9">
        <f>'ODOMETERS Halba'!$C171+'ODOMETERS Halba'!$D171-D170-C170</f>
        <v>1574</v>
      </c>
      <c r="K171" s="9">
        <f>'ODOMETERS Halba'!$E171+'ODOMETERS Halba'!$F171-F170-E170</f>
        <v>972</v>
      </c>
      <c r="L171" s="9">
        <f>'ODOMETERS Halba'!$G171+'ODOMETERS Halba'!$H171-H170-G170</f>
        <v>415</v>
      </c>
      <c r="M171" s="9">
        <f>'ODOMETERS Halba'!$J171+'ODOMETERS Halba'!$K171+'ODOMETERS Halba'!$L171</f>
        <v>2961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12">
        <v>46097</v>
      </c>
      <c r="B172" s="5"/>
      <c r="C172" s="5">
        <v>206316</v>
      </c>
      <c r="D172" s="5">
        <v>74970</v>
      </c>
      <c r="E172" s="5">
        <v>165343</v>
      </c>
      <c r="F172" s="5">
        <v>43306</v>
      </c>
      <c r="G172" s="5">
        <v>6736469</v>
      </c>
      <c r="H172" s="5">
        <v>6482129</v>
      </c>
      <c r="I172" s="5"/>
      <c r="J172" s="9">
        <f>'ODOMETERS Halba'!$C172+'ODOMETERS Halba'!$D172-D171-C171</f>
        <v>2294</v>
      </c>
      <c r="K172" s="9">
        <f>'ODOMETERS Halba'!$E172+'ODOMETERS Halba'!$F172-F171-E171</f>
        <v>3022</v>
      </c>
      <c r="L172" s="9">
        <f>'ODOMETERS Halba'!$G172+'ODOMETERS Halba'!$H172-H171-G171</f>
        <v>638</v>
      </c>
      <c r="M172" s="9">
        <f>'ODOMETERS Halba'!$J172+'ODOMETERS Halba'!$K172+'ODOMETERS Halba'!$L172</f>
        <v>5954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12">
        <v>46098</v>
      </c>
      <c r="B173" s="5" t="s">
        <v>24</v>
      </c>
      <c r="C173" s="5">
        <v>207315</v>
      </c>
      <c r="D173" s="5">
        <v>75283</v>
      </c>
      <c r="E173" s="5">
        <v>165987</v>
      </c>
      <c r="F173" s="5">
        <v>43388</v>
      </c>
      <c r="G173" s="5">
        <v>6736760</v>
      </c>
      <c r="H173" s="5">
        <v>6482244</v>
      </c>
      <c r="I173" s="5"/>
      <c r="J173" s="9">
        <f>'ODOMETERS Halba'!$C173+'ODOMETERS Halba'!$D173-D172-C172</f>
        <v>1312</v>
      </c>
      <c r="K173" s="9">
        <f>'ODOMETERS Halba'!$E173+'ODOMETERS Halba'!$F173-F172-E172</f>
        <v>726</v>
      </c>
      <c r="L173" s="9">
        <f>'ODOMETERS Halba'!$G173+'ODOMETERS Halba'!$H173-H172-G172</f>
        <v>406</v>
      </c>
      <c r="M173" s="9">
        <f>'ODOMETERS Halba'!$J173+'ODOMETERS Halba'!$K173+'ODOMETERS Halba'!$L173</f>
        <v>2444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12">
        <v>46098</v>
      </c>
      <c r="B174" s="5" t="s">
        <v>25</v>
      </c>
      <c r="C174" s="5">
        <v>207954</v>
      </c>
      <c r="D174" s="5">
        <v>75570</v>
      </c>
      <c r="E174" s="5">
        <v>166496</v>
      </c>
      <c r="F174" s="5">
        <v>43628</v>
      </c>
      <c r="G174" s="5">
        <v>6737388</v>
      </c>
      <c r="H174" s="5">
        <v>6482433</v>
      </c>
      <c r="I174" s="5"/>
      <c r="J174" s="9">
        <f>'ODOMETERS Halba'!$C174+'ODOMETERS Halba'!$D174-D173-C173</f>
        <v>926</v>
      </c>
      <c r="K174" s="9">
        <f>'ODOMETERS Halba'!$E174+'ODOMETERS Halba'!$F174-F173-E173</f>
        <v>749</v>
      </c>
      <c r="L174" s="9">
        <f>'ODOMETERS Halba'!$G174+'ODOMETERS Halba'!$H174-H173-G173</f>
        <v>817</v>
      </c>
      <c r="M174" s="9">
        <f>'ODOMETERS Halba'!$J174+'ODOMETERS Halba'!$K174+'ODOMETERS Halba'!$L174</f>
        <v>2492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12">
        <v>46099</v>
      </c>
      <c r="B175" s="5"/>
      <c r="C175" s="5">
        <v>209465</v>
      </c>
      <c r="D175" s="5">
        <v>76120</v>
      </c>
      <c r="E175" s="5">
        <v>167866</v>
      </c>
      <c r="F175" s="5">
        <v>43926</v>
      </c>
      <c r="G175" s="5">
        <v>6737718</v>
      </c>
      <c r="H175" s="5">
        <v>6482619</v>
      </c>
      <c r="I175" s="5"/>
      <c r="J175" s="9">
        <f>'ODOMETERS Halba'!$C175+'ODOMETERS Halba'!$D175-D174-C174</f>
        <v>2061</v>
      </c>
      <c r="K175" s="9">
        <f>'ODOMETERS Halba'!$E175+'ODOMETERS Halba'!$F175-F174-E174</f>
        <v>1668</v>
      </c>
      <c r="L175" s="9">
        <f>'ODOMETERS Halba'!$G175+'ODOMETERS Halba'!$H175-H174-G174</f>
        <v>516</v>
      </c>
      <c r="M175" s="9">
        <f>'ODOMETERS Halba'!$J175+'ODOMETERS Halba'!$K175+'ODOMETERS Halba'!$L175</f>
        <v>4245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12">
        <v>46100</v>
      </c>
      <c r="B176" s="5" t="s">
        <v>24</v>
      </c>
      <c r="C176" s="5">
        <v>210555</v>
      </c>
      <c r="D176" s="5">
        <v>76420</v>
      </c>
      <c r="E176" s="5">
        <v>168661</v>
      </c>
      <c r="F176" s="5">
        <v>44057</v>
      </c>
      <c r="G176" s="5">
        <v>6737817</v>
      </c>
      <c r="H176" s="5">
        <v>6482726</v>
      </c>
      <c r="I176" s="5"/>
      <c r="J176" s="9">
        <f>'ODOMETERS Halba'!$C176+'ODOMETERS Halba'!$D176-D175-C175</f>
        <v>1390</v>
      </c>
      <c r="K176" s="9">
        <f>'ODOMETERS Halba'!$E176+'ODOMETERS Halba'!$F176-F175-E175</f>
        <v>926</v>
      </c>
      <c r="L176" s="9">
        <f>'ODOMETERS Halba'!$G176+'ODOMETERS Halba'!$H176-H175-G175</f>
        <v>206</v>
      </c>
      <c r="M176" s="9">
        <f>'ODOMETERS Halba'!$J176+'ODOMETERS Halba'!$K176+'ODOMETERS Halba'!$L176</f>
        <v>2522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12">
        <v>46100</v>
      </c>
      <c r="B177" s="5" t="s">
        <v>25</v>
      </c>
      <c r="C177" s="5">
        <v>211507</v>
      </c>
      <c r="D177" s="5">
        <v>76659</v>
      </c>
      <c r="E177" s="5">
        <v>169609</v>
      </c>
      <c r="F177" s="5">
        <v>44166</v>
      </c>
      <c r="G177" s="5">
        <v>6738085</v>
      </c>
      <c r="H177" s="5">
        <v>6482844</v>
      </c>
      <c r="I177" s="5"/>
      <c r="J177" s="9">
        <f>'ODOMETERS Halba'!$C177+'ODOMETERS Halba'!$D177-D176-C176</f>
        <v>1191</v>
      </c>
      <c r="K177" s="9">
        <f>'ODOMETERS Halba'!$E177+'ODOMETERS Halba'!$F177-F176-E176</f>
        <v>1057</v>
      </c>
      <c r="L177" s="9">
        <f>'ODOMETERS Halba'!$G177+'ODOMETERS Halba'!$H177-H176-G176</f>
        <v>386</v>
      </c>
      <c r="M177" s="9">
        <f>'ODOMETERS Halba'!$J177+'ODOMETERS Halba'!$K177+'ODOMETERS Halba'!$L177</f>
        <v>2634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12">
        <v>46101</v>
      </c>
      <c r="B178" s="5"/>
      <c r="C178" s="5">
        <v>213234</v>
      </c>
      <c r="D178" s="5">
        <v>77149</v>
      </c>
      <c r="E178" s="5">
        <v>171498</v>
      </c>
      <c r="F178" s="5">
        <v>44451</v>
      </c>
      <c r="G178" s="5">
        <v>6738537</v>
      </c>
      <c r="H178" s="5">
        <v>6483021</v>
      </c>
      <c r="I178" s="5"/>
      <c r="J178" s="9">
        <f>'ODOMETERS Halba'!$C178+'ODOMETERS Halba'!$D178-D177-C177</f>
        <v>2217</v>
      </c>
      <c r="K178" s="9">
        <f>'ODOMETERS Halba'!$E178+'ODOMETERS Halba'!$F178-F177-E177</f>
        <v>2174</v>
      </c>
      <c r="L178" s="9">
        <f>'ODOMETERS Halba'!$G178+'ODOMETERS Halba'!$H178-H177-G177</f>
        <v>629</v>
      </c>
      <c r="M178" s="9">
        <f>'ODOMETERS Halba'!$J178+'ODOMETERS Halba'!$K178+'ODOMETERS Halba'!$L178</f>
        <v>5020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12">
        <v>46102</v>
      </c>
      <c r="B179" s="5"/>
      <c r="C179" s="5">
        <v>215562</v>
      </c>
      <c r="D179" s="5">
        <v>77565</v>
      </c>
      <c r="E179" s="5">
        <v>172871</v>
      </c>
      <c r="F179" s="5">
        <v>44745</v>
      </c>
      <c r="G179" s="5">
        <v>6738943</v>
      </c>
      <c r="H179" s="5">
        <v>6483239</v>
      </c>
      <c r="I179" s="5"/>
      <c r="J179" s="9">
        <f>'ODOMETERS Halba'!$C179+'ODOMETERS Halba'!$D179-D178-C178</f>
        <v>2744</v>
      </c>
      <c r="K179" s="9">
        <f>'ODOMETERS Halba'!$E179+'ODOMETERS Halba'!$F179-F178-E178</f>
        <v>1667</v>
      </c>
      <c r="L179" s="9">
        <f>'ODOMETERS Halba'!$G179+'ODOMETERS Halba'!$H179-H178-G178</f>
        <v>624</v>
      </c>
      <c r="M179" s="9">
        <f>'ODOMETERS Halba'!$J179+'ODOMETERS Halba'!$K179+'ODOMETERS Halba'!$L179</f>
        <v>5035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12">
        <v>46103</v>
      </c>
      <c r="B180" s="5"/>
      <c r="C180" s="5">
        <v>217098</v>
      </c>
      <c r="D180" s="5">
        <v>78036</v>
      </c>
      <c r="E180" s="5">
        <v>174523</v>
      </c>
      <c r="F180" s="5">
        <v>45070</v>
      </c>
      <c r="G180" s="5">
        <v>6739333</v>
      </c>
      <c r="H180" s="5">
        <v>6483336</v>
      </c>
      <c r="I180" s="5"/>
      <c r="J180" s="9">
        <f>'ODOMETERS Halba'!$C180+'ODOMETERS Halba'!$D180-D179-C179</f>
        <v>2007</v>
      </c>
      <c r="K180" s="9">
        <f>'ODOMETERS Halba'!$E180+'ODOMETERS Halba'!$F180-F179-E179</f>
        <v>1977</v>
      </c>
      <c r="L180" s="9">
        <f>'ODOMETERS Halba'!$G180+'ODOMETERS Halba'!$H180-H179-G179</f>
        <v>487</v>
      </c>
      <c r="M180" s="9">
        <f>'ODOMETERS Halba'!$J180+'ODOMETERS Halba'!$K180+'ODOMETERS Halba'!$L180</f>
        <v>4471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12">
        <v>46104</v>
      </c>
      <c r="B181" s="5"/>
      <c r="C181" s="5">
        <v>218824</v>
      </c>
      <c r="D181" s="5">
        <v>78440</v>
      </c>
      <c r="E181" s="5">
        <v>176293</v>
      </c>
      <c r="F181" s="5">
        <v>45319</v>
      </c>
      <c r="G181" s="5">
        <v>6739691</v>
      </c>
      <c r="H181" s="5">
        <v>6483512</v>
      </c>
      <c r="I181" s="5"/>
      <c r="J181" s="9">
        <f>'ODOMETERS Halba'!$C181+'ODOMETERS Halba'!$D181-D180-C180</f>
        <v>2130</v>
      </c>
      <c r="K181" s="9">
        <f>'ODOMETERS Halba'!$E181+'ODOMETERS Halba'!$F181-F180-E180</f>
        <v>2019</v>
      </c>
      <c r="L181" s="9">
        <f>'ODOMETERS Halba'!$G181+'ODOMETERS Halba'!$H181-H180-G180</f>
        <v>534</v>
      </c>
      <c r="M181" s="9">
        <f>'ODOMETERS Halba'!$J181+'ODOMETERS Halba'!$K181+'ODOMETERS Halba'!$L181</f>
        <v>4683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12">
        <v>46105</v>
      </c>
      <c r="B182" s="5" t="s">
        <v>24</v>
      </c>
      <c r="C182" s="5">
        <v>219438</v>
      </c>
      <c r="D182" s="5">
        <v>78567</v>
      </c>
      <c r="E182" s="5">
        <v>176714</v>
      </c>
      <c r="F182" s="5">
        <v>45430</v>
      </c>
      <c r="G182" s="5">
        <v>6739825</v>
      </c>
      <c r="H182" s="5">
        <v>6483626</v>
      </c>
      <c r="I182" s="5"/>
      <c r="J182" s="9">
        <f>'ODOMETERS Halba'!$C182+'ODOMETERS Halba'!$D182-D181-C181</f>
        <v>741</v>
      </c>
      <c r="K182" s="9">
        <f>'ODOMETERS Halba'!$E182+'ODOMETERS Halba'!$F182-F181-E181</f>
        <v>532</v>
      </c>
      <c r="L182" s="9">
        <f>'ODOMETERS Halba'!$G182+'ODOMETERS Halba'!$H182-H181-G181</f>
        <v>248</v>
      </c>
      <c r="M182" s="9">
        <f>'ODOMETERS Halba'!$J182+'ODOMETERS Halba'!$K182+'ODOMETERS Halba'!$L182</f>
        <v>1521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12">
        <v>46105</v>
      </c>
      <c r="B183" s="5" t="s">
        <v>25</v>
      </c>
      <c r="C183" s="5">
        <v>220294</v>
      </c>
      <c r="D183" s="5">
        <v>78764</v>
      </c>
      <c r="E183" s="5">
        <v>177211</v>
      </c>
      <c r="F183" s="5">
        <v>45517</v>
      </c>
      <c r="G183" s="5">
        <v>6740113</v>
      </c>
      <c r="H183" s="5">
        <v>6483756</v>
      </c>
      <c r="I183" s="5"/>
      <c r="J183" s="9">
        <f>'ODOMETERS Halba'!$C183+'ODOMETERS Halba'!$D183-D182-C182</f>
        <v>1053</v>
      </c>
      <c r="K183" s="9">
        <f>'ODOMETERS Halba'!$E183+'ODOMETERS Halba'!$F183-F182-E182</f>
        <v>584</v>
      </c>
      <c r="L183" s="9">
        <f>'ODOMETERS Halba'!$G183+'ODOMETERS Halba'!$H183-H182-G182</f>
        <v>418</v>
      </c>
      <c r="M183" s="9">
        <f>'ODOMETERS Halba'!$J183+'ODOMETERS Halba'!$K183+'ODOMETERS Halba'!$L183</f>
        <v>2055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12">
        <v>46106</v>
      </c>
      <c r="B184" s="5"/>
      <c r="C184" s="5">
        <v>221365</v>
      </c>
      <c r="D184" s="5">
        <v>79085</v>
      </c>
      <c r="E184" s="5">
        <v>178300</v>
      </c>
      <c r="F184" s="5">
        <v>45649</v>
      </c>
      <c r="G184" s="5">
        <v>6740467</v>
      </c>
      <c r="H184" s="5">
        <v>6483906</v>
      </c>
      <c r="I184" s="5"/>
      <c r="J184" s="9">
        <f>'ODOMETERS Halba'!$C184+'ODOMETERS Halba'!$D184-D183-C183</f>
        <v>1392</v>
      </c>
      <c r="K184" s="9">
        <f>'ODOMETERS Halba'!$E184+'ODOMETERS Halba'!$F184-F183-E183</f>
        <v>1221</v>
      </c>
      <c r="L184" s="9">
        <f>'ODOMETERS Halba'!$G184+'ODOMETERS Halba'!$H184-H183-G183</f>
        <v>504</v>
      </c>
      <c r="M184" s="9">
        <f>'ODOMETERS Halba'!$J184+'ODOMETERS Halba'!$K184+'ODOMETERS Halba'!$L184</f>
        <v>3117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12">
        <v>46107</v>
      </c>
      <c r="B185" s="5"/>
      <c r="C185" s="5">
        <v>222714</v>
      </c>
      <c r="D185" s="5">
        <v>79412</v>
      </c>
      <c r="E185" s="5">
        <v>179018</v>
      </c>
      <c r="F185" s="5">
        <v>45892</v>
      </c>
      <c r="G185" s="5">
        <v>6741911</v>
      </c>
      <c r="H185" s="5">
        <v>6484175</v>
      </c>
      <c r="I185" s="5"/>
      <c r="J185" s="9">
        <f>'ODOMETERS Halba'!$C185+'ODOMETERS Halba'!$D185-D184-C184</f>
        <v>1676</v>
      </c>
      <c r="K185" s="9">
        <f>'ODOMETERS Halba'!$E185+'ODOMETERS Halba'!$F185-F184-E184</f>
        <v>961</v>
      </c>
      <c r="L185" s="9">
        <f>'ODOMETERS Halba'!$G185+'ODOMETERS Halba'!$H185-H184-G184</f>
        <v>1713</v>
      </c>
      <c r="M185" s="9">
        <f>'ODOMETERS Halba'!$J185+'ODOMETERS Halba'!$K185+'ODOMETERS Halba'!$L185</f>
        <v>4350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12">
        <v>46108</v>
      </c>
      <c r="B186" s="5" t="s">
        <v>24</v>
      </c>
      <c r="C186" s="5">
        <v>223189</v>
      </c>
      <c r="D186" s="5">
        <v>79597</v>
      </c>
      <c r="E186" s="5">
        <v>179535</v>
      </c>
      <c r="F186" s="5">
        <v>46008</v>
      </c>
      <c r="G186" s="5">
        <v>6745340</v>
      </c>
      <c r="H186" s="5">
        <v>6484260</v>
      </c>
      <c r="I186" s="5"/>
      <c r="J186" s="9">
        <f>'ODOMETERS Halba'!$C186+'ODOMETERS Halba'!$D186-D185-C185</f>
        <v>660</v>
      </c>
      <c r="K186" s="9">
        <f>'ODOMETERS Halba'!$E186+'ODOMETERS Halba'!$F186-F185-E185</f>
        <v>633</v>
      </c>
      <c r="L186" s="9">
        <f>'ODOMETERS Halba'!$G186+'ODOMETERS Halba'!$H186-H185-G185</f>
        <v>3514</v>
      </c>
      <c r="M186" s="9">
        <f>'ODOMETERS Halba'!$J186+'ODOMETERS Halba'!$K186+'ODOMETERS Halba'!$L186</f>
        <v>4807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12">
        <v>46108</v>
      </c>
      <c r="B187" s="5" t="s">
        <v>25</v>
      </c>
      <c r="C187" s="5">
        <v>223916</v>
      </c>
      <c r="D187" s="5">
        <v>79748</v>
      </c>
      <c r="E187" s="5">
        <v>180094</v>
      </c>
      <c r="F187" s="5">
        <v>46236</v>
      </c>
      <c r="G187" s="5">
        <v>6749699</v>
      </c>
      <c r="H187" s="5">
        <v>6484338</v>
      </c>
      <c r="I187" s="5"/>
      <c r="J187" s="9">
        <f>'ODOMETERS Halba'!$C187+'ODOMETERS Halba'!$D187-D186-C186</f>
        <v>878</v>
      </c>
      <c r="K187" s="9">
        <f>'ODOMETERS Halba'!$E187+'ODOMETERS Halba'!$F187-F186-E186</f>
        <v>787</v>
      </c>
      <c r="L187" s="9">
        <f>'ODOMETERS Halba'!$G187+'ODOMETERS Halba'!$H187-H186-G186</f>
        <v>4437</v>
      </c>
      <c r="M187" s="9">
        <f>'ODOMETERS Halba'!$J187+'ODOMETERS Halba'!$K187+'ODOMETERS Halba'!$L187</f>
        <v>6102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12">
        <v>46109</v>
      </c>
      <c r="B188" s="5"/>
      <c r="C188" s="5">
        <v>225387</v>
      </c>
      <c r="D188" s="5">
        <v>80172</v>
      </c>
      <c r="E188" s="5">
        <v>181184</v>
      </c>
      <c r="F188" s="5">
        <v>46455</v>
      </c>
      <c r="G188" s="5">
        <v>6749978</v>
      </c>
      <c r="H188" s="5">
        <v>6484485</v>
      </c>
      <c r="I188" s="5"/>
      <c r="J188" s="9">
        <f>'ODOMETERS Halba'!$C188+'ODOMETERS Halba'!$D188-D187-C187</f>
        <v>1895</v>
      </c>
      <c r="K188" s="9">
        <f>'ODOMETERS Halba'!$E188+'ODOMETERS Halba'!$F188-F187-E187</f>
        <v>1309</v>
      </c>
      <c r="L188" s="9">
        <f>'ODOMETERS Halba'!$G188+'ODOMETERS Halba'!$H188-H187-G187</f>
        <v>426</v>
      </c>
      <c r="M188" s="9">
        <f>'ODOMETERS Halba'!$J188+'ODOMETERS Halba'!$K188+'ODOMETERS Halba'!$L188</f>
        <v>3630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12">
        <v>46110</v>
      </c>
      <c r="B189" s="5"/>
      <c r="C189" s="5">
        <v>226508</v>
      </c>
      <c r="D189" s="5">
        <v>80443</v>
      </c>
      <c r="E189" s="5">
        <v>182311</v>
      </c>
      <c r="F189" s="5">
        <v>47079</v>
      </c>
      <c r="G189" s="5">
        <v>6750157</v>
      </c>
      <c r="H189" s="5">
        <v>6484550</v>
      </c>
      <c r="I189" s="5"/>
      <c r="J189" s="9">
        <f>'ODOMETERS Halba'!$C189+'ODOMETERS Halba'!$D189-D188-C188</f>
        <v>1392</v>
      </c>
      <c r="K189" s="9">
        <f>'ODOMETERS Halba'!$E189+'ODOMETERS Halba'!$F189-F188-E188</f>
        <v>1751</v>
      </c>
      <c r="L189" s="9">
        <f>'ODOMETERS Halba'!$G189+'ODOMETERS Halba'!$H189-H188-G188</f>
        <v>244</v>
      </c>
      <c r="M189" s="9">
        <f>'ODOMETERS Halba'!$J189+'ODOMETERS Halba'!$K189+'ODOMETERS Halba'!$L189</f>
        <v>3387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12">
        <v>46111</v>
      </c>
      <c r="B190" s="5"/>
      <c r="C190" s="5">
        <v>227746</v>
      </c>
      <c r="D190" s="5">
        <v>80733</v>
      </c>
      <c r="E190" s="5">
        <v>183489</v>
      </c>
      <c r="F190" s="5">
        <v>47347</v>
      </c>
      <c r="G190" s="5">
        <v>6750650</v>
      </c>
      <c r="H190" s="5">
        <v>6484738</v>
      </c>
      <c r="I190" s="5"/>
      <c r="J190" s="9">
        <f>'ODOMETERS Halba'!$C190+'ODOMETERS Halba'!$D190-D189-C189</f>
        <v>1528</v>
      </c>
      <c r="K190" s="9">
        <f>'ODOMETERS Halba'!$E190+'ODOMETERS Halba'!$F190-F189-E189</f>
        <v>1446</v>
      </c>
      <c r="L190" s="9">
        <f>'ODOMETERS Halba'!$G190+'ODOMETERS Halba'!$H190-H189-G189</f>
        <v>681</v>
      </c>
      <c r="M190" s="9">
        <f>'ODOMETERS Halba'!$J190+'ODOMETERS Halba'!$K190+'ODOMETERS Halba'!$L190</f>
        <v>3655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12">
        <v>46112</v>
      </c>
      <c r="B191" s="5" t="s">
        <v>24</v>
      </c>
      <c r="C191" s="5">
        <v>228583</v>
      </c>
      <c r="D191" s="5">
        <v>80925</v>
      </c>
      <c r="E191" s="5">
        <v>184260</v>
      </c>
      <c r="F191" s="5">
        <v>47426</v>
      </c>
      <c r="G191" s="5">
        <v>6750838</v>
      </c>
      <c r="H191" s="5">
        <v>6484871</v>
      </c>
      <c r="I191" s="5"/>
      <c r="J191" s="9">
        <f>'ODOMETERS Halba'!$C191+'ODOMETERS Halba'!$D191-D190-C190</f>
        <v>1029</v>
      </c>
      <c r="K191" s="9">
        <f>'ODOMETERS Halba'!$E191+'ODOMETERS Halba'!$F191-F190-E190</f>
        <v>850</v>
      </c>
      <c r="L191" s="9">
        <f>'ODOMETERS Halba'!$G191+'ODOMETERS Halba'!$H191-H190-G190</f>
        <v>321</v>
      </c>
      <c r="M191" s="9">
        <f>'ODOMETERS Halba'!$J191+'ODOMETERS Halba'!$K191+'ODOMETERS Halba'!$L191</f>
        <v>2200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12">
        <v>46112</v>
      </c>
      <c r="B192" s="5" t="s">
        <v>25</v>
      </c>
      <c r="C192" s="5">
        <v>229578</v>
      </c>
      <c r="D192" s="5">
        <v>81125</v>
      </c>
      <c r="E192" s="5">
        <v>185246</v>
      </c>
      <c r="F192" s="5">
        <v>47567</v>
      </c>
      <c r="G192" s="5">
        <v>6751351</v>
      </c>
      <c r="H192" s="5">
        <v>6484895</v>
      </c>
      <c r="I192" s="5"/>
      <c r="J192" s="9">
        <f>'ODOMETERS Halba'!$C192+'ODOMETERS Halba'!$D192-D191-C191</f>
        <v>1195</v>
      </c>
      <c r="K192" s="9">
        <f>'ODOMETERS Halba'!$E192+'ODOMETERS Halba'!$F192-F191-E191</f>
        <v>1127</v>
      </c>
      <c r="L192" s="9">
        <f>'ODOMETERS Halba'!$G192+'ODOMETERS Halba'!$H192-H191-G191</f>
        <v>537</v>
      </c>
      <c r="M192" s="9">
        <f>'ODOMETERS Halba'!$J192+'ODOMETERS Halba'!$K192+'ODOMETERS Halba'!$L192</f>
        <v>2859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12">
        <v>46113</v>
      </c>
      <c r="B193" s="5"/>
      <c r="C193" s="5">
        <v>230771</v>
      </c>
      <c r="D193" s="5">
        <v>81435</v>
      </c>
      <c r="E193" s="5">
        <v>186791</v>
      </c>
      <c r="F193" s="5">
        <v>47824</v>
      </c>
      <c r="G193" s="5">
        <v>6751853</v>
      </c>
      <c r="H193" s="5">
        <v>6485013</v>
      </c>
      <c r="I193" s="5"/>
      <c r="J193" s="9">
        <f>'ODOMETERS Halba'!$C193+'ODOMETERS Halba'!$D193-D192-C192</f>
        <v>1503</v>
      </c>
      <c r="K193" s="9">
        <f>'ODOMETERS Halba'!$E193+'ODOMETERS Halba'!$F193-F192-E192</f>
        <v>1802</v>
      </c>
      <c r="L193" s="9">
        <f>'ODOMETERS Halba'!$G193+'ODOMETERS Halba'!$H193-H192-G192</f>
        <v>620</v>
      </c>
      <c r="M193" s="9">
        <f>'ODOMETERS Halba'!$J193+'ODOMETERS Halba'!$K193+'ODOMETERS Halba'!$L193</f>
        <v>3925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12">
        <v>46114</v>
      </c>
      <c r="B194" s="5" t="s">
        <v>24</v>
      </c>
      <c r="C194" s="5">
        <v>231315</v>
      </c>
      <c r="D194" s="5">
        <v>81667</v>
      </c>
      <c r="E194" s="5">
        <v>187296</v>
      </c>
      <c r="F194" s="5">
        <v>47944</v>
      </c>
      <c r="G194" s="5">
        <v>6751988</v>
      </c>
      <c r="H194" s="5">
        <v>6485105</v>
      </c>
      <c r="I194" s="5"/>
      <c r="J194" s="9">
        <f>'ODOMETERS Halba'!$C194+'ODOMETERS Halba'!$D194-D193-C193</f>
        <v>776</v>
      </c>
      <c r="K194" s="9">
        <f>'ODOMETERS Halba'!$E194+'ODOMETERS Halba'!$F194-F193-E193</f>
        <v>625</v>
      </c>
      <c r="L194" s="9">
        <f>'ODOMETERS Halba'!$G194+'ODOMETERS Halba'!$H194-H193-G193</f>
        <v>227</v>
      </c>
      <c r="M194" s="9">
        <f>'ODOMETERS Halba'!$J194+'ODOMETERS Halba'!$K194+'ODOMETERS Halba'!$L194</f>
        <v>1628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12">
        <v>46114</v>
      </c>
      <c r="B195" s="5" t="s">
        <v>25</v>
      </c>
      <c r="C195" s="5">
        <v>232025</v>
      </c>
      <c r="D195" s="5">
        <v>81809</v>
      </c>
      <c r="E195" s="5">
        <v>188058</v>
      </c>
      <c r="F195" s="5">
        <v>48131</v>
      </c>
      <c r="G195" s="5">
        <v>6752323</v>
      </c>
      <c r="H195" s="5">
        <v>6485199</v>
      </c>
      <c r="I195" s="5"/>
      <c r="J195" s="9">
        <f>'ODOMETERS Halba'!$C195+'ODOMETERS Halba'!$D195-D194-C194</f>
        <v>852</v>
      </c>
      <c r="K195" s="9">
        <f>'ODOMETERS Halba'!$E195+'ODOMETERS Halba'!$F195-F194-E194</f>
        <v>949</v>
      </c>
      <c r="L195" s="9">
        <f>'ODOMETERS Halba'!$G195+'ODOMETERS Halba'!$H195-H194-G194</f>
        <v>429</v>
      </c>
      <c r="M195" s="9">
        <f>'ODOMETERS Halba'!$J195+'ODOMETERS Halba'!$K195+'ODOMETERS Halba'!$L195</f>
        <v>2230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12">
        <v>46115</v>
      </c>
      <c r="B196" s="5"/>
      <c r="C196" s="5">
        <v>233125</v>
      </c>
      <c r="D196" s="5">
        <v>82048</v>
      </c>
      <c r="E196" s="5">
        <v>189431</v>
      </c>
      <c r="F196" s="5">
        <v>48413</v>
      </c>
      <c r="G196" s="5">
        <v>271</v>
      </c>
      <c r="H196" s="5">
        <v>238</v>
      </c>
      <c r="I196" s="5"/>
      <c r="J196" s="9">
        <f>'ODOMETERS Halba'!$C196+'ODOMETERS Halba'!$D196-D195-C195</f>
        <v>1339</v>
      </c>
      <c r="K196" s="9">
        <f>'ODOMETERS Halba'!$E196+'ODOMETERS Halba'!$F196-F195-E195</f>
        <v>1655</v>
      </c>
      <c r="L196" s="9">
        <f>271+238+228-230-172</f>
        <v>335</v>
      </c>
      <c r="M196" s="9">
        <f>'ODOMETERS Halba'!$J196+'ODOMETERS Halba'!$K196+'ODOMETERS Halba'!$L196</f>
        <v>3329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12">
        <v>46116</v>
      </c>
      <c r="B197" s="5"/>
      <c r="C197" s="5">
        <v>233504</v>
      </c>
      <c r="D197" s="5">
        <v>82111</v>
      </c>
      <c r="E197" s="5">
        <v>191812</v>
      </c>
      <c r="F197" s="5">
        <v>48875</v>
      </c>
      <c r="G197" s="5">
        <v>931</v>
      </c>
      <c r="H197" s="5">
        <v>312</v>
      </c>
      <c r="I197" s="5"/>
      <c r="J197" s="9">
        <f>'ODOMETERS Halba'!$C197+'ODOMETERS Halba'!$D197-D196-C196</f>
        <v>442</v>
      </c>
      <c r="K197" s="9">
        <f>'ODOMETERS Halba'!$E197+'ODOMETERS Halba'!$F197-F196-E196</f>
        <v>2843</v>
      </c>
      <c r="L197" s="9">
        <f>'ODOMETERS Halba'!$G197+'ODOMETERS Halba'!$H197-H196-G196</f>
        <v>734</v>
      </c>
      <c r="M197" s="9">
        <f>'ODOMETERS Halba'!$J197+'ODOMETERS Halba'!$K197+'ODOMETERS Halba'!$L197</f>
        <v>4019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12">
        <v>46117</v>
      </c>
      <c r="B198" s="5"/>
      <c r="C198" s="5">
        <v>233776</v>
      </c>
      <c r="D198" s="5">
        <v>82182</v>
      </c>
      <c r="E198" s="5">
        <v>194417</v>
      </c>
      <c r="F198" s="5">
        <v>49341</v>
      </c>
      <c r="G198" s="5">
        <v>1038</v>
      </c>
      <c r="H198" s="5">
        <v>410</v>
      </c>
      <c r="I198" s="5"/>
      <c r="J198" s="9">
        <f>'ODOMETERS Halba'!$C198+'ODOMETERS Halba'!$D198-D197-C197</f>
        <v>343</v>
      </c>
      <c r="K198" s="9">
        <f>'ODOMETERS Halba'!$E198+'ODOMETERS Halba'!$F198-F197-E197</f>
        <v>3071</v>
      </c>
      <c r="L198" s="9">
        <f>'ODOMETERS Halba'!$G198+'ODOMETERS Halba'!$H198-H197-G197</f>
        <v>205</v>
      </c>
      <c r="M198" s="9">
        <f>'ODOMETERS Halba'!$J198+'ODOMETERS Halba'!$K198+'ODOMETERS Halba'!$L198</f>
        <v>3619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12">
        <v>46118</v>
      </c>
      <c r="B199" s="5"/>
      <c r="C199" s="5">
        <v>234277</v>
      </c>
      <c r="D199" s="5">
        <v>82340</v>
      </c>
      <c r="E199" s="5">
        <v>196402</v>
      </c>
      <c r="F199" s="5">
        <v>49924</v>
      </c>
      <c r="G199" s="5">
        <v>1337</v>
      </c>
      <c r="H199" s="5">
        <v>500</v>
      </c>
      <c r="I199" s="5"/>
      <c r="J199" s="9">
        <f>'ODOMETERS Halba'!$C199+'ODOMETERS Halba'!$D199-D198-C198</f>
        <v>659</v>
      </c>
      <c r="K199" s="9">
        <f>'ODOMETERS Halba'!$E199+'ODOMETERS Halba'!$F199-F198-E198</f>
        <v>2568</v>
      </c>
      <c r="L199" s="9">
        <f>'ODOMETERS Halba'!$G199+'ODOMETERS Halba'!$H199-H198-G198</f>
        <v>389</v>
      </c>
      <c r="M199" s="9">
        <f>'ODOMETERS Halba'!$J199+'ODOMETERS Halba'!$K199+'ODOMETERS Halba'!$L199</f>
        <v>3616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12">
        <v>46119</v>
      </c>
      <c r="B200" s="5" t="s">
        <v>24</v>
      </c>
      <c r="C200" s="5">
        <v>235018</v>
      </c>
      <c r="D200" s="5">
        <v>82499</v>
      </c>
      <c r="E200" s="5">
        <v>196847</v>
      </c>
      <c r="F200" s="5">
        <v>50066</v>
      </c>
      <c r="G200" s="5">
        <v>1534</v>
      </c>
      <c r="H200" s="5">
        <v>629</v>
      </c>
      <c r="I200" s="5"/>
      <c r="J200" s="9">
        <f>'ODOMETERS Halba'!$C200+'ODOMETERS Halba'!$D200-D199-C199</f>
        <v>900</v>
      </c>
      <c r="K200" s="9">
        <f>'ODOMETERS Halba'!$E200+'ODOMETERS Halba'!$F200-F199-E199</f>
        <v>587</v>
      </c>
      <c r="L200" s="9">
        <f>'ODOMETERS Halba'!$G200+'ODOMETERS Halba'!$H200-H199-G199</f>
        <v>326</v>
      </c>
      <c r="M200" s="9">
        <f>'ODOMETERS Halba'!$J200+'ODOMETERS Halba'!$K200+'ODOMETERS Halba'!$L200</f>
        <v>1813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12">
        <v>46119</v>
      </c>
      <c r="B201" s="5" t="s">
        <v>25</v>
      </c>
      <c r="C201" s="5">
        <v>235735</v>
      </c>
      <c r="D201" s="5">
        <v>82627</v>
      </c>
      <c r="E201" s="5">
        <v>197581</v>
      </c>
      <c r="F201" s="5">
        <v>50135</v>
      </c>
      <c r="G201" s="5">
        <v>1862</v>
      </c>
      <c r="H201" s="5">
        <v>964</v>
      </c>
      <c r="I201" s="5"/>
      <c r="J201" s="9">
        <f>'ODOMETERS Halba'!$C201+'ODOMETERS Halba'!$D201-D200-C200</f>
        <v>845</v>
      </c>
      <c r="K201" s="9">
        <f>'ODOMETERS Halba'!$E201+'ODOMETERS Halba'!$F201-F200-E200</f>
        <v>803</v>
      </c>
      <c r="L201" s="9">
        <f>'ODOMETERS Halba'!$G201+'ODOMETERS Halba'!$H201-H200-G200</f>
        <v>663</v>
      </c>
      <c r="M201" s="9">
        <f>'ODOMETERS Halba'!$J201+'ODOMETERS Halba'!$K201+'ODOMETERS Halba'!$L201</f>
        <v>2311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12">
        <v>46120</v>
      </c>
      <c r="B202" s="5"/>
      <c r="C202" s="5">
        <v>236918</v>
      </c>
      <c r="D202" s="5">
        <v>82880</v>
      </c>
      <c r="E202" s="5">
        <v>200368</v>
      </c>
      <c r="F202" s="5">
        <v>51894</v>
      </c>
      <c r="G202" s="5">
        <v>2252</v>
      </c>
      <c r="H202" s="5">
        <v>1102</v>
      </c>
      <c r="I202" s="5"/>
      <c r="J202" s="9">
        <f>'ODOMETERS Halba'!$C202+'ODOMETERS Halba'!$D202-D201-C201</f>
        <v>1436</v>
      </c>
      <c r="K202" s="9">
        <f>'ODOMETERS Halba'!$E202+'ODOMETERS Halba'!$F202-F201-E201</f>
        <v>4546</v>
      </c>
      <c r="L202" s="9">
        <f>'ODOMETERS Halba'!$G202+'ODOMETERS Halba'!$H202-H201-G201</f>
        <v>528</v>
      </c>
      <c r="M202" s="9">
        <f>'ODOMETERS Halba'!$J202+'ODOMETERS Halba'!$K202+'ODOMETERS Halba'!$L202</f>
        <v>6510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12">
        <v>46121</v>
      </c>
      <c r="B203" s="5"/>
      <c r="C203" s="5">
        <v>238616</v>
      </c>
      <c r="D203" s="5">
        <v>83226</v>
      </c>
      <c r="E203" s="5">
        <v>201814</v>
      </c>
      <c r="F203" s="5">
        <v>53019</v>
      </c>
      <c r="G203" s="5">
        <v>2395</v>
      </c>
      <c r="H203" s="5">
        <v>1171</v>
      </c>
      <c r="I203" s="5"/>
      <c r="J203" s="9">
        <f>'ODOMETERS Halba'!$C203+'ODOMETERS Halba'!$D203-D202-C202</f>
        <v>2044</v>
      </c>
      <c r="K203" s="9">
        <f>'ODOMETERS Halba'!$E203+'ODOMETERS Halba'!$F203-F202-E202</f>
        <v>2571</v>
      </c>
      <c r="L203" s="9">
        <f>'ODOMETERS Halba'!$G203+'ODOMETERS Halba'!$H203-H202-G202</f>
        <v>212</v>
      </c>
      <c r="M203" s="9">
        <f>'ODOMETERS Halba'!$J203+'ODOMETERS Halba'!$K203+'ODOMETERS Halba'!$L203</f>
        <v>4827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12">
        <v>46122</v>
      </c>
      <c r="B204" s="5"/>
      <c r="C204" s="5">
        <v>240529</v>
      </c>
      <c r="D204" s="5">
        <v>84336</v>
      </c>
      <c r="E204" s="5">
        <v>203095</v>
      </c>
      <c r="F204" s="5">
        <v>53370</v>
      </c>
      <c r="G204" s="5">
        <v>2874</v>
      </c>
      <c r="H204" s="5">
        <v>1272</v>
      </c>
      <c r="I204" s="5"/>
      <c r="J204" s="9">
        <f>'ODOMETERS Halba'!$C204+'ODOMETERS Halba'!$D204-D203-C203</f>
        <v>3023</v>
      </c>
      <c r="K204" s="9">
        <f>'ODOMETERS Halba'!$E204+'ODOMETERS Halba'!$F204-F203-E203</f>
        <v>1632</v>
      </c>
      <c r="L204" s="9">
        <f>'ODOMETERS Halba'!$G204+'ODOMETERS Halba'!$H204-H203-G203</f>
        <v>580</v>
      </c>
      <c r="M204" s="9">
        <f>'ODOMETERS Halba'!$J204+'ODOMETERS Halba'!$K204+'ODOMETERS Halba'!$L204</f>
        <v>5235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12">
        <v>46123</v>
      </c>
      <c r="B205" s="5"/>
      <c r="C205" s="5">
        <v>242067</v>
      </c>
      <c r="D205" s="5">
        <v>84714</v>
      </c>
      <c r="E205" s="5">
        <v>204272</v>
      </c>
      <c r="F205" s="5">
        <v>53579</v>
      </c>
      <c r="G205" s="5">
        <v>6010</v>
      </c>
      <c r="H205" s="5">
        <v>1360</v>
      </c>
      <c r="I205" s="5"/>
      <c r="J205" s="9">
        <f>'ODOMETERS Halba'!$C205+'ODOMETERS Halba'!$D205-D204-C204</f>
        <v>1916</v>
      </c>
      <c r="K205" s="9">
        <f>'ODOMETERS Halba'!$E205+'ODOMETERS Halba'!$F205-F204-E204</f>
        <v>1386</v>
      </c>
      <c r="L205" s="9">
        <f>'ODOMETERS Halba'!$G205+'ODOMETERS Halba'!$H205-H204-G204</f>
        <v>3224</v>
      </c>
      <c r="M205" s="9">
        <f>'ODOMETERS Halba'!$J205+'ODOMETERS Halba'!$K205+'ODOMETERS Halba'!$L205</f>
        <v>6526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12">
        <v>46124</v>
      </c>
      <c r="B206" s="5"/>
      <c r="C206" s="5">
        <v>243452</v>
      </c>
      <c r="D206" s="5">
        <v>85058</v>
      </c>
      <c r="E206" s="5">
        <v>205351</v>
      </c>
      <c r="F206" s="5">
        <v>53711</v>
      </c>
      <c r="G206" s="5">
        <v>6143</v>
      </c>
      <c r="H206" s="5">
        <v>1445</v>
      </c>
      <c r="I206" s="5"/>
      <c r="J206" s="9">
        <f>'ODOMETERS Halba'!$C206+'ODOMETERS Halba'!$D206-D205-C205</f>
        <v>1729</v>
      </c>
      <c r="K206" s="9">
        <f>'ODOMETERS Halba'!$E206+'ODOMETERS Halba'!$F206-F205-E205</f>
        <v>1211</v>
      </c>
      <c r="L206" s="9">
        <f>'ODOMETERS Halba'!$G206+'ODOMETERS Halba'!$H206-H205-G205</f>
        <v>218</v>
      </c>
      <c r="M206" s="9">
        <f>'ODOMETERS Halba'!$J206+'ODOMETERS Halba'!$K206+'ODOMETERS Halba'!$L206</f>
        <v>3158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12">
        <v>46125</v>
      </c>
      <c r="B207" s="5"/>
      <c r="C207" s="5">
        <v>244889</v>
      </c>
      <c r="D207" s="5">
        <v>85430</v>
      </c>
      <c r="E207" s="5">
        <v>206746</v>
      </c>
      <c r="F207" s="5">
        <v>53952</v>
      </c>
      <c r="G207" s="5">
        <v>7561</v>
      </c>
      <c r="H207" s="5">
        <v>1566</v>
      </c>
      <c r="I207" s="5"/>
      <c r="J207" s="9">
        <f>'ODOMETERS Halba'!$C207+'ODOMETERS Halba'!$D207-D206-C206</f>
        <v>1809</v>
      </c>
      <c r="K207" s="9">
        <f>'ODOMETERS Halba'!$E207+'ODOMETERS Halba'!$F207-F206-E206</f>
        <v>1636</v>
      </c>
      <c r="L207" s="9">
        <f>'ODOMETERS Halba'!$G207+'ODOMETERS Halba'!$H207-H206-G206</f>
        <v>1539</v>
      </c>
      <c r="M207" s="9">
        <f>'ODOMETERS Halba'!$J207+'ODOMETERS Halba'!$K207+'ODOMETERS Halba'!$L207</f>
        <v>4984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12">
        <v>46126</v>
      </c>
      <c r="B208" s="5" t="s">
        <v>24</v>
      </c>
      <c r="C208" s="5">
        <v>245517</v>
      </c>
      <c r="D208" s="5">
        <v>85706</v>
      </c>
      <c r="E208" s="5">
        <v>207153</v>
      </c>
      <c r="F208" s="5">
        <v>54108</v>
      </c>
      <c r="G208" s="5">
        <v>7664</v>
      </c>
      <c r="H208" s="5">
        <v>1648</v>
      </c>
      <c r="I208" s="5"/>
      <c r="J208" s="9">
        <f>'ODOMETERS Halba'!$C208+'ODOMETERS Halba'!$D208-D207-C207</f>
        <v>904</v>
      </c>
      <c r="K208" s="9">
        <f>'ODOMETERS Halba'!$E208+'ODOMETERS Halba'!$F208-F207-E207</f>
        <v>563</v>
      </c>
      <c r="L208" s="9">
        <f>'ODOMETERS Halba'!$G208+'ODOMETERS Halba'!$H208-H207-G207</f>
        <v>185</v>
      </c>
      <c r="M208" s="9">
        <f>'ODOMETERS Halba'!$J208+'ODOMETERS Halba'!$K208+'ODOMETERS Halba'!$L208</f>
        <v>1652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12">
        <v>46126</v>
      </c>
      <c r="B209" s="5" t="s">
        <v>25</v>
      </c>
      <c r="C209" s="5">
        <v>246192</v>
      </c>
      <c r="D209" s="5">
        <v>85909</v>
      </c>
      <c r="E209" s="5">
        <v>207792</v>
      </c>
      <c r="F209" s="5">
        <v>54256</v>
      </c>
      <c r="G209" s="5">
        <v>8198</v>
      </c>
      <c r="H209" s="5">
        <v>1681</v>
      </c>
      <c r="I209" s="5"/>
      <c r="J209" s="9">
        <f>'ODOMETERS Halba'!$C209+'ODOMETERS Halba'!$D209-D208-C208</f>
        <v>878</v>
      </c>
      <c r="K209" s="9">
        <f>'ODOMETERS Halba'!$E209+'ODOMETERS Halba'!$F209-F208-E208</f>
        <v>787</v>
      </c>
      <c r="L209" s="9">
        <f>'ODOMETERS Halba'!$G209+'ODOMETERS Halba'!$H209-H208-G208</f>
        <v>567</v>
      </c>
      <c r="M209" s="9">
        <f>'ODOMETERS Halba'!$J209+'ODOMETERS Halba'!$K209+'ODOMETERS Halba'!$L209</f>
        <v>2232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12">
        <v>46127</v>
      </c>
      <c r="B210" s="5"/>
      <c r="C210" s="5">
        <v>247518</v>
      </c>
      <c r="D210" s="5">
        <v>86235</v>
      </c>
      <c r="E210" s="5">
        <v>208873</v>
      </c>
      <c r="F210" s="5">
        <v>54553</v>
      </c>
      <c r="G210" s="5">
        <v>8425</v>
      </c>
      <c r="H210" s="5">
        <v>1774</v>
      </c>
      <c r="I210" s="5"/>
      <c r="J210" s="9">
        <f>'ODOMETERS Halba'!$C210+'ODOMETERS Halba'!$D210-D209-C209</f>
        <v>1652</v>
      </c>
      <c r="K210" s="9">
        <f>'ODOMETERS Halba'!$E210+'ODOMETERS Halba'!$F210-F209-E209</f>
        <v>1378</v>
      </c>
      <c r="L210" s="9">
        <f>'ODOMETERS Halba'!$G210+'ODOMETERS Halba'!$H210-H209-G209</f>
        <v>320</v>
      </c>
      <c r="M210" s="9">
        <f>'ODOMETERS Halba'!$J210+'ODOMETERS Halba'!$K210+'ODOMETERS Halba'!$L210</f>
        <v>3350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12">
        <v>46128</v>
      </c>
      <c r="B211" s="5"/>
      <c r="C211" s="5">
        <v>248718</v>
      </c>
      <c r="D211" s="5">
        <v>86642</v>
      </c>
      <c r="E211" s="5">
        <v>210824</v>
      </c>
      <c r="F211" s="5">
        <v>55818</v>
      </c>
      <c r="G211" s="5">
        <v>9217</v>
      </c>
      <c r="H211" s="5">
        <v>1845</v>
      </c>
      <c r="I211" s="5"/>
      <c r="J211" s="9">
        <f>'ODOMETERS Halba'!$C211+'ODOMETERS Halba'!$D211-D210-C210</f>
        <v>1607</v>
      </c>
      <c r="K211" s="9">
        <f>'ODOMETERS Halba'!$E211+'ODOMETERS Halba'!$F211-F210-E210</f>
        <v>3216</v>
      </c>
      <c r="L211" s="9">
        <f>'ODOMETERS Halba'!$G211+'ODOMETERS Halba'!$H211-H210-G210</f>
        <v>863</v>
      </c>
      <c r="M211" s="9">
        <f>'ODOMETERS Halba'!$J211+'ODOMETERS Halba'!$K211+'ODOMETERS Halba'!$L211</f>
        <v>5686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12">
        <v>46129</v>
      </c>
      <c r="B212" s="5" t="s">
        <v>24</v>
      </c>
      <c r="C212" s="5">
        <v>249096</v>
      </c>
      <c r="D212" s="5">
        <v>86797</v>
      </c>
      <c r="E212" s="5">
        <v>211573</v>
      </c>
      <c r="F212" s="5">
        <v>55969</v>
      </c>
      <c r="G212" s="5">
        <v>9366</v>
      </c>
      <c r="H212" s="5">
        <v>1884</v>
      </c>
      <c r="I212" s="5"/>
      <c r="J212" s="9">
        <f>'ODOMETERS Halba'!$C212+'ODOMETERS Halba'!$D212-D211-C211</f>
        <v>533</v>
      </c>
      <c r="K212" s="9">
        <f>'ODOMETERS Halba'!$E212+'ODOMETERS Halba'!$F212-F211-E211</f>
        <v>900</v>
      </c>
      <c r="L212" s="9">
        <f>'ODOMETERS Halba'!$G212+'ODOMETERS Halba'!$H212-H211-G211</f>
        <v>188</v>
      </c>
      <c r="M212" s="9">
        <f>'ODOMETERS Halba'!$J212+'ODOMETERS Halba'!$K212+'ODOMETERS Halba'!$L212</f>
        <v>1621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12">
        <v>46129</v>
      </c>
      <c r="B213" s="5" t="s">
        <v>25</v>
      </c>
      <c r="C213" s="5">
        <v>249476</v>
      </c>
      <c r="D213" s="5">
        <v>86982</v>
      </c>
      <c r="E213" s="5">
        <v>212627</v>
      </c>
      <c r="F213" s="5">
        <v>56184</v>
      </c>
      <c r="G213" s="5">
        <v>9499</v>
      </c>
      <c r="H213" s="5">
        <v>1910</v>
      </c>
      <c r="I213" s="5"/>
      <c r="J213" s="9">
        <f>'ODOMETERS Halba'!$C213+'ODOMETERS Halba'!$D213-D212-C212</f>
        <v>565</v>
      </c>
      <c r="K213" s="9">
        <f>'ODOMETERS Halba'!$E213+'ODOMETERS Halba'!$F213-F212-E212</f>
        <v>1269</v>
      </c>
      <c r="L213" s="9">
        <f>'ODOMETERS Halba'!$G213+'ODOMETERS Halba'!$H213-H212-G212</f>
        <v>159</v>
      </c>
      <c r="M213" s="9">
        <f>'ODOMETERS Halba'!$J213+'ODOMETERS Halba'!$K213+'ODOMETERS Halba'!$L213</f>
        <v>1993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12">
        <v>46130</v>
      </c>
      <c r="B214" s="5"/>
      <c r="C214" s="5">
        <v>250477</v>
      </c>
      <c r="D214" s="5">
        <v>87250</v>
      </c>
      <c r="E214" s="5">
        <v>215807</v>
      </c>
      <c r="F214" s="5">
        <v>59246</v>
      </c>
      <c r="G214" s="5">
        <v>9726</v>
      </c>
      <c r="H214" s="5">
        <v>2038</v>
      </c>
      <c r="I214" s="5"/>
      <c r="J214" s="9">
        <f>'ODOMETERS Halba'!$C214+'ODOMETERS Halba'!$D214-D213-C213</f>
        <v>1269</v>
      </c>
      <c r="K214" s="9">
        <f>'ODOMETERS Halba'!$E214+'ODOMETERS Halba'!$F214-F213-E213</f>
        <v>6242</v>
      </c>
      <c r="L214" s="9">
        <f>'ODOMETERS Halba'!$G214+'ODOMETERS Halba'!$H214-H213-G213</f>
        <v>355</v>
      </c>
      <c r="M214" s="9">
        <f>'ODOMETERS Halba'!$J214+'ODOMETERS Halba'!$K214+'ODOMETERS Halba'!$L214</f>
        <v>7866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12">
        <v>46131</v>
      </c>
      <c r="B215" s="5"/>
      <c r="C215" s="5">
        <v>250663</v>
      </c>
      <c r="D215" s="5">
        <v>87426</v>
      </c>
      <c r="E215" s="5">
        <v>218051</v>
      </c>
      <c r="F215" s="5">
        <v>59736</v>
      </c>
      <c r="G215" s="5">
        <v>9787</v>
      </c>
      <c r="H215" s="5">
        <v>2222</v>
      </c>
      <c r="I215" s="5"/>
      <c r="J215" s="9">
        <f>'ODOMETERS Halba'!$C215+'ODOMETERS Halba'!$D215-D214-C214</f>
        <v>362</v>
      </c>
      <c r="K215" s="9">
        <f>'ODOMETERS Halba'!$E215+'ODOMETERS Halba'!$F215-F214-E214</f>
        <v>2734</v>
      </c>
      <c r="L215" s="9">
        <f>'ODOMETERS Halba'!$G215+'ODOMETERS Halba'!$H215-H214-G214</f>
        <v>245</v>
      </c>
      <c r="M215" s="9">
        <f>'ODOMETERS Halba'!$J215+'ODOMETERS Halba'!$K215+'ODOMETERS Halba'!$L215</f>
        <v>3341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12">
        <v>46132</v>
      </c>
      <c r="B216" s="5"/>
      <c r="C216" s="5">
        <v>250870</v>
      </c>
      <c r="D216" s="5">
        <v>87973</v>
      </c>
      <c r="E216" s="5">
        <v>220795</v>
      </c>
      <c r="F216" s="5">
        <v>60670</v>
      </c>
      <c r="G216" s="5">
        <v>9884</v>
      </c>
      <c r="H216" s="5">
        <v>2395</v>
      </c>
      <c r="I216" s="5"/>
      <c r="J216" s="9">
        <f>'ODOMETERS Halba'!$C216+'ODOMETERS Halba'!$D216-D215-C215</f>
        <v>754</v>
      </c>
      <c r="K216" s="9">
        <f>'ODOMETERS Halba'!$E216+'ODOMETERS Halba'!$F216-F215-E215</f>
        <v>3678</v>
      </c>
      <c r="L216" s="9">
        <f>'ODOMETERS Halba'!$G216+'ODOMETERS Halba'!$H216-H215-G215</f>
        <v>270</v>
      </c>
      <c r="M216" s="9">
        <f>'ODOMETERS Halba'!$J216+'ODOMETERS Halba'!$K216+'ODOMETERS Halba'!$L216</f>
        <v>4702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12">
        <v>46133</v>
      </c>
      <c r="B217" s="5" t="s">
        <v>24</v>
      </c>
      <c r="C217" s="5">
        <v>251232</v>
      </c>
      <c r="D217" s="5">
        <v>88045</v>
      </c>
      <c r="E217" s="5">
        <v>221776</v>
      </c>
      <c r="F217" s="5">
        <v>60881</v>
      </c>
      <c r="G217" s="5">
        <v>9933</v>
      </c>
      <c r="H217" s="5">
        <v>2414</v>
      </c>
      <c r="I217" s="5"/>
      <c r="J217" s="9">
        <f>'ODOMETERS Halba'!$C217+'ODOMETERS Halba'!$D217-D216-C216</f>
        <v>434</v>
      </c>
      <c r="K217" s="9">
        <f>'ODOMETERS Halba'!$E217+'ODOMETERS Halba'!$F217-F216-E216</f>
        <v>1192</v>
      </c>
      <c r="L217" s="9">
        <f>'ODOMETERS Halba'!$G217+'ODOMETERS Halba'!$H217-H216-G216</f>
        <v>68</v>
      </c>
      <c r="M217" s="9">
        <f>'ODOMETERS Halba'!$J217+'ODOMETERS Halba'!$K217+'ODOMETERS Halba'!$L217</f>
        <v>1694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12">
        <v>46133</v>
      </c>
      <c r="B218" s="5" t="s">
        <v>25</v>
      </c>
      <c r="C218" s="5">
        <v>251611</v>
      </c>
      <c r="D218" s="5">
        <v>88187</v>
      </c>
      <c r="E218" s="5">
        <v>222344</v>
      </c>
      <c r="F218" s="5">
        <v>61020</v>
      </c>
      <c r="G218" s="5">
        <v>10333</v>
      </c>
      <c r="H218" s="5">
        <v>2464</v>
      </c>
      <c r="I218" s="5"/>
      <c r="J218" s="9">
        <f>'ODOMETERS Halba'!$C218+'ODOMETERS Halba'!$D218-D217-C217</f>
        <v>521</v>
      </c>
      <c r="K218" s="9">
        <f>'ODOMETERS Halba'!$E218+'ODOMETERS Halba'!$F218-F217-E217</f>
        <v>707</v>
      </c>
      <c r="L218" s="9">
        <f>'ODOMETERS Halba'!$G218+'ODOMETERS Halba'!$H218-H217-G217</f>
        <v>450</v>
      </c>
      <c r="M218" s="9">
        <f>'ODOMETERS Halba'!$J218+'ODOMETERS Halba'!$K218+'ODOMETERS Halba'!$L218</f>
        <v>1678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12">
        <v>46134</v>
      </c>
      <c r="B219" s="5"/>
      <c r="C219" s="5">
        <v>252425</v>
      </c>
      <c r="D219" s="5">
        <v>88471</v>
      </c>
      <c r="E219" s="5">
        <v>223910</v>
      </c>
      <c r="F219" s="5">
        <v>61339</v>
      </c>
      <c r="G219" s="5">
        <v>10749</v>
      </c>
      <c r="H219" s="5">
        <v>2536</v>
      </c>
      <c r="I219" s="5"/>
      <c r="J219" s="9">
        <f>'ODOMETERS Halba'!$C219+'ODOMETERS Halba'!$D219-D218-C218</f>
        <v>1098</v>
      </c>
      <c r="K219" s="9">
        <f>'ODOMETERS Halba'!$E219+'ODOMETERS Halba'!$F219-F218-E218</f>
        <v>1885</v>
      </c>
      <c r="L219" s="9">
        <f>'ODOMETERS Halba'!$G219+'ODOMETERS Halba'!$H219-H218-G218</f>
        <v>488</v>
      </c>
      <c r="M219" s="9">
        <f>'ODOMETERS Halba'!$J219+'ODOMETERS Halba'!$K219+'ODOMETERS Halba'!$L219</f>
        <v>3471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12">
        <v>46135</v>
      </c>
      <c r="B220" s="5"/>
      <c r="C220" s="5">
        <v>253662</v>
      </c>
      <c r="D220" s="5">
        <v>88815</v>
      </c>
      <c r="E220" s="5">
        <v>225065</v>
      </c>
      <c r="F220" s="5">
        <v>61629</v>
      </c>
      <c r="G220" s="5">
        <v>10896</v>
      </c>
      <c r="H220" s="5">
        <v>2613</v>
      </c>
      <c r="I220" s="5"/>
      <c r="J220" s="9">
        <f>'ODOMETERS Halba'!$C220+'ODOMETERS Halba'!$D220-D219-C219</f>
        <v>1581</v>
      </c>
      <c r="K220" s="9">
        <f>'ODOMETERS Halba'!$E220+'ODOMETERS Halba'!$F220-F219-E219</f>
        <v>1445</v>
      </c>
      <c r="L220" s="9">
        <f>'ODOMETERS Halba'!$G220+'ODOMETERS Halba'!$H220-H219-G219</f>
        <v>224</v>
      </c>
      <c r="M220" s="9">
        <f>'ODOMETERS Halba'!$J220+'ODOMETERS Halba'!$K220+'ODOMETERS Halba'!$L220</f>
        <v>3250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12">
        <v>46136</v>
      </c>
      <c r="B221" s="5" t="s">
        <v>24</v>
      </c>
      <c r="C221" s="5">
        <v>254802</v>
      </c>
      <c r="D221" s="5">
        <v>89224</v>
      </c>
      <c r="E221" s="5">
        <v>225439</v>
      </c>
      <c r="F221" s="5">
        <v>61669</v>
      </c>
      <c r="G221" s="5">
        <v>11078</v>
      </c>
      <c r="H221" s="5">
        <v>2652</v>
      </c>
      <c r="I221" s="5"/>
      <c r="J221" s="9">
        <f>'ODOMETERS Halba'!$C221+'ODOMETERS Halba'!$D221-D220-C220</f>
        <v>1549</v>
      </c>
      <c r="K221" s="9">
        <f>'ODOMETERS Halba'!$E221+'ODOMETERS Halba'!$F221-F220-E220</f>
        <v>414</v>
      </c>
      <c r="L221" s="9">
        <f>'ODOMETERS Halba'!$G221+'ODOMETERS Halba'!$H221-H220-G220</f>
        <v>221</v>
      </c>
      <c r="M221" s="9">
        <f>'ODOMETERS Halba'!$J221+'ODOMETERS Halba'!$K221+'ODOMETERS Halba'!$L221</f>
        <v>2184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12">
        <v>46136</v>
      </c>
      <c r="B222" s="5" t="s">
        <v>25</v>
      </c>
      <c r="C222" s="5">
        <v>255766</v>
      </c>
      <c r="D222" s="5">
        <v>89518</v>
      </c>
      <c r="E222" s="5">
        <v>225551</v>
      </c>
      <c r="F222" s="5">
        <v>61697</v>
      </c>
      <c r="G222" s="5">
        <v>11145</v>
      </c>
      <c r="H222" s="5">
        <v>2711</v>
      </c>
      <c r="I222" s="5"/>
      <c r="J222" s="9">
        <f>'ODOMETERS Halba'!$C222+'ODOMETERS Halba'!$D222-D221-C221</f>
        <v>1258</v>
      </c>
      <c r="K222" s="9">
        <f>'ODOMETERS Halba'!$E222+'ODOMETERS Halba'!$F222-F221-E221</f>
        <v>140</v>
      </c>
      <c r="L222" s="9">
        <f>'ODOMETERS Halba'!$G222+'ODOMETERS Halba'!$H222-H221-G221</f>
        <v>126</v>
      </c>
      <c r="M222" s="9">
        <f>'ODOMETERS Halba'!$J222+'ODOMETERS Halba'!$K222+'ODOMETERS Halba'!$L222</f>
        <v>1524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12">
        <v>46137</v>
      </c>
      <c r="B223" s="5"/>
      <c r="C223" s="5">
        <v>257658</v>
      </c>
      <c r="D223" s="5">
        <v>89999</v>
      </c>
      <c r="E223" s="5">
        <v>226398</v>
      </c>
      <c r="F223" s="5">
        <v>61816</v>
      </c>
      <c r="G223" s="5">
        <v>11451</v>
      </c>
      <c r="H223" s="5">
        <v>2876</v>
      </c>
      <c r="I223" s="5"/>
      <c r="J223" s="9">
        <f>'ODOMETERS Halba'!$C223+'ODOMETERS Halba'!$D223-D222-C222</f>
        <v>2373</v>
      </c>
      <c r="K223" s="9">
        <f>'ODOMETERS Halba'!$E223+'ODOMETERS Halba'!$F223-F222-E222</f>
        <v>966</v>
      </c>
      <c r="L223" s="9">
        <f>'ODOMETERS Halba'!$G223+'ODOMETERS Halba'!$H223-H222-G222</f>
        <v>471</v>
      </c>
      <c r="M223" s="9">
        <f>'ODOMETERS Halba'!$J223+'ODOMETERS Halba'!$K223+'ODOMETERS Halba'!$L223</f>
        <v>3810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12">
        <v>46138</v>
      </c>
      <c r="B224" s="5"/>
      <c r="C224" s="5">
        <v>259749</v>
      </c>
      <c r="D224" s="5">
        <v>90404</v>
      </c>
      <c r="E224" s="5">
        <v>226750</v>
      </c>
      <c r="F224" s="5">
        <v>61934</v>
      </c>
      <c r="G224" s="5">
        <v>11566</v>
      </c>
      <c r="H224" s="5">
        <v>2941</v>
      </c>
      <c r="I224" s="5"/>
      <c r="J224" s="9">
        <f>'ODOMETERS Halba'!$C224+'ODOMETERS Halba'!$D224-D223-C223</f>
        <v>2496</v>
      </c>
      <c r="K224" s="9">
        <f>'ODOMETERS Halba'!$E224+'ODOMETERS Halba'!$F224-F223-E223</f>
        <v>470</v>
      </c>
      <c r="L224" s="9">
        <f>'ODOMETERS Halba'!$G224+'ODOMETERS Halba'!$H224-H223-G223</f>
        <v>180</v>
      </c>
      <c r="M224" s="9">
        <f>'ODOMETERS Halba'!$J224+'ODOMETERS Halba'!$K224+'ODOMETERS Halba'!$L224</f>
        <v>3146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12">
        <v>46139</v>
      </c>
      <c r="B225" s="5"/>
      <c r="C225" s="5">
        <v>262454</v>
      </c>
      <c r="D225" s="5">
        <v>90931</v>
      </c>
      <c r="E225" s="5">
        <v>227360</v>
      </c>
      <c r="F225" s="5">
        <v>62123</v>
      </c>
      <c r="G225" s="5">
        <v>12312</v>
      </c>
      <c r="H225" s="5">
        <v>3068</v>
      </c>
      <c r="I225" s="5"/>
      <c r="J225" s="9">
        <f>'ODOMETERS Halba'!$C225+'ODOMETERS Halba'!$D225-D224-C224</f>
        <v>3232</v>
      </c>
      <c r="K225" s="9">
        <f>'ODOMETERS Halba'!$E225+'ODOMETERS Halba'!$F225-F224-E224</f>
        <v>799</v>
      </c>
      <c r="L225" s="9">
        <f>'ODOMETERS Halba'!$G225+'ODOMETERS Halba'!$H225-H224-G224</f>
        <v>873</v>
      </c>
      <c r="M225" s="9">
        <f>'ODOMETERS Halba'!$J225+'ODOMETERS Halba'!$K225+'ODOMETERS Halba'!$L225</f>
        <v>4904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12">
        <v>46140</v>
      </c>
      <c r="B226" s="5" t="s">
        <v>24</v>
      </c>
      <c r="C226" s="5">
        <v>263133</v>
      </c>
      <c r="D226" s="5">
        <v>91225</v>
      </c>
      <c r="E226" s="5">
        <v>227705</v>
      </c>
      <c r="F226" s="5">
        <v>62315</v>
      </c>
      <c r="G226" s="5">
        <v>12548</v>
      </c>
      <c r="H226" s="5">
        <v>3125</v>
      </c>
      <c r="I226" s="5"/>
      <c r="J226" s="9">
        <f>'ODOMETERS Halba'!$C226+'ODOMETERS Halba'!$D226-D225-C225</f>
        <v>973</v>
      </c>
      <c r="K226" s="9">
        <f>'ODOMETERS Halba'!$E226+'ODOMETERS Halba'!$F226-F225-E225</f>
        <v>537</v>
      </c>
      <c r="L226" s="9">
        <f>'ODOMETERS Halba'!$G226+'ODOMETERS Halba'!$H226-H225-G225</f>
        <v>293</v>
      </c>
      <c r="M226" s="9">
        <f>'ODOMETERS Halba'!$J226+'ODOMETERS Halba'!$K226+'ODOMETERS Halba'!$L226</f>
        <v>1803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12">
        <v>46140</v>
      </c>
      <c r="B227" s="5" t="s">
        <v>25</v>
      </c>
      <c r="C227" s="5">
        <v>263780</v>
      </c>
      <c r="D227" s="5">
        <v>91414</v>
      </c>
      <c r="E227" s="5">
        <v>228254</v>
      </c>
      <c r="F227" s="5">
        <v>62397</v>
      </c>
      <c r="G227" s="5">
        <v>13529</v>
      </c>
      <c r="H227" s="5">
        <v>3190</v>
      </c>
      <c r="I227" s="5"/>
      <c r="J227" s="9">
        <f>'ODOMETERS Halba'!$C227+'ODOMETERS Halba'!$D227-D226-C226</f>
        <v>836</v>
      </c>
      <c r="K227" s="9">
        <f>'ODOMETERS Halba'!$E227+'ODOMETERS Halba'!$F227-F226-E226</f>
        <v>631</v>
      </c>
      <c r="L227" s="9">
        <f>'ODOMETERS Halba'!$G227+'ODOMETERS Halba'!$H227-H226-G226</f>
        <v>1046</v>
      </c>
      <c r="M227" s="9">
        <f>'ODOMETERS Halba'!$J227+'ODOMETERS Halba'!$K227+'ODOMETERS Halba'!$L227</f>
        <v>2513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12">
        <v>46141</v>
      </c>
      <c r="B228" s="5"/>
      <c r="C228" s="5">
        <v>265366</v>
      </c>
      <c r="D228" s="5">
        <v>91756</v>
      </c>
      <c r="E228" s="5">
        <v>229619</v>
      </c>
      <c r="F228" s="5">
        <v>62686</v>
      </c>
      <c r="G228" s="5">
        <v>13959</v>
      </c>
      <c r="H228" s="5">
        <v>3477</v>
      </c>
      <c r="I228" s="5"/>
      <c r="J228" s="9">
        <f>'ODOMETERS Halba'!$C228+'ODOMETERS Halba'!$D228-D227-C227</f>
        <v>1928</v>
      </c>
      <c r="K228" s="9">
        <f>'ODOMETERS Halba'!$E228+'ODOMETERS Halba'!$F228-F227-E227</f>
        <v>1654</v>
      </c>
      <c r="L228" s="9">
        <f>'ODOMETERS Halba'!$G228+'ODOMETERS Halba'!$H228-H227-G227</f>
        <v>717</v>
      </c>
      <c r="M228" s="9">
        <f>'ODOMETERS Halba'!$J228+'ODOMETERS Halba'!$K228+'ODOMETERS Halba'!$L228</f>
        <v>4299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12">
        <v>46142</v>
      </c>
      <c r="B229" s="5" t="s">
        <v>24</v>
      </c>
      <c r="C229" s="5">
        <v>266169</v>
      </c>
      <c r="D229" s="5">
        <v>91997</v>
      </c>
      <c r="E229" s="5">
        <v>230461</v>
      </c>
      <c r="F229" s="5">
        <v>62887</v>
      </c>
      <c r="G229" s="5">
        <v>14107</v>
      </c>
      <c r="H229" s="5">
        <v>3568</v>
      </c>
      <c r="I229" s="5"/>
      <c r="J229" s="9">
        <f>'ODOMETERS Halba'!$C229+'ODOMETERS Halba'!$D229-D228-C228</f>
        <v>1044</v>
      </c>
      <c r="K229" s="9">
        <f>'ODOMETERS Halba'!$E229+'ODOMETERS Halba'!$F229-F228-E228</f>
        <v>1043</v>
      </c>
      <c r="L229" s="9">
        <f>'ODOMETERS Halba'!$G229+'ODOMETERS Halba'!$H229-H228-G228</f>
        <v>239</v>
      </c>
      <c r="M229" s="9">
        <f>'ODOMETERS Halba'!$J229+'ODOMETERS Halba'!$K229+'ODOMETERS Halba'!$L229</f>
        <v>2326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12">
        <v>46142</v>
      </c>
      <c r="B230" s="5" t="s">
        <v>25</v>
      </c>
      <c r="C230" s="5">
        <v>266812</v>
      </c>
      <c r="D230" s="5">
        <v>92125</v>
      </c>
      <c r="E230" s="5">
        <v>231120</v>
      </c>
      <c r="F230" s="5">
        <v>63034</v>
      </c>
      <c r="G230" s="5">
        <v>14319</v>
      </c>
      <c r="H230" s="5">
        <v>3660</v>
      </c>
      <c r="I230" s="5"/>
      <c r="J230" s="9">
        <f>'ODOMETERS Halba'!$C230+'ODOMETERS Halba'!$D230-D229-C229</f>
        <v>771</v>
      </c>
      <c r="K230" s="9">
        <f>'ODOMETERS Halba'!$E230+'ODOMETERS Halba'!$F230-F229-E229</f>
        <v>806</v>
      </c>
      <c r="L230" s="9">
        <f>'ODOMETERS Halba'!$G230+'ODOMETERS Halba'!$H230-H229-G229</f>
        <v>304</v>
      </c>
      <c r="M230" s="9">
        <f>'ODOMETERS Halba'!$J230+'ODOMETERS Halba'!$K230+'ODOMETERS Halba'!$L230</f>
        <v>1881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12">
        <v>46143</v>
      </c>
      <c r="B231" s="5"/>
      <c r="C231" s="5">
        <v>268213</v>
      </c>
      <c r="D231" s="5">
        <v>92485</v>
      </c>
      <c r="E231" s="5">
        <v>232384</v>
      </c>
      <c r="F231" s="5">
        <v>63295</v>
      </c>
      <c r="G231" s="5">
        <v>14693</v>
      </c>
      <c r="H231" s="5">
        <v>3781</v>
      </c>
      <c r="I231" s="5"/>
      <c r="J231" s="9">
        <f>'ODOMETERS Halba'!$C231+'ODOMETERS Halba'!$D231-D230-C230</f>
        <v>1761</v>
      </c>
      <c r="K231" s="9">
        <f>'ODOMETERS Halba'!$E231+'ODOMETERS Halba'!$F231-F230-E230</f>
        <v>1525</v>
      </c>
      <c r="L231" s="9">
        <f>'ODOMETERS Halba'!$G231+'ODOMETERS Halba'!$H231-H230-G230</f>
        <v>495</v>
      </c>
      <c r="M231" s="9">
        <f>'ODOMETERS Halba'!$J231+'ODOMETERS Halba'!$K231+'ODOMETERS Halba'!$L231</f>
        <v>3781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12">
        <v>46144</v>
      </c>
      <c r="B232" s="5"/>
      <c r="C232" s="5">
        <v>269909</v>
      </c>
      <c r="D232" s="5">
        <v>92907</v>
      </c>
      <c r="E232" s="5">
        <v>233746</v>
      </c>
      <c r="F232" s="5">
        <v>63578</v>
      </c>
      <c r="G232" s="5">
        <v>15071</v>
      </c>
      <c r="H232" s="5">
        <v>3938</v>
      </c>
      <c r="I232" s="5"/>
      <c r="J232" s="9">
        <f>'ODOMETERS Halba'!$C232+'ODOMETERS Halba'!$D232-D231-C231</f>
        <v>2118</v>
      </c>
      <c r="K232" s="9">
        <f>'ODOMETERS Halba'!$E232+'ODOMETERS Halba'!$F232-F231-E231</f>
        <v>1645</v>
      </c>
      <c r="L232" s="9">
        <f>'ODOMETERS Halba'!$G232+'ODOMETERS Halba'!$H232-H231-G231</f>
        <v>535</v>
      </c>
      <c r="M232" s="9">
        <f>'ODOMETERS Halba'!$J232+'ODOMETERS Halba'!$K232+'ODOMETERS Halba'!$L232</f>
        <v>4298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12">
        <v>46145</v>
      </c>
      <c r="B233" s="5"/>
      <c r="C233" s="5">
        <v>271134</v>
      </c>
      <c r="D233" s="5">
        <v>93176</v>
      </c>
      <c r="E233" s="5">
        <v>235419</v>
      </c>
      <c r="F233" s="5">
        <v>63844</v>
      </c>
      <c r="G233" s="5">
        <v>15383</v>
      </c>
      <c r="H233" s="5">
        <v>4044</v>
      </c>
      <c r="I233" s="5"/>
      <c r="J233" s="9">
        <f>'ODOMETERS Halba'!$C233+'ODOMETERS Halba'!$D233-D232-C232</f>
        <v>1494</v>
      </c>
      <c r="K233" s="9">
        <f>'ODOMETERS Halba'!$E233+'ODOMETERS Halba'!$F233-F232-E232</f>
        <v>1939</v>
      </c>
      <c r="L233" s="9">
        <f>'ODOMETERS Halba'!$G233+'ODOMETERS Halba'!$H233-H232-G232</f>
        <v>418</v>
      </c>
      <c r="M233" s="9">
        <f>'ODOMETERS Halba'!$J233+'ODOMETERS Halba'!$K233+'ODOMETERS Halba'!$L233</f>
        <v>3851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12">
        <v>46146</v>
      </c>
      <c r="B234" s="5"/>
      <c r="C234" s="5">
        <v>272299</v>
      </c>
      <c r="D234" s="5">
        <v>93366</v>
      </c>
      <c r="E234" s="5">
        <v>236812</v>
      </c>
      <c r="F234" s="5">
        <v>64163</v>
      </c>
      <c r="G234" s="5">
        <v>15790</v>
      </c>
      <c r="H234" s="5">
        <v>4159</v>
      </c>
      <c r="I234" s="5"/>
      <c r="J234" s="9">
        <f>'ODOMETERS Halba'!$C234+'ODOMETERS Halba'!$D234-D233-C233</f>
        <v>1355</v>
      </c>
      <c r="K234" s="9">
        <f>'ODOMETERS Halba'!$E234+'ODOMETERS Halba'!$F234-F233-E233</f>
        <v>1712</v>
      </c>
      <c r="L234" s="9">
        <f>'ODOMETERS Halba'!$G234+'ODOMETERS Halba'!$H234-H233-G233</f>
        <v>522</v>
      </c>
      <c r="M234" s="9">
        <f>'ODOMETERS Halba'!$J234+'ODOMETERS Halba'!$K234+'ODOMETERS Halba'!$L234</f>
        <v>3589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12">
        <v>46147</v>
      </c>
      <c r="B235" s="5" t="s">
        <v>24</v>
      </c>
      <c r="C235" s="5">
        <v>272921</v>
      </c>
      <c r="D235" s="5">
        <v>93540</v>
      </c>
      <c r="E235" s="5">
        <v>237400</v>
      </c>
      <c r="F235" s="5">
        <v>64276</v>
      </c>
      <c r="G235" s="5">
        <v>15831</v>
      </c>
      <c r="H235" s="5">
        <v>4223</v>
      </c>
      <c r="I235" s="5"/>
      <c r="J235" s="9">
        <f>'ODOMETERS Halba'!$C235+'ODOMETERS Halba'!$D235-D234-C234</f>
        <v>796</v>
      </c>
      <c r="K235" s="9">
        <f>'ODOMETERS Halba'!$E235+'ODOMETERS Halba'!$F235-F234-E234</f>
        <v>701</v>
      </c>
      <c r="L235" s="9">
        <f>'ODOMETERS Halba'!$G235+'ODOMETERS Halba'!$H235-H234-G234</f>
        <v>105</v>
      </c>
      <c r="M235" s="9">
        <f>'ODOMETERS Halba'!$J235+'ODOMETERS Halba'!$K235+'ODOMETERS Halba'!$L235</f>
        <v>1602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12">
        <v>46147</v>
      </c>
      <c r="B236" s="5" t="s">
        <v>25</v>
      </c>
      <c r="C236" s="5">
        <v>273621</v>
      </c>
      <c r="D236" s="5">
        <v>93721</v>
      </c>
      <c r="E236" s="5">
        <v>237961</v>
      </c>
      <c r="F236" s="5">
        <v>64389</v>
      </c>
      <c r="G236" s="5">
        <v>16510</v>
      </c>
      <c r="H236" s="5">
        <v>4292</v>
      </c>
      <c r="I236" s="5"/>
      <c r="J236" s="9">
        <f>'ODOMETERS Halba'!$C236+'ODOMETERS Halba'!$D236-D235-C235</f>
        <v>881</v>
      </c>
      <c r="K236" s="9">
        <f>'ODOMETERS Halba'!$E236+'ODOMETERS Halba'!$F236-F235-E235</f>
        <v>674</v>
      </c>
      <c r="L236" s="9">
        <f>'ODOMETERS Halba'!$G236+'ODOMETERS Halba'!$H236-H235-G235</f>
        <v>748</v>
      </c>
      <c r="M236" s="9">
        <f>'ODOMETERS Halba'!$J236+'ODOMETERS Halba'!$K236+'ODOMETERS Halba'!$L236</f>
        <v>2303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12">
        <v>46148</v>
      </c>
      <c r="B237" s="5"/>
      <c r="C237" s="5">
        <v>275219</v>
      </c>
      <c r="D237" s="5">
        <v>93963</v>
      </c>
      <c r="E237" s="5">
        <v>239150</v>
      </c>
      <c r="F237" s="5">
        <v>64673</v>
      </c>
      <c r="G237" s="5">
        <v>17384</v>
      </c>
      <c r="H237" s="5">
        <v>4790</v>
      </c>
      <c r="I237" s="5"/>
      <c r="J237" s="9">
        <f>'ODOMETERS Halba'!$C237+'ODOMETERS Halba'!$D237-D236-C236</f>
        <v>1840</v>
      </c>
      <c r="K237" s="9">
        <f>'ODOMETERS Halba'!$E237+'ODOMETERS Halba'!$F237-F236-E236</f>
        <v>1473</v>
      </c>
      <c r="L237" s="9">
        <f>'ODOMETERS Halba'!$G237+'ODOMETERS Halba'!$H237-H236-G236</f>
        <v>1372</v>
      </c>
      <c r="M237" s="9">
        <f>'ODOMETERS Halba'!$J237+'ODOMETERS Halba'!$K237+'ODOMETERS Halba'!$L237</f>
        <v>4685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12">
        <v>46149</v>
      </c>
      <c r="B238" s="5"/>
      <c r="C238" s="5">
        <v>276906</v>
      </c>
      <c r="D238" s="5">
        <v>94270</v>
      </c>
      <c r="E238" s="5">
        <v>240379</v>
      </c>
      <c r="F238" s="5">
        <v>64972</v>
      </c>
      <c r="G238" s="5">
        <v>17625</v>
      </c>
      <c r="H238" s="5">
        <v>4895</v>
      </c>
      <c r="I238" s="5"/>
      <c r="J238" s="9">
        <f>'ODOMETERS Halba'!$C238+'ODOMETERS Halba'!$D238-D237-C237</f>
        <v>1994</v>
      </c>
      <c r="K238" s="9">
        <f>'ODOMETERS Halba'!$E238+'ODOMETERS Halba'!$F238-F237-E237</f>
        <v>1528</v>
      </c>
      <c r="L238" s="9">
        <f>'ODOMETERS Halba'!$G238+'ODOMETERS Halba'!$H238-H237-G237</f>
        <v>346</v>
      </c>
      <c r="M238" s="9">
        <f>'ODOMETERS Halba'!$J238+'ODOMETERS Halba'!$K238+'ODOMETERS Halba'!$L238</f>
        <v>3868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12">
        <v>46150</v>
      </c>
      <c r="B239" s="5" t="s">
        <v>24</v>
      </c>
      <c r="C239" s="5">
        <v>277672</v>
      </c>
      <c r="D239" s="5">
        <v>94495</v>
      </c>
      <c r="E239" s="5">
        <v>240977</v>
      </c>
      <c r="F239" s="5">
        <v>65121</v>
      </c>
      <c r="G239" s="5">
        <v>17784</v>
      </c>
      <c r="H239" s="5">
        <v>4938</v>
      </c>
      <c r="I239" s="5"/>
      <c r="J239" s="9">
        <f>'ODOMETERS Halba'!$C239+'ODOMETERS Halba'!$D239-D238-C238</f>
        <v>991</v>
      </c>
      <c r="K239" s="9">
        <f>'ODOMETERS Halba'!$E239+'ODOMETERS Halba'!$F239-F238-E238</f>
        <v>747</v>
      </c>
      <c r="L239" s="9">
        <f>'ODOMETERS Halba'!$G239+'ODOMETERS Halba'!$H239-H238-G238</f>
        <v>202</v>
      </c>
      <c r="M239" s="9">
        <f>'ODOMETERS Halba'!$J239+'ODOMETERS Halba'!$K239+'ODOMETERS Halba'!$L239</f>
        <v>1940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12">
        <v>46150</v>
      </c>
      <c r="B240" s="5" t="s">
        <v>25</v>
      </c>
      <c r="C240" s="5">
        <v>278317</v>
      </c>
      <c r="D240" s="5">
        <v>94717</v>
      </c>
      <c r="E240" s="5">
        <v>241441</v>
      </c>
      <c r="F240" s="5">
        <v>65219</v>
      </c>
      <c r="G240" s="5">
        <v>18364</v>
      </c>
      <c r="H240" s="5">
        <v>4976</v>
      </c>
      <c r="I240" s="5"/>
      <c r="J240" s="9">
        <f>'ODOMETERS Halba'!$C240+'ODOMETERS Halba'!$D240-D239-C239</f>
        <v>867</v>
      </c>
      <c r="K240" s="9">
        <f>'ODOMETERS Halba'!$E240+'ODOMETERS Halba'!$F240-F239-E239</f>
        <v>562</v>
      </c>
      <c r="L240" s="9">
        <f>'ODOMETERS Halba'!$G240+'ODOMETERS Halba'!$H240-H239-G239</f>
        <v>618</v>
      </c>
      <c r="M240" s="9">
        <f>'ODOMETERS Halba'!$J240+'ODOMETERS Halba'!$K240+'ODOMETERS Halba'!$L240</f>
        <v>2047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12">
        <v>46151</v>
      </c>
      <c r="B241" s="5"/>
      <c r="C241" s="5">
        <v>279952</v>
      </c>
      <c r="D241" s="5">
        <v>95125</v>
      </c>
      <c r="E241" s="5">
        <v>242569</v>
      </c>
      <c r="F241" s="5">
        <v>65489</v>
      </c>
      <c r="G241" s="5">
        <v>18703</v>
      </c>
      <c r="H241" s="5">
        <v>5075</v>
      </c>
      <c r="I241" s="5"/>
      <c r="J241" s="9">
        <f>'ODOMETERS Halba'!$C241+'ODOMETERS Halba'!$D241-D240-C240</f>
        <v>2043</v>
      </c>
      <c r="K241" s="9">
        <f>'ODOMETERS Halba'!$E241+'ODOMETERS Halba'!$F241-F240-E240</f>
        <v>1398</v>
      </c>
      <c r="L241" s="9">
        <f>'ODOMETERS Halba'!$G241+'ODOMETERS Halba'!$H241-H240-G240</f>
        <v>438</v>
      </c>
      <c r="M241" s="9">
        <f>'ODOMETERS Halba'!$J241+'ODOMETERS Halba'!$K241+'ODOMETERS Halba'!$L241</f>
        <v>3879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12">
        <v>46152</v>
      </c>
      <c r="B242" s="5"/>
      <c r="C242" s="5">
        <v>281210</v>
      </c>
      <c r="D242" s="5">
        <v>95393</v>
      </c>
      <c r="E242" s="5">
        <v>243712</v>
      </c>
      <c r="F242" s="5">
        <v>65658</v>
      </c>
      <c r="G242" s="5">
        <v>20806</v>
      </c>
      <c r="H242" s="5">
        <v>5130</v>
      </c>
      <c r="I242" s="5"/>
      <c r="J242" s="9">
        <f>'ODOMETERS Halba'!$C242+'ODOMETERS Halba'!$D242-D241-C241</f>
        <v>1526</v>
      </c>
      <c r="K242" s="9">
        <f>'ODOMETERS Halba'!$E242+'ODOMETERS Halba'!$F242-F241-E241</f>
        <v>1312</v>
      </c>
      <c r="L242" s="9">
        <f>'ODOMETERS Halba'!$G242+'ODOMETERS Halba'!$H242-H241-G241</f>
        <v>2158</v>
      </c>
      <c r="M242" s="9">
        <f>'ODOMETERS Halba'!$J242+'ODOMETERS Halba'!$K242+'ODOMETERS Halba'!$L242</f>
        <v>4996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12">
        <v>46153</v>
      </c>
      <c r="B243" s="5"/>
      <c r="C243" s="5">
        <v>283262</v>
      </c>
      <c r="D243" s="5">
        <v>96831</v>
      </c>
      <c r="E243" s="5">
        <v>245270</v>
      </c>
      <c r="F243" s="5">
        <v>65983</v>
      </c>
      <c r="G243" s="5">
        <v>21230</v>
      </c>
      <c r="H243" s="5">
        <v>5303</v>
      </c>
      <c r="I243" s="5"/>
      <c r="J243" s="9">
        <f>'ODOMETERS Halba'!$C243+'ODOMETERS Halba'!$D243-D242-C242</f>
        <v>3490</v>
      </c>
      <c r="K243" s="9">
        <f>'ODOMETERS Halba'!$E243+'ODOMETERS Halba'!$F243-F242-E242</f>
        <v>1883</v>
      </c>
      <c r="L243" s="9">
        <f>'ODOMETERS Halba'!$G243+'ODOMETERS Halba'!$H243-H242-G242</f>
        <v>597</v>
      </c>
      <c r="M243" s="9">
        <f>'ODOMETERS Halba'!$J243+'ODOMETERS Halba'!$K243+'ODOMETERS Halba'!$L243</f>
        <v>5970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12">
        <v>46154</v>
      </c>
      <c r="B244" s="5" t="s">
        <v>24</v>
      </c>
      <c r="C244" s="5">
        <v>284232</v>
      </c>
      <c r="D244" s="5">
        <v>97079</v>
      </c>
      <c r="E244" s="5">
        <v>245819</v>
      </c>
      <c r="F244" s="5">
        <v>66107</v>
      </c>
      <c r="G244" s="5">
        <v>21453</v>
      </c>
      <c r="H244" s="5">
        <v>5347</v>
      </c>
      <c r="I244" s="5"/>
      <c r="J244" s="9">
        <f>'ODOMETERS Halba'!$C244+'ODOMETERS Halba'!$D244-D243-C243</f>
        <v>1218</v>
      </c>
      <c r="K244" s="9">
        <f>'ODOMETERS Halba'!$E244+'ODOMETERS Halba'!$F244-F243-E243</f>
        <v>673</v>
      </c>
      <c r="L244" s="9">
        <f>'ODOMETERS Halba'!$G244+'ODOMETERS Halba'!$H244-H243-G243</f>
        <v>267</v>
      </c>
      <c r="M244" s="9">
        <f>'ODOMETERS Halba'!$J244+'ODOMETERS Halba'!$K244+'ODOMETERS Halba'!$L244</f>
        <v>2158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12">
        <v>46154</v>
      </c>
      <c r="B245" s="5" t="s">
        <v>25</v>
      </c>
      <c r="C245" s="5">
        <v>284954</v>
      </c>
      <c r="D245" s="5">
        <v>97259</v>
      </c>
      <c r="E245" s="5">
        <v>246404</v>
      </c>
      <c r="F245" s="5">
        <v>66331</v>
      </c>
      <c r="G245" s="5">
        <v>21880</v>
      </c>
      <c r="H245" s="5">
        <v>5437</v>
      </c>
      <c r="I245" s="5"/>
      <c r="J245" s="9">
        <f>'ODOMETERS Halba'!$C245+'ODOMETERS Halba'!$D245-D244-C244</f>
        <v>902</v>
      </c>
      <c r="K245" s="9">
        <f>'ODOMETERS Halba'!$E245+'ODOMETERS Halba'!$F245-F244-E244</f>
        <v>809</v>
      </c>
      <c r="L245" s="9">
        <f>'ODOMETERS Halba'!$G245+'ODOMETERS Halba'!$H245-H244-G244</f>
        <v>517</v>
      </c>
      <c r="M245" s="9">
        <f>'ODOMETERS Halba'!$J245+'ODOMETERS Halba'!$K245+'ODOMETERS Halba'!$L245</f>
        <v>2228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12">
        <v>46155</v>
      </c>
      <c r="B246" s="5"/>
      <c r="C246" s="5">
        <v>286303</v>
      </c>
      <c r="D246" s="5">
        <v>97573</v>
      </c>
      <c r="E246" s="5">
        <v>247483</v>
      </c>
      <c r="F246" s="5">
        <v>66566</v>
      </c>
      <c r="G246" s="5">
        <v>23180</v>
      </c>
      <c r="H246" s="5">
        <v>5498</v>
      </c>
      <c r="I246" s="5"/>
      <c r="J246" s="9">
        <f>'ODOMETERS Halba'!$C246+'ODOMETERS Halba'!$D246-D245-C245</f>
        <v>1663</v>
      </c>
      <c r="K246" s="9">
        <f>'ODOMETERS Halba'!$E246+'ODOMETERS Halba'!$F246-F245-E245</f>
        <v>1314</v>
      </c>
      <c r="L246" s="9">
        <f>'ODOMETERS Halba'!$G246+'ODOMETERS Halba'!$H246-H245-G245</f>
        <v>1361</v>
      </c>
      <c r="M246" s="9">
        <f>'ODOMETERS Halba'!$J246+'ODOMETERS Halba'!$K246+'ODOMETERS Halba'!$L246</f>
        <v>4338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12">
        <v>46156</v>
      </c>
      <c r="B247" s="5"/>
      <c r="C247" s="5">
        <v>287572</v>
      </c>
      <c r="D247" s="5">
        <v>97938</v>
      </c>
      <c r="E247" s="5">
        <v>248491</v>
      </c>
      <c r="F247" s="5">
        <v>66809</v>
      </c>
      <c r="G247" s="5">
        <v>23697</v>
      </c>
      <c r="H247" s="5">
        <v>5671</v>
      </c>
      <c r="I247" s="5"/>
      <c r="J247" s="9">
        <f>'ODOMETERS Halba'!$C247+'ODOMETERS Halba'!$D247-D246-C246</f>
        <v>1634</v>
      </c>
      <c r="K247" s="9">
        <f>'ODOMETERS Halba'!$E247+'ODOMETERS Halba'!$F247-F246-E246</f>
        <v>1251</v>
      </c>
      <c r="L247" s="9">
        <f>'ODOMETERS Halba'!$G247+'ODOMETERS Halba'!$H247-H246-G246</f>
        <v>690</v>
      </c>
      <c r="M247" s="9">
        <f>'ODOMETERS Halba'!$J247+'ODOMETERS Halba'!$K247+'ODOMETERS Halba'!$L247</f>
        <v>3575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12">
        <v>46157</v>
      </c>
      <c r="B248" s="5" t="s">
        <v>24</v>
      </c>
      <c r="C248" s="5">
        <v>288192</v>
      </c>
      <c r="D248" s="5">
        <v>98115</v>
      </c>
      <c r="E248" s="5">
        <v>248962</v>
      </c>
      <c r="F248" s="5">
        <v>66866</v>
      </c>
      <c r="G248" s="5">
        <v>23796</v>
      </c>
      <c r="H248" s="5">
        <v>5701</v>
      </c>
      <c r="I248" s="5"/>
      <c r="J248" s="9">
        <f>'ODOMETERS Halba'!$C248+'ODOMETERS Halba'!$D248-D247-C247</f>
        <v>797</v>
      </c>
      <c r="K248" s="9">
        <f>'ODOMETERS Halba'!$E248+'ODOMETERS Halba'!$F248-F247-E247</f>
        <v>528</v>
      </c>
      <c r="L248" s="9">
        <f>'ODOMETERS Halba'!$G248+'ODOMETERS Halba'!$H248-H247-G247</f>
        <v>129</v>
      </c>
      <c r="M248" s="9">
        <f>'ODOMETERS Halba'!$J248+'ODOMETERS Halba'!$K248+'ODOMETERS Halba'!$L248</f>
        <v>1454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12">
        <v>46157</v>
      </c>
      <c r="B249" s="5" t="s">
        <v>25</v>
      </c>
      <c r="C249" s="5">
        <v>288963</v>
      </c>
      <c r="D249" s="5">
        <v>98227</v>
      </c>
      <c r="E249" s="5">
        <v>249683</v>
      </c>
      <c r="F249" s="5">
        <v>67022</v>
      </c>
      <c r="G249" s="5">
        <v>23989</v>
      </c>
      <c r="H249" s="5">
        <v>5769</v>
      </c>
      <c r="I249" s="5"/>
      <c r="J249" s="9">
        <f>'ODOMETERS Halba'!$C249+'ODOMETERS Halba'!$D249-D248-C248</f>
        <v>883</v>
      </c>
      <c r="K249" s="9">
        <f>'ODOMETERS Halba'!$E249+'ODOMETERS Halba'!$F249-F248-E248</f>
        <v>877</v>
      </c>
      <c r="L249" s="9">
        <f>'ODOMETERS Halba'!$G249+'ODOMETERS Halba'!$H249-H248-G248</f>
        <v>261</v>
      </c>
      <c r="M249" s="9">
        <f>'ODOMETERS Halba'!$J249+'ODOMETERS Halba'!$K249+'ODOMETERS Halba'!$L249</f>
        <v>2021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12">
        <v>46158</v>
      </c>
      <c r="B250" s="5"/>
      <c r="C250" s="5">
        <v>290667</v>
      </c>
      <c r="D250" s="5">
        <v>98582</v>
      </c>
      <c r="E250" s="5">
        <v>251014</v>
      </c>
      <c r="F250" s="5">
        <v>67267</v>
      </c>
      <c r="G250" s="5">
        <v>24962</v>
      </c>
      <c r="H250" s="5">
        <v>5940</v>
      </c>
      <c r="I250" s="5"/>
      <c r="J250" s="9">
        <f>'ODOMETERS Halba'!$C250+'ODOMETERS Halba'!$D250-D249-C249</f>
        <v>2059</v>
      </c>
      <c r="K250" s="9">
        <f>'ODOMETERS Halba'!$E250+'ODOMETERS Halba'!$F250-F249-E249</f>
        <v>1576</v>
      </c>
      <c r="L250" s="9">
        <f>'ODOMETERS Halba'!$G250+'ODOMETERS Halba'!$H250-H249-G249</f>
        <v>1144</v>
      </c>
      <c r="M250" s="9">
        <f>'ODOMETERS Halba'!$J250+'ODOMETERS Halba'!$K250+'ODOMETERS Halba'!$L250</f>
        <v>4779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12">
        <v>46159</v>
      </c>
      <c r="B251" s="5"/>
      <c r="C251" s="5">
        <v>292244</v>
      </c>
      <c r="D251" s="5">
        <v>98844</v>
      </c>
      <c r="E251" s="5">
        <v>252312</v>
      </c>
      <c r="F251" s="5">
        <v>67480</v>
      </c>
      <c r="G251" s="5">
        <v>25569</v>
      </c>
      <c r="H251" s="5">
        <v>6019</v>
      </c>
      <c r="I251" s="5"/>
      <c r="J251" s="9">
        <f>'ODOMETERS Halba'!$C251+'ODOMETERS Halba'!$D251-D250-C250</f>
        <v>1839</v>
      </c>
      <c r="K251" s="9">
        <f>'ODOMETERS Halba'!$E251+'ODOMETERS Halba'!$F251-F250-E250</f>
        <v>1511</v>
      </c>
      <c r="L251" s="9">
        <f>'ODOMETERS Halba'!$G251+'ODOMETERS Halba'!$H251-H250-G250</f>
        <v>686</v>
      </c>
      <c r="M251" s="9">
        <f>'ODOMETERS Halba'!$J251+'ODOMETERS Halba'!$K251+'ODOMETERS Halba'!$L251</f>
        <v>4036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12">
        <v>46160</v>
      </c>
      <c r="B252" s="5"/>
      <c r="C252" s="5">
        <v>293836</v>
      </c>
      <c r="D252" s="5">
        <v>99201</v>
      </c>
      <c r="E252" s="5">
        <v>253472</v>
      </c>
      <c r="F252" s="5">
        <v>67796</v>
      </c>
      <c r="G252" s="5">
        <v>26486</v>
      </c>
      <c r="H252" s="5">
        <v>6455</v>
      </c>
      <c r="I252" s="5"/>
      <c r="J252" s="9">
        <f>'ODOMETERS Halba'!$C252+'ODOMETERS Halba'!$D252-D251-C251</f>
        <v>1949</v>
      </c>
      <c r="K252" s="9">
        <f>'ODOMETERS Halba'!$E252+'ODOMETERS Halba'!$F252-F251-E251</f>
        <v>1476</v>
      </c>
      <c r="L252" s="9">
        <f>'ODOMETERS Halba'!$G252+'ODOMETERS Halba'!$H252-H251-G251</f>
        <v>1353</v>
      </c>
      <c r="M252" s="9">
        <f>'ODOMETERS Halba'!$J252+'ODOMETERS Halba'!$K252+'ODOMETERS Halba'!$L252</f>
        <v>4778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12">
        <v>46161</v>
      </c>
      <c r="B253" s="5" t="s">
        <v>24</v>
      </c>
      <c r="C253" s="5">
        <v>294565</v>
      </c>
      <c r="D253" s="5">
        <v>99395</v>
      </c>
      <c r="E253" s="5">
        <v>254147</v>
      </c>
      <c r="F253" s="5">
        <v>67902</v>
      </c>
      <c r="G253" s="5">
        <v>26687</v>
      </c>
      <c r="H253" s="5">
        <v>6522</v>
      </c>
      <c r="I253" s="5"/>
      <c r="J253" s="9">
        <f>'ODOMETERS Halba'!$C253+'ODOMETERS Halba'!$D253-D252-C252</f>
        <v>923</v>
      </c>
      <c r="K253" s="9">
        <f>'ODOMETERS Halba'!$E253+'ODOMETERS Halba'!$F253-F252-E252</f>
        <v>781</v>
      </c>
      <c r="L253" s="9">
        <f>'ODOMETERS Halba'!$G253+'ODOMETERS Halba'!$H253-H252-G252</f>
        <v>268</v>
      </c>
      <c r="M253" s="9">
        <f>'ODOMETERS Halba'!$J253+'ODOMETERS Halba'!$K253+'ODOMETERS Halba'!$L253</f>
        <v>1972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12">
        <v>46161</v>
      </c>
      <c r="B254" s="5" t="s">
        <v>25</v>
      </c>
      <c r="C254" s="5">
        <v>295204</v>
      </c>
      <c r="D254" s="5">
        <v>99542</v>
      </c>
      <c r="E254" s="5">
        <v>254900</v>
      </c>
      <c r="F254" s="5">
        <v>67996</v>
      </c>
      <c r="G254" s="5">
        <v>27584</v>
      </c>
      <c r="H254" s="5">
        <v>6848</v>
      </c>
      <c r="I254" s="5"/>
      <c r="J254" s="9">
        <f>'ODOMETERS Halba'!$C254+'ODOMETERS Halba'!$D254-D253-C253</f>
        <v>786</v>
      </c>
      <c r="K254" s="9">
        <f>'ODOMETERS Halba'!$E254+'ODOMETERS Halba'!$F254-F253-E253</f>
        <v>847</v>
      </c>
      <c r="L254" s="9">
        <f>'ODOMETERS Halba'!$G254+'ODOMETERS Halba'!$H254-H253-G253</f>
        <v>1223</v>
      </c>
      <c r="M254" s="9">
        <f>'ODOMETERS Halba'!$J254+'ODOMETERS Halba'!$K254+'ODOMETERS Halba'!$L254</f>
        <v>2856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12">
        <v>46162</v>
      </c>
      <c r="B255" s="5"/>
      <c r="C255" s="5">
        <v>296868</v>
      </c>
      <c r="D255" s="5">
        <v>99933</v>
      </c>
      <c r="E255" s="5">
        <v>256045</v>
      </c>
      <c r="F255" s="5">
        <v>68185</v>
      </c>
      <c r="G255" s="5">
        <v>28428</v>
      </c>
      <c r="H255" s="5">
        <v>7266</v>
      </c>
      <c r="I255" s="5"/>
      <c r="J255" s="9">
        <f>'ODOMETERS Halba'!$C255+'ODOMETERS Halba'!$D255-D254-C254</f>
        <v>2055</v>
      </c>
      <c r="K255" s="9">
        <f>'ODOMETERS Halba'!$E255+'ODOMETERS Halba'!$F255-F254-E254</f>
        <v>1334</v>
      </c>
      <c r="L255" s="9">
        <f>'ODOMETERS Halba'!$G255+'ODOMETERS Halba'!$H255-H254-G254</f>
        <v>1262</v>
      </c>
      <c r="M255" s="9">
        <f>'ODOMETERS Halba'!$J255+'ODOMETERS Halba'!$K255+'ODOMETERS Halba'!$L255</f>
        <v>4651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12">
        <v>46163</v>
      </c>
      <c r="B256" s="5"/>
      <c r="C256" s="5">
        <v>298382</v>
      </c>
      <c r="D256" s="5">
        <v>100502</v>
      </c>
      <c r="E256" s="5">
        <v>257407</v>
      </c>
      <c r="F256" s="5">
        <v>68369</v>
      </c>
      <c r="G256" s="5">
        <v>29923</v>
      </c>
      <c r="H256" s="5">
        <v>7368</v>
      </c>
      <c r="I256" s="5"/>
      <c r="J256" s="9">
        <f>'ODOMETERS Halba'!$C256+'ODOMETERS Halba'!$D256-D255-C255</f>
        <v>2083</v>
      </c>
      <c r="K256" s="9">
        <f>'ODOMETERS Halba'!$E256+'ODOMETERS Halba'!$F256-F255-E255</f>
        <v>1546</v>
      </c>
      <c r="L256" s="9">
        <f>'ODOMETERS Halba'!$G256+'ODOMETERS Halba'!$H256-H255-G255</f>
        <v>1597</v>
      </c>
      <c r="M256" s="9">
        <f>'ODOMETERS Halba'!$J256+'ODOMETERS Halba'!$K256+'ODOMETERS Halba'!$L256</f>
        <v>5226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12">
        <v>46164</v>
      </c>
      <c r="B257" s="5" t="s">
        <v>24</v>
      </c>
      <c r="C257" s="5">
        <v>299132</v>
      </c>
      <c r="D257" s="5">
        <v>100706</v>
      </c>
      <c r="E257" s="5">
        <v>257936</v>
      </c>
      <c r="F257" s="5">
        <v>68529</v>
      </c>
      <c r="G257" s="5">
        <v>30448</v>
      </c>
      <c r="H257" s="5">
        <v>7691</v>
      </c>
      <c r="I257" s="5"/>
      <c r="J257" s="9">
        <f>'ODOMETERS Halba'!$C257+'ODOMETERS Halba'!$D257-D256-C256</f>
        <v>954</v>
      </c>
      <c r="K257" s="9">
        <f>'ODOMETERS Halba'!$E257+'ODOMETERS Halba'!$F257-F256-E256</f>
        <v>689</v>
      </c>
      <c r="L257" s="9">
        <f>'ODOMETERS Halba'!$G257+'ODOMETERS Halba'!$H257-H256-G256</f>
        <v>848</v>
      </c>
      <c r="M257" s="9">
        <f>'ODOMETERS Halba'!$J257+'ODOMETERS Halba'!$K257+'ODOMETERS Halba'!$L257</f>
        <v>2491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12">
        <v>46164</v>
      </c>
      <c r="B258" s="5" t="s">
        <v>25</v>
      </c>
      <c r="C258" s="5">
        <v>300610</v>
      </c>
      <c r="D258" s="5">
        <v>101916</v>
      </c>
      <c r="E258" s="5">
        <v>258660</v>
      </c>
      <c r="F258" s="5">
        <v>68689</v>
      </c>
      <c r="G258" s="5">
        <v>30885</v>
      </c>
      <c r="H258" s="5">
        <v>7773</v>
      </c>
      <c r="I258" s="5"/>
      <c r="J258" s="9">
        <f>'ODOMETERS Halba'!$C258+'ODOMETERS Halba'!$D258-D257-C257</f>
        <v>2688</v>
      </c>
      <c r="K258" s="9">
        <f>'ODOMETERS Halba'!$E258+'ODOMETERS Halba'!$F258-F257-E257</f>
        <v>884</v>
      </c>
      <c r="L258" s="9">
        <f>'ODOMETERS Halba'!$G258+'ODOMETERS Halba'!$H258-H257-G257</f>
        <v>519</v>
      </c>
      <c r="M258" s="9">
        <f>'ODOMETERS Halba'!$J258+'ODOMETERS Halba'!$K258+'ODOMETERS Halba'!$L258</f>
        <v>4091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12">
        <v>46165</v>
      </c>
      <c r="B259" s="5"/>
      <c r="C259" s="5">
        <v>302018</v>
      </c>
      <c r="D259" s="5">
        <v>102436</v>
      </c>
      <c r="E259" s="5">
        <v>260048</v>
      </c>
      <c r="F259" s="5">
        <v>68991</v>
      </c>
      <c r="G259" s="5">
        <v>33027</v>
      </c>
      <c r="H259" s="5">
        <v>8217</v>
      </c>
      <c r="I259" s="5"/>
      <c r="J259" s="9">
        <f>'ODOMETERS Halba'!$C259+'ODOMETERS Halba'!$D259-D258-C258</f>
        <v>1928</v>
      </c>
      <c r="K259" s="9">
        <f>'ODOMETERS Halba'!$E259+'ODOMETERS Halba'!$F259-F258-E258</f>
        <v>1690</v>
      </c>
      <c r="L259" s="9">
        <f>'ODOMETERS Halba'!$G259+'ODOMETERS Halba'!$H259-H258-G258</f>
        <v>2586</v>
      </c>
      <c r="M259" s="9">
        <f>'ODOMETERS Halba'!$J259+'ODOMETERS Halba'!$K259+'ODOMETERS Halba'!$L259</f>
        <v>6204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12">
        <v>46166</v>
      </c>
      <c r="B260" s="5"/>
      <c r="C260" s="5">
        <v>303795</v>
      </c>
      <c r="D260" s="5">
        <v>102782</v>
      </c>
      <c r="E260" s="5">
        <v>261314</v>
      </c>
      <c r="F260" s="5">
        <v>69269</v>
      </c>
      <c r="G260" s="5">
        <v>33838</v>
      </c>
      <c r="H260" s="5">
        <v>8538</v>
      </c>
      <c r="I260" s="5"/>
      <c r="J260" s="9">
        <f>'ODOMETERS Halba'!$C260+'ODOMETERS Halba'!$D260-D259-C259</f>
        <v>2123</v>
      </c>
      <c r="K260" s="9">
        <f>'ODOMETERS Halba'!$E260+'ODOMETERS Halba'!$F260-F259-E259</f>
        <v>1544</v>
      </c>
      <c r="L260" s="9">
        <f>'ODOMETERS Halba'!$G260+'ODOMETERS Halba'!$H260-H259-G259</f>
        <v>1132</v>
      </c>
      <c r="M260" s="9">
        <f>'ODOMETERS Halba'!$J260+'ODOMETERS Halba'!$K260+'ODOMETERS Halba'!$L260</f>
        <v>4799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12">
        <v>46167</v>
      </c>
      <c r="B261" s="5"/>
      <c r="C261" s="5">
        <v>305638</v>
      </c>
      <c r="D261" s="5">
        <v>104155</v>
      </c>
      <c r="E261" s="5">
        <v>262792</v>
      </c>
      <c r="F261" s="5">
        <v>69484</v>
      </c>
      <c r="G261" s="5">
        <v>34446</v>
      </c>
      <c r="H261" s="5">
        <v>8707</v>
      </c>
      <c r="I261" s="5"/>
      <c r="J261" s="9">
        <f>'ODOMETERS Halba'!$C261+'ODOMETERS Halba'!$D261-D260-C260</f>
        <v>3216</v>
      </c>
      <c r="K261" s="9">
        <f>'ODOMETERS Halba'!$E261+'ODOMETERS Halba'!$F261-F260-E260</f>
        <v>1693</v>
      </c>
      <c r="L261" s="9">
        <f>'ODOMETERS Halba'!$G261+'ODOMETERS Halba'!$H261-H260-G260</f>
        <v>777</v>
      </c>
      <c r="M261" s="9">
        <f>'ODOMETERS Halba'!$J261+'ODOMETERS Halba'!$K261+'ODOMETERS Halba'!$L261</f>
        <v>5686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12">
        <v>46168</v>
      </c>
      <c r="B262" s="5" t="s">
        <v>24</v>
      </c>
      <c r="C262" s="5">
        <v>306806</v>
      </c>
      <c r="D262" s="5">
        <v>104436</v>
      </c>
      <c r="E262" s="5">
        <v>263543</v>
      </c>
      <c r="F262" s="5">
        <v>69597</v>
      </c>
      <c r="G262" s="5">
        <v>34896</v>
      </c>
      <c r="H262" s="5">
        <v>8759</v>
      </c>
      <c r="I262" s="5"/>
      <c r="J262" s="9">
        <f>'ODOMETERS Halba'!$C262+'ODOMETERS Halba'!$D262-D261-C261</f>
        <v>1449</v>
      </c>
      <c r="K262" s="9">
        <f>'ODOMETERS Halba'!$E262+'ODOMETERS Halba'!$F262-F261-E261</f>
        <v>864</v>
      </c>
      <c r="L262" s="9">
        <f>'ODOMETERS Halba'!$G262+'ODOMETERS Halba'!$H262-H261-G261</f>
        <v>502</v>
      </c>
      <c r="M262" s="9">
        <f>'ODOMETERS Halba'!$J262+'ODOMETERS Halba'!$K262+'ODOMETERS Halba'!$L262</f>
        <v>2815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12">
        <v>46168</v>
      </c>
      <c r="B263" s="5" t="s">
        <v>25</v>
      </c>
      <c r="C263" s="5">
        <v>308052</v>
      </c>
      <c r="D263" s="5">
        <v>104710</v>
      </c>
      <c r="E263" s="5">
        <v>264207</v>
      </c>
      <c r="F263" s="5">
        <v>69689</v>
      </c>
      <c r="G263" s="5">
        <v>35160</v>
      </c>
      <c r="H263" s="5">
        <v>8803</v>
      </c>
      <c r="I263" s="5"/>
      <c r="J263" s="9">
        <f>'ODOMETERS Halba'!$C263+'ODOMETERS Halba'!$D263-D262-C262</f>
        <v>1520</v>
      </c>
      <c r="K263" s="9">
        <f>'ODOMETERS Halba'!$E263+'ODOMETERS Halba'!$F263-F262-E262</f>
        <v>756</v>
      </c>
      <c r="L263" s="9">
        <f>'ODOMETERS Halba'!$G263+'ODOMETERS Halba'!$H263-H262-G262</f>
        <v>308</v>
      </c>
      <c r="M263" s="9">
        <f>'ODOMETERS Halba'!$J263+'ODOMETERS Halba'!$K263+'ODOMETERS Halba'!$L263</f>
        <v>2584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12">
        <v>46169</v>
      </c>
      <c r="B264" s="5"/>
      <c r="C264" s="5">
        <v>311421</v>
      </c>
      <c r="D264" s="5">
        <v>105200</v>
      </c>
      <c r="E264" s="5">
        <v>266186</v>
      </c>
      <c r="F264" s="5">
        <v>69959</v>
      </c>
      <c r="G264" s="5">
        <v>35735</v>
      </c>
      <c r="H264" s="5">
        <v>9265</v>
      </c>
      <c r="I264" s="5"/>
      <c r="J264" s="9">
        <f>'ODOMETERS Halba'!$C264+'ODOMETERS Halba'!$D264-D263-C263</f>
        <v>3859</v>
      </c>
      <c r="K264" s="9">
        <f>'ODOMETERS Halba'!$E264+'ODOMETERS Halba'!$F264-F263-E263</f>
        <v>2249</v>
      </c>
      <c r="L264" s="9">
        <f>'ODOMETERS Halba'!$G264+'ODOMETERS Halba'!$H264-H263-G263</f>
        <v>1037</v>
      </c>
      <c r="M264" s="9">
        <f>'ODOMETERS Halba'!$J264+'ODOMETERS Halba'!$K264+'ODOMETERS Halba'!$L264</f>
        <v>7145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12">
        <v>46170</v>
      </c>
      <c r="B265" s="5"/>
      <c r="C265" s="5">
        <v>313408</v>
      </c>
      <c r="D265" s="5">
        <v>105563</v>
      </c>
      <c r="E265" s="5">
        <v>267382</v>
      </c>
      <c r="F265" s="5">
        <v>70209</v>
      </c>
      <c r="G265" s="5">
        <v>36277</v>
      </c>
      <c r="H265" s="5">
        <v>9391</v>
      </c>
      <c r="I265" s="5"/>
      <c r="J265" s="9">
        <f>'ODOMETERS Halba'!$C265+'ODOMETERS Halba'!$D265-D264-C264</f>
        <v>2350</v>
      </c>
      <c r="K265" s="9">
        <f>'ODOMETERS Halba'!$E265+'ODOMETERS Halba'!$F265-F264-E264</f>
        <v>1446</v>
      </c>
      <c r="L265" s="9">
        <f>'ODOMETERS Halba'!$G265+'ODOMETERS Halba'!$H265-H264-G264</f>
        <v>668</v>
      </c>
      <c r="M265" s="9">
        <f>'ODOMETERS Halba'!$J265+'ODOMETERS Halba'!$K265+'ODOMETERS Halba'!$L265</f>
        <v>4464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12">
        <v>46171</v>
      </c>
      <c r="B266" s="5"/>
      <c r="C266" s="5">
        <v>315150</v>
      </c>
      <c r="D266" s="5">
        <v>106149</v>
      </c>
      <c r="E266" s="5">
        <v>269045</v>
      </c>
      <c r="F266" s="5">
        <v>70465</v>
      </c>
      <c r="G266" s="5">
        <v>36821</v>
      </c>
      <c r="H266" s="5">
        <v>10534</v>
      </c>
      <c r="I266" s="5"/>
      <c r="J266" s="9">
        <f>'ODOMETERS Halba'!$C266+'ODOMETERS Halba'!$D266-D265-C265</f>
        <v>2328</v>
      </c>
      <c r="K266" s="9">
        <f>'ODOMETERS Halba'!$E266+'ODOMETERS Halba'!$F266-F265-E265</f>
        <v>1919</v>
      </c>
      <c r="L266" s="9">
        <f>'ODOMETERS Halba'!$G266+'ODOMETERS Halba'!$H266-H265-G265</f>
        <v>1687</v>
      </c>
      <c r="M266" s="9">
        <f>'ODOMETERS Halba'!$J266+'ODOMETERS Halba'!$K266+'ODOMETERS Halba'!$L266</f>
        <v>5934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12">
        <v>46172</v>
      </c>
      <c r="B267" s="5"/>
      <c r="C267" s="5">
        <v>317186</v>
      </c>
      <c r="D267" s="5">
        <v>106793</v>
      </c>
      <c r="E267" s="5">
        <v>270586</v>
      </c>
      <c r="F267" s="5">
        <v>70691</v>
      </c>
      <c r="G267" s="5">
        <v>38728</v>
      </c>
      <c r="H267" s="5">
        <v>10955</v>
      </c>
      <c r="I267" s="5"/>
      <c r="J267" s="9">
        <f>'ODOMETERS Halba'!$C267+'ODOMETERS Halba'!$D267-D266-C266</f>
        <v>2680</v>
      </c>
      <c r="K267" s="9">
        <f>'ODOMETERS Halba'!$E267+'ODOMETERS Halba'!$F267-F266-E266</f>
        <v>1767</v>
      </c>
      <c r="L267" s="9">
        <f>'ODOMETERS Halba'!$G267+'ODOMETERS Halba'!$H267-H266-G266</f>
        <v>2328</v>
      </c>
      <c r="M267" s="9">
        <f>'ODOMETERS Halba'!$J267+'ODOMETERS Halba'!$K267+'ODOMETERS Halba'!$L267</f>
        <v>6775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12">
        <v>46173</v>
      </c>
      <c r="B268" s="5"/>
      <c r="C268" s="5">
        <v>319674</v>
      </c>
      <c r="D268" s="5">
        <v>107269</v>
      </c>
      <c r="E268" s="5">
        <v>271025</v>
      </c>
      <c r="F268" s="5">
        <v>70845</v>
      </c>
      <c r="G268" s="5">
        <v>38871</v>
      </c>
      <c r="H268" s="5">
        <v>11355</v>
      </c>
      <c r="I268" s="5"/>
      <c r="J268" s="9">
        <f>'ODOMETERS Halba'!$C268+'ODOMETERS Halba'!$D268-D267-C267</f>
        <v>2964</v>
      </c>
      <c r="K268" s="9">
        <f>'ODOMETERS Halba'!$E268+'ODOMETERS Halba'!$F268-F267-E267</f>
        <v>593</v>
      </c>
      <c r="L268" s="9">
        <f>'ODOMETERS Halba'!$G268+'ODOMETERS Halba'!$H268-H267-G267</f>
        <v>543</v>
      </c>
      <c r="M268" s="9">
        <f>'ODOMETERS Halba'!$J268+'ODOMETERS Halba'!$K268+'ODOMETERS Halba'!$L268</f>
        <v>4100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12">
        <v>46174</v>
      </c>
      <c r="B269" s="5"/>
      <c r="C269" s="5">
        <v>322431</v>
      </c>
      <c r="D269" s="5">
        <v>107831</v>
      </c>
      <c r="E269" s="5">
        <v>272069</v>
      </c>
      <c r="F269" s="5">
        <v>71183</v>
      </c>
      <c r="G269" s="5">
        <v>39632</v>
      </c>
      <c r="H269" s="5">
        <v>11531</v>
      </c>
      <c r="I269" s="5"/>
      <c r="J269" s="9">
        <f>'ODOMETERS Halba'!$C269+'ODOMETERS Halba'!$D269-D268-C268</f>
        <v>3319</v>
      </c>
      <c r="K269" s="9">
        <f>'ODOMETERS Halba'!$E269+'ODOMETERS Halba'!$F269-F268-E268</f>
        <v>1382</v>
      </c>
      <c r="L269" s="9">
        <f>'ODOMETERS Halba'!$G269+'ODOMETERS Halba'!$H269-H268-G268</f>
        <v>937</v>
      </c>
      <c r="M269" s="9">
        <f>'ODOMETERS Halba'!$J269+'ODOMETERS Halba'!$K269+'ODOMETERS Halba'!$L269</f>
        <v>5638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12">
        <v>46175</v>
      </c>
      <c r="B270" s="5" t="s">
        <v>24</v>
      </c>
      <c r="C270" s="5">
        <v>323716</v>
      </c>
      <c r="D270" s="5">
        <v>108129</v>
      </c>
      <c r="E270" s="5">
        <v>272486</v>
      </c>
      <c r="F270" s="5">
        <v>71240</v>
      </c>
      <c r="G270" s="5">
        <v>40827</v>
      </c>
      <c r="H270" s="5">
        <v>11569</v>
      </c>
      <c r="I270" s="5"/>
      <c r="J270" s="9">
        <f>'ODOMETERS Halba'!$C270+'ODOMETERS Halba'!$D270-D269-C269</f>
        <v>1583</v>
      </c>
      <c r="K270" s="9">
        <f>'ODOMETERS Halba'!$E270+'ODOMETERS Halba'!$F270-F269-E269</f>
        <v>474</v>
      </c>
      <c r="L270" s="9">
        <f>'ODOMETERS Halba'!$G270+'ODOMETERS Halba'!$H270-H269-G269</f>
        <v>1233</v>
      </c>
      <c r="M270" s="9">
        <f>'ODOMETERS Halba'!$J270+'ODOMETERS Halba'!$K270+'ODOMETERS Halba'!$L270</f>
        <v>3290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12">
        <v>46175</v>
      </c>
      <c r="B271" s="5" t="s">
        <v>25</v>
      </c>
      <c r="C271" s="5">
        <v>324652</v>
      </c>
      <c r="D271" s="5">
        <v>108382</v>
      </c>
      <c r="E271" s="5">
        <v>273436</v>
      </c>
      <c r="F271" s="5">
        <v>71409</v>
      </c>
      <c r="G271" s="5">
        <v>41458</v>
      </c>
      <c r="H271" s="5">
        <v>11655</v>
      </c>
      <c r="I271" s="5"/>
      <c r="J271" s="9">
        <f>'ODOMETERS Halba'!$C271+'ODOMETERS Halba'!$D271-D270-C270</f>
        <v>1189</v>
      </c>
      <c r="K271" s="9">
        <f>'ODOMETERS Halba'!$E271+'ODOMETERS Halba'!$F271-F270-E270</f>
        <v>1119</v>
      </c>
      <c r="L271" s="9">
        <f>'ODOMETERS Halba'!$G271+'ODOMETERS Halba'!$H271-H270-G270</f>
        <v>717</v>
      </c>
      <c r="M271" s="9">
        <f>'ODOMETERS Halba'!$J271+'ODOMETERS Halba'!$K271+'ODOMETERS Halba'!$L271</f>
        <v>3025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12">
        <v>46176</v>
      </c>
      <c r="B272" s="5"/>
      <c r="C272" s="5">
        <v>326406</v>
      </c>
      <c r="D272" s="5">
        <v>108893</v>
      </c>
      <c r="E272" s="5">
        <v>274880</v>
      </c>
      <c r="F272" s="5">
        <v>72112</v>
      </c>
      <c r="G272" s="5">
        <v>41937</v>
      </c>
      <c r="H272" s="5">
        <v>11756</v>
      </c>
      <c r="I272" s="5"/>
      <c r="J272" s="9">
        <f>'ODOMETERS Halba'!$C272+'ODOMETERS Halba'!$D272-D271-C271</f>
        <v>2265</v>
      </c>
      <c r="K272" s="9">
        <f>'ODOMETERS Halba'!$E272+'ODOMETERS Halba'!$F272-F271-E271</f>
        <v>2147</v>
      </c>
      <c r="L272" s="9">
        <f>'ODOMETERS Halba'!$G272+'ODOMETERS Halba'!$H272-H271-G271</f>
        <v>580</v>
      </c>
      <c r="M272" s="9">
        <f>'ODOMETERS Halba'!$J272+'ODOMETERS Halba'!$K272+'ODOMETERS Halba'!$L272</f>
        <v>4992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12">
        <v>46177</v>
      </c>
      <c r="B273" s="5"/>
      <c r="C273" s="5">
        <v>328061</v>
      </c>
      <c r="D273" s="5">
        <v>109235</v>
      </c>
      <c r="E273" s="5">
        <v>276309</v>
      </c>
      <c r="F273" s="5">
        <v>72363</v>
      </c>
      <c r="G273" s="5">
        <v>42520</v>
      </c>
      <c r="H273" s="5">
        <v>12003</v>
      </c>
      <c r="I273" s="5"/>
      <c r="J273" s="9">
        <f>'ODOMETERS Halba'!$C273+'ODOMETERS Halba'!$D273-D272-C272</f>
        <v>1997</v>
      </c>
      <c r="K273" s="9">
        <f>'ODOMETERS Halba'!$E273+'ODOMETERS Halba'!$F273-F272-E272</f>
        <v>1680</v>
      </c>
      <c r="L273" s="9">
        <f>'ODOMETERS Halba'!$G273+'ODOMETERS Halba'!$H273-H272-G272</f>
        <v>830</v>
      </c>
      <c r="M273" s="9">
        <f>'ODOMETERS Halba'!$J273+'ODOMETERS Halba'!$K273+'ODOMETERS Halba'!$L273</f>
        <v>4507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12">
        <v>46178</v>
      </c>
      <c r="B274" s="5" t="s">
        <v>24</v>
      </c>
      <c r="C274" s="5">
        <v>328828</v>
      </c>
      <c r="D274" s="5">
        <v>109528</v>
      </c>
      <c r="E274" s="5">
        <v>276947</v>
      </c>
      <c r="F274" s="5">
        <v>72481</v>
      </c>
      <c r="G274" s="5">
        <v>43007</v>
      </c>
      <c r="H274" s="5">
        <v>12134</v>
      </c>
      <c r="I274" s="5"/>
      <c r="J274" s="9">
        <f>'ODOMETERS Halba'!$C274+'ODOMETERS Halba'!$D274-D273-C273</f>
        <v>1060</v>
      </c>
      <c r="K274" s="9">
        <f>'ODOMETERS Halba'!$E274+'ODOMETERS Halba'!$F274-F273-E273</f>
        <v>756</v>
      </c>
      <c r="L274" s="9">
        <f>'ODOMETERS Halba'!$G274+'ODOMETERS Halba'!$H274-H273-G273</f>
        <v>618</v>
      </c>
      <c r="M274" s="9">
        <f>'ODOMETERS Halba'!$J274+'ODOMETERS Halba'!$K274+'ODOMETERS Halba'!$L274</f>
        <v>2434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12">
        <v>46178</v>
      </c>
      <c r="B275" s="5" t="s">
        <v>25</v>
      </c>
      <c r="C275" s="5">
        <v>329515</v>
      </c>
      <c r="D275" s="5">
        <v>109714</v>
      </c>
      <c r="E275" s="5">
        <v>278170</v>
      </c>
      <c r="F275" s="5">
        <v>72719</v>
      </c>
      <c r="G275" s="5">
        <v>44096</v>
      </c>
      <c r="H275" s="5">
        <v>12237</v>
      </c>
      <c r="I275" s="5"/>
      <c r="J275" s="9">
        <f>'ODOMETERS Halba'!$C275+'ODOMETERS Halba'!$D275-D274-C274</f>
        <v>873</v>
      </c>
      <c r="K275" s="9">
        <f>'ODOMETERS Halba'!$E275+'ODOMETERS Halba'!$F275-F274-E274</f>
        <v>1461</v>
      </c>
      <c r="L275" s="9">
        <f>'ODOMETERS Halba'!$G275+'ODOMETERS Halba'!$H275-H274-G274</f>
        <v>1192</v>
      </c>
      <c r="M275" s="9">
        <f>'ODOMETERS Halba'!$J275+'ODOMETERS Halba'!$K275+'ODOMETERS Halba'!$L275</f>
        <v>3526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12">
        <v>46179</v>
      </c>
      <c r="B276" s="5"/>
      <c r="C276" s="5">
        <v>331205</v>
      </c>
      <c r="D276" s="5">
        <v>110109</v>
      </c>
      <c r="E276" s="5">
        <v>279544</v>
      </c>
      <c r="F276" s="5">
        <v>73049</v>
      </c>
      <c r="G276" s="5">
        <v>44863</v>
      </c>
      <c r="H276" s="5">
        <v>12345</v>
      </c>
      <c r="I276" s="5"/>
      <c r="J276" s="9">
        <f>'ODOMETERS Halba'!$C276+'ODOMETERS Halba'!$D276-D275-C275</f>
        <v>2085</v>
      </c>
      <c r="K276" s="9">
        <f>'ODOMETERS Halba'!$E276+'ODOMETERS Halba'!$F276-F275-E275</f>
        <v>1704</v>
      </c>
      <c r="L276" s="9">
        <f>'ODOMETERS Halba'!$G276+'ODOMETERS Halba'!$H276-H275-G275</f>
        <v>875</v>
      </c>
      <c r="M276" s="9">
        <f>'ODOMETERS Halba'!$J276+'ODOMETERS Halba'!$K276+'ODOMETERS Halba'!$L276</f>
        <v>4664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12">
        <v>46180</v>
      </c>
      <c r="B277" s="5"/>
      <c r="C277" s="5">
        <v>332907</v>
      </c>
      <c r="D277" s="5">
        <v>110656</v>
      </c>
      <c r="E277" s="5">
        <v>281091</v>
      </c>
      <c r="F277" s="5">
        <v>73231</v>
      </c>
      <c r="G277" s="5">
        <v>45097</v>
      </c>
      <c r="H277" s="5">
        <v>12490</v>
      </c>
      <c r="I277" s="5"/>
      <c r="J277" s="9">
        <f>'ODOMETERS Halba'!$C277+'ODOMETERS Halba'!$D277-D276-C276</f>
        <v>2249</v>
      </c>
      <c r="K277" s="9">
        <f>'ODOMETERS Halba'!$E277+'ODOMETERS Halba'!$F277-F276-E276</f>
        <v>1729</v>
      </c>
      <c r="L277" s="9">
        <f>'ODOMETERS Halba'!$G277+'ODOMETERS Halba'!$H277-H276-G276</f>
        <v>379</v>
      </c>
      <c r="M277" s="9">
        <f>'ODOMETERS Halba'!$J277+'ODOMETERS Halba'!$K277+'ODOMETERS Halba'!$L277</f>
        <v>4357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12">
        <v>46181</v>
      </c>
      <c r="B278" s="5"/>
      <c r="C278" s="5">
        <v>334890</v>
      </c>
      <c r="D278" s="5">
        <v>111103</v>
      </c>
      <c r="E278" s="5">
        <v>282515</v>
      </c>
      <c r="F278" s="5">
        <v>73497</v>
      </c>
      <c r="G278" s="5">
        <v>46094</v>
      </c>
      <c r="H278" s="5">
        <v>12661</v>
      </c>
      <c r="I278" s="5"/>
      <c r="J278" s="9">
        <f>'ODOMETERS Halba'!$C278+'ODOMETERS Halba'!$D278-D277-C277</f>
        <v>2430</v>
      </c>
      <c r="K278" s="9">
        <f>'ODOMETERS Halba'!$E278+'ODOMETERS Halba'!$F278-F277-E277</f>
        <v>1690</v>
      </c>
      <c r="L278" s="9">
        <f>'ODOMETERS Halba'!$G278+'ODOMETERS Halba'!$H278-H277-G277</f>
        <v>1168</v>
      </c>
      <c r="M278" s="9">
        <f>'ODOMETERS Halba'!$J278+'ODOMETERS Halba'!$K278+'ODOMETERS Halba'!$L278</f>
        <v>5288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12">
        <v>46182</v>
      </c>
      <c r="B279" s="5" t="s">
        <v>24</v>
      </c>
      <c r="C279" s="5">
        <v>335878</v>
      </c>
      <c r="D279" s="5">
        <v>111316</v>
      </c>
      <c r="E279" s="5">
        <v>282975</v>
      </c>
      <c r="F279" s="5">
        <v>73602</v>
      </c>
      <c r="G279" s="5">
        <v>46345</v>
      </c>
      <c r="H279" s="5">
        <v>12725</v>
      </c>
      <c r="I279" s="5"/>
      <c r="J279" s="9">
        <f>'ODOMETERS Halba'!$C279+'ODOMETERS Halba'!$D279-D278-C278</f>
        <v>1201</v>
      </c>
      <c r="K279" s="9">
        <f>'ODOMETERS Halba'!$E279+'ODOMETERS Halba'!$F279-F278-E278</f>
        <v>565</v>
      </c>
      <c r="L279" s="9">
        <f>'ODOMETERS Halba'!$G279+'ODOMETERS Halba'!$H279-H278-G278</f>
        <v>315</v>
      </c>
      <c r="M279" s="9">
        <f>'ODOMETERS Halba'!$J279+'ODOMETERS Halba'!$K279+'ODOMETERS Halba'!$L279</f>
        <v>2081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12">
        <v>46182</v>
      </c>
      <c r="B280" s="5" t="s">
        <v>25</v>
      </c>
      <c r="C280" s="5">
        <v>336593</v>
      </c>
      <c r="D280" s="5">
        <v>111477</v>
      </c>
      <c r="E280" s="5">
        <v>283667</v>
      </c>
      <c r="F280" s="5">
        <v>73703</v>
      </c>
      <c r="G280" s="5">
        <v>46984</v>
      </c>
      <c r="H280" s="5">
        <v>12794</v>
      </c>
      <c r="I280" s="5"/>
      <c r="J280" s="9">
        <f>'ODOMETERS Halba'!$C280+'ODOMETERS Halba'!$D280-D279-C279</f>
        <v>876</v>
      </c>
      <c r="K280" s="9">
        <f>'ODOMETERS Halba'!$E280+'ODOMETERS Halba'!$F280-F279-E279</f>
        <v>793</v>
      </c>
      <c r="L280" s="9">
        <f>'ODOMETERS Halba'!$G280+'ODOMETERS Halba'!$H280-H279-G279</f>
        <v>708</v>
      </c>
      <c r="M280" s="9">
        <f>'ODOMETERS Halba'!$J280+'ODOMETERS Halba'!$K280+'ODOMETERS Halba'!$L280</f>
        <v>2377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12">
        <v>46183</v>
      </c>
      <c r="B281" s="5"/>
      <c r="C281" s="5">
        <v>338191</v>
      </c>
      <c r="D281" s="5">
        <v>111891</v>
      </c>
      <c r="E281" s="5">
        <v>285048</v>
      </c>
      <c r="F281" s="5">
        <v>74035</v>
      </c>
      <c r="G281" s="5">
        <v>47624</v>
      </c>
      <c r="H281" s="5">
        <v>12875</v>
      </c>
      <c r="I281" s="5"/>
      <c r="J281" s="9">
        <f>'ODOMETERS Halba'!$C281+'ODOMETERS Halba'!$D281-D280-C280</f>
        <v>2012</v>
      </c>
      <c r="K281" s="9">
        <f>'ODOMETERS Halba'!$E281+'ODOMETERS Halba'!$F281-F280-E280</f>
        <v>1713</v>
      </c>
      <c r="L281" s="9">
        <f>'ODOMETERS Halba'!$G281+'ODOMETERS Halba'!$H281-H280-G280</f>
        <v>721</v>
      </c>
      <c r="M281" s="9">
        <f>'ODOMETERS Halba'!$J281+'ODOMETERS Halba'!$K281+'ODOMETERS Halba'!$L281</f>
        <v>4446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12">
        <v>46184</v>
      </c>
      <c r="B282" s="5"/>
      <c r="C282" s="5">
        <v>339623</v>
      </c>
      <c r="D282" s="5">
        <v>112261</v>
      </c>
      <c r="E282" s="5">
        <v>286603</v>
      </c>
      <c r="F282" s="5">
        <v>74260</v>
      </c>
      <c r="G282" s="5">
        <v>49581</v>
      </c>
      <c r="H282" s="5">
        <v>13054</v>
      </c>
      <c r="I282" s="5"/>
      <c r="J282" s="9">
        <f>'ODOMETERS Halba'!$C282+'ODOMETERS Halba'!$D282-D281-C281</f>
        <v>1802</v>
      </c>
      <c r="K282" s="9">
        <f>'ODOMETERS Halba'!$E282+'ODOMETERS Halba'!$F282-F281-E281</f>
        <v>1780</v>
      </c>
      <c r="L282" s="9">
        <f>'ODOMETERS Halba'!$G282+'ODOMETERS Halba'!$H282-H281-G281</f>
        <v>2136</v>
      </c>
      <c r="M282" s="9">
        <f>'ODOMETERS Halba'!$J282+'ODOMETERS Halba'!$K282+'ODOMETERS Halba'!$L282</f>
        <v>5718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12">
        <v>46185</v>
      </c>
      <c r="B283" s="5" t="s">
        <v>24</v>
      </c>
      <c r="C283" s="5">
        <v>340598</v>
      </c>
      <c r="D283" s="5">
        <v>112535</v>
      </c>
      <c r="E283" s="5">
        <v>287187</v>
      </c>
      <c r="F283" s="5">
        <v>74566</v>
      </c>
      <c r="G283" s="5">
        <v>49738</v>
      </c>
      <c r="H283" s="5">
        <v>13079</v>
      </c>
      <c r="I283" s="5"/>
      <c r="J283" s="9">
        <f>'ODOMETERS Halba'!$C283+'ODOMETERS Halba'!$D283-D282-C282</f>
        <v>1249</v>
      </c>
      <c r="K283" s="9">
        <f>'ODOMETERS Halba'!$E283+'ODOMETERS Halba'!$F283-F282-E282</f>
        <v>890</v>
      </c>
      <c r="L283" s="9">
        <f>'ODOMETERS Halba'!$G283+'ODOMETERS Halba'!$H283-H282-G282</f>
        <v>182</v>
      </c>
      <c r="M283" s="9">
        <f>'ODOMETERS Halba'!$J283+'ODOMETERS Halba'!$K283+'ODOMETERS Halba'!$L283</f>
        <v>2321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12">
        <v>46185</v>
      </c>
      <c r="B284" s="5" t="s">
        <v>25</v>
      </c>
      <c r="C284" s="5">
        <v>341455</v>
      </c>
      <c r="D284" s="5">
        <v>112760</v>
      </c>
      <c r="E284" s="5">
        <v>287651</v>
      </c>
      <c r="F284" s="5">
        <v>74603</v>
      </c>
      <c r="G284" s="5">
        <v>51089</v>
      </c>
      <c r="H284" s="5">
        <v>13220</v>
      </c>
      <c r="I284" s="5"/>
      <c r="J284" s="9">
        <f>'ODOMETERS Halba'!$C284+'ODOMETERS Halba'!$D284-D283-C283</f>
        <v>1082</v>
      </c>
      <c r="K284" s="9">
        <f>'ODOMETERS Halba'!$E284+'ODOMETERS Halba'!$F284-F283-E283</f>
        <v>501</v>
      </c>
      <c r="L284" s="9">
        <f>'ODOMETERS Halba'!$G284+'ODOMETERS Halba'!$H284-H283-G283</f>
        <v>1492</v>
      </c>
      <c r="M284" s="9">
        <f>'ODOMETERS Halba'!$J284+'ODOMETERS Halba'!$K284+'ODOMETERS Halba'!$L284</f>
        <v>3075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12">
        <v>46186</v>
      </c>
      <c r="B285" s="5"/>
      <c r="C285" s="5">
        <v>343560</v>
      </c>
      <c r="D285" s="5">
        <v>113322</v>
      </c>
      <c r="E285" s="5">
        <v>289035</v>
      </c>
      <c r="F285" s="5">
        <v>74908</v>
      </c>
      <c r="G285" s="5">
        <v>51605</v>
      </c>
      <c r="H285" s="5">
        <v>13337</v>
      </c>
      <c r="I285" s="5"/>
      <c r="J285" s="9">
        <f>'ODOMETERS Halba'!$C285+'ODOMETERS Halba'!$D285-D284-C284</f>
        <v>2667</v>
      </c>
      <c r="K285" s="9">
        <f>'ODOMETERS Halba'!$E285+'ODOMETERS Halba'!$F285-F284-E284</f>
        <v>1689</v>
      </c>
      <c r="L285" s="9">
        <f>'ODOMETERS Halba'!$G285+'ODOMETERS Halba'!$H285-H284-G284</f>
        <v>633</v>
      </c>
      <c r="M285" s="9">
        <f>'ODOMETERS Halba'!$J285+'ODOMETERS Halba'!$K285+'ODOMETERS Halba'!$L285</f>
        <v>4989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12">
        <v>46187</v>
      </c>
      <c r="B286" s="5"/>
      <c r="C286" s="5">
        <v>345856</v>
      </c>
      <c r="D286" s="5">
        <v>115736</v>
      </c>
      <c r="E286" s="5">
        <v>291523</v>
      </c>
      <c r="F286" s="5">
        <v>75149</v>
      </c>
      <c r="G286" s="5">
        <v>52207</v>
      </c>
      <c r="H286" s="5">
        <v>13429</v>
      </c>
      <c r="I286" s="5"/>
      <c r="J286" s="9">
        <f>'ODOMETERS Halba'!$C286+'ODOMETERS Halba'!$D286-D285-C285</f>
        <v>4710</v>
      </c>
      <c r="K286" s="9">
        <f>'ODOMETERS Halba'!$E286+'ODOMETERS Halba'!$F286-F285-E285</f>
        <v>2729</v>
      </c>
      <c r="L286" s="9">
        <f>'ODOMETERS Halba'!$G286+'ODOMETERS Halba'!$H286-H285-G285</f>
        <v>694</v>
      </c>
      <c r="M286" s="9">
        <f>'ODOMETERS Halba'!$J286+'ODOMETERS Halba'!$K286+'ODOMETERS Halba'!$L286</f>
        <v>8133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12">
        <v>46188</v>
      </c>
      <c r="B287" s="5" t="s">
        <v>24</v>
      </c>
      <c r="C287" s="5">
        <v>347199</v>
      </c>
      <c r="D287" s="5">
        <v>115998</v>
      </c>
      <c r="E287" s="5">
        <v>292616</v>
      </c>
      <c r="F287" s="5">
        <v>75326</v>
      </c>
      <c r="G287" s="5">
        <v>52817</v>
      </c>
      <c r="H287" s="5">
        <v>13512</v>
      </c>
      <c r="I287" s="5"/>
      <c r="J287" s="9">
        <f>'ODOMETERS Halba'!$C287+'ODOMETERS Halba'!$D287-D286-C286</f>
        <v>1605</v>
      </c>
      <c r="K287" s="9">
        <f>'ODOMETERS Halba'!$E287+'ODOMETERS Halba'!$F287-F286-E286</f>
        <v>1270</v>
      </c>
      <c r="L287" s="9">
        <f>'ODOMETERS Halba'!$G287+'ODOMETERS Halba'!$H287-H286-G286</f>
        <v>693</v>
      </c>
      <c r="M287" s="9">
        <f>'ODOMETERS Halba'!$J287+'ODOMETERS Halba'!$K287+'ODOMETERS Halba'!$L287</f>
        <v>3568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12">
        <v>46188</v>
      </c>
      <c r="B288" s="5" t="s">
        <v>25</v>
      </c>
      <c r="C288" s="5">
        <v>348633</v>
      </c>
      <c r="D288" s="5">
        <v>116336</v>
      </c>
      <c r="E288" s="5">
        <v>292698</v>
      </c>
      <c r="F288" s="5">
        <v>75329</v>
      </c>
      <c r="G288" s="5">
        <v>53436</v>
      </c>
      <c r="H288" s="5">
        <v>13664</v>
      </c>
      <c r="I288" s="5"/>
      <c r="J288" s="9">
        <f>'ODOMETERS Halba'!$C288+'ODOMETERS Halba'!$D288-D287-C287</f>
        <v>1772</v>
      </c>
      <c r="K288" s="9">
        <f>'ODOMETERS Halba'!$E288+'ODOMETERS Halba'!$F288-F287-E287</f>
        <v>85</v>
      </c>
      <c r="L288" s="9">
        <f>'ODOMETERS Halba'!$G288+'ODOMETERS Halba'!$H288-H287-G287</f>
        <v>771</v>
      </c>
      <c r="M288" s="9">
        <f>'ODOMETERS Halba'!$J288+'ODOMETERS Halba'!$K288+'ODOMETERS Halba'!$L288</f>
        <v>2628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12">
        <v>46189</v>
      </c>
      <c r="B289" s="5"/>
      <c r="C289" s="5">
        <v>350599</v>
      </c>
      <c r="D289" s="5">
        <v>117708</v>
      </c>
      <c r="E289" s="5">
        <v>295382</v>
      </c>
      <c r="F289" s="5">
        <v>75564</v>
      </c>
      <c r="G289" s="5">
        <v>53990</v>
      </c>
      <c r="H289" s="5">
        <v>13748</v>
      </c>
      <c r="I289" s="5"/>
      <c r="J289" s="9">
        <f>'ODOMETERS Halba'!$C289+'ODOMETERS Halba'!$D289-D288-C288</f>
        <v>3338</v>
      </c>
      <c r="K289" s="9">
        <f>'ODOMETERS Halba'!$E289+'ODOMETERS Halba'!$F289-F288-E288</f>
        <v>2919</v>
      </c>
      <c r="L289" s="9">
        <f>'ODOMETERS Halba'!$G289+'ODOMETERS Halba'!$H289-H288-G288</f>
        <v>638</v>
      </c>
      <c r="M289" s="9">
        <f>'ODOMETERS Halba'!$J289+'ODOMETERS Halba'!$K289+'ODOMETERS Halba'!$L289</f>
        <v>6895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12">
        <v>46190</v>
      </c>
      <c r="B290" s="5"/>
      <c r="C290" s="5">
        <v>352178</v>
      </c>
      <c r="D290" s="5">
        <v>118175</v>
      </c>
      <c r="E290" s="5">
        <v>296386</v>
      </c>
      <c r="F290" s="5">
        <v>75727</v>
      </c>
      <c r="G290" s="5">
        <v>54414</v>
      </c>
      <c r="H290" s="5">
        <v>13973</v>
      </c>
      <c r="I290" s="5"/>
      <c r="J290" s="9">
        <f>'ODOMETERS Halba'!$C290+'ODOMETERS Halba'!$D290-D289-C289</f>
        <v>2046</v>
      </c>
      <c r="K290" s="9">
        <f>'ODOMETERS Halba'!$E290+'ODOMETERS Halba'!$F290-F289-E289</f>
        <v>1167</v>
      </c>
      <c r="L290" s="9">
        <f>'ODOMETERS Halba'!$G290+'ODOMETERS Halba'!$H290-H289-G289</f>
        <v>649</v>
      </c>
      <c r="M290" s="9">
        <f>'ODOMETERS Halba'!$J290+'ODOMETERS Halba'!$K290+'ODOMETERS Halba'!$L290</f>
        <v>3862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12">
        <v>46191</v>
      </c>
      <c r="B291" s="5"/>
      <c r="C291" s="5">
        <v>353934</v>
      </c>
      <c r="D291" s="5">
        <v>118827</v>
      </c>
      <c r="E291" s="5">
        <v>297736</v>
      </c>
      <c r="F291" s="5">
        <v>76632</v>
      </c>
      <c r="G291" s="5">
        <v>56133</v>
      </c>
      <c r="H291" s="5">
        <v>14096</v>
      </c>
      <c r="I291" s="5"/>
      <c r="J291" s="9">
        <f>'ODOMETERS Halba'!$C291+'ODOMETERS Halba'!$D291-D290-C290</f>
        <v>2408</v>
      </c>
      <c r="K291" s="9">
        <f>'ODOMETERS Halba'!$E291+'ODOMETERS Halba'!$F291-F290-E290</f>
        <v>2255</v>
      </c>
      <c r="L291" s="9">
        <f>'ODOMETERS Halba'!$G291+'ODOMETERS Halba'!$H291-H290-G290</f>
        <v>1842</v>
      </c>
      <c r="M291" s="9">
        <f>'ODOMETERS Halba'!$J291+'ODOMETERS Halba'!$K291+'ODOMETERS Halba'!$L291</f>
        <v>6505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12">
        <v>46192</v>
      </c>
      <c r="B292" s="5" t="s">
        <v>24</v>
      </c>
      <c r="C292" s="5">
        <v>354378</v>
      </c>
      <c r="D292" s="5">
        <v>118969</v>
      </c>
      <c r="E292" s="5">
        <v>298943</v>
      </c>
      <c r="F292" s="5">
        <v>76877</v>
      </c>
      <c r="G292" s="5">
        <v>56456</v>
      </c>
      <c r="H292" s="5">
        <v>14186</v>
      </c>
      <c r="I292" s="5"/>
      <c r="J292" s="9">
        <f>'ODOMETERS Halba'!$C292+'ODOMETERS Halba'!$D292-D291-C291</f>
        <v>586</v>
      </c>
      <c r="K292" s="9">
        <f>'ODOMETERS Halba'!$E292+'ODOMETERS Halba'!$F292-F291-E291</f>
        <v>1452</v>
      </c>
      <c r="L292" s="9">
        <f>'ODOMETERS Halba'!$G292+'ODOMETERS Halba'!$H292-H291-G291</f>
        <v>413</v>
      </c>
      <c r="M292" s="9">
        <f>'ODOMETERS Halba'!$J292+'ODOMETERS Halba'!$K292+'ODOMETERS Halba'!$L292</f>
        <v>2451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12">
        <v>46192</v>
      </c>
      <c r="B293" s="5" t="s">
        <v>25</v>
      </c>
      <c r="C293" s="5">
        <v>355357</v>
      </c>
      <c r="D293" s="5">
        <v>119237</v>
      </c>
      <c r="E293" s="5">
        <v>299743</v>
      </c>
      <c r="F293" s="5">
        <v>77081</v>
      </c>
      <c r="G293" s="5">
        <v>56652</v>
      </c>
      <c r="H293" s="5">
        <v>14300</v>
      </c>
      <c r="I293" s="5"/>
      <c r="J293" s="9">
        <f>'ODOMETERS Halba'!$C293+'ODOMETERS Halba'!$D293-D292-C292</f>
        <v>1247</v>
      </c>
      <c r="K293" s="9">
        <f>'ODOMETERS Halba'!$E293+'ODOMETERS Halba'!$F293-F292-E292</f>
        <v>1004</v>
      </c>
      <c r="L293" s="9">
        <f>'ODOMETERS Halba'!$G293+'ODOMETERS Halba'!$H293-H292-G292</f>
        <v>310</v>
      </c>
      <c r="M293" s="9">
        <f>'ODOMETERS Halba'!$J293+'ODOMETERS Halba'!$K293+'ODOMETERS Halba'!$L293</f>
        <v>2561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12">
        <v>46193</v>
      </c>
      <c r="B294" s="5"/>
      <c r="C294" s="5">
        <v>356991</v>
      </c>
      <c r="D294" s="5">
        <v>119691</v>
      </c>
      <c r="E294" s="5">
        <v>301655</v>
      </c>
      <c r="F294" s="5">
        <v>77487</v>
      </c>
      <c r="G294" s="5">
        <v>56947</v>
      </c>
      <c r="H294" s="5">
        <v>14492</v>
      </c>
      <c r="I294" s="5"/>
      <c r="J294" s="9">
        <f>'ODOMETERS Halba'!$C294+'ODOMETERS Halba'!$D294-D293-C293</f>
        <v>2088</v>
      </c>
      <c r="K294" s="9">
        <f>'ODOMETERS Halba'!$E294+'ODOMETERS Halba'!$F294-F293-E293</f>
        <v>2318</v>
      </c>
      <c r="L294" s="9">
        <f>'ODOMETERS Halba'!$G294+'ODOMETERS Halba'!$H294-H293-G293</f>
        <v>487</v>
      </c>
      <c r="M294" s="9">
        <f>'ODOMETERS Halba'!$J294+'ODOMETERS Halba'!$K294+'ODOMETERS Halba'!$L294</f>
        <v>4893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12">
        <v>46194</v>
      </c>
      <c r="B295" s="5"/>
      <c r="C295" s="5">
        <v>359300</v>
      </c>
      <c r="D295" s="5">
        <v>120186</v>
      </c>
      <c r="E295" s="5">
        <v>303306</v>
      </c>
      <c r="F295" s="5">
        <v>78356</v>
      </c>
      <c r="G295" s="5">
        <v>58537</v>
      </c>
      <c r="H295" s="5">
        <v>14891</v>
      </c>
      <c r="I295" s="5"/>
      <c r="J295" s="9">
        <f>'ODOMETERS Halba'!$C295+'ODOMETERS Halba'!$D295-D294-C294</f>
        <v>2804</v>
      </c>
      <c r="K295" s="9">
        <f>'ODOMETERS Halba'!$E295+'ODOMETERS Halba'!$F295-F294-E294</f>
        <v>2520</v>
      </c>
      <c r="L295" s="9">
        <f>'ODOMETERS Halba'!$G295+'ODOMETERS Halba'!$H295-H294-G294</f>
        <v>1989</v>
      </c>
      <c r="M295" s="9">
        <f>'ODOMETERS Halba'!$J295+'ODOMETERS Halba'!$K295+'ODOMETERS Halba'!$L295</f>
        <v>7313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12">
        <v>46195</v>
      </c>
      <c r="B296" s="5"/>
      <c r="C296" s="5">
        <v>362498</v>
      </c>
      <c r="D296" s="5">
        <v>121898</v>
      </c>
      <c r="E296" s="5">
        <v>305460</v>
      </c>
      <c r="F296" s="5">
        <v>79169</v>
      </c>
      <c r="G296" s="5">
        <v>58984</v>
      </c>
      <c r="H296" s="5">
        <v>16091</v>
      </c>
      <c r="I296" s="5"/>
      <c r="J296" s="9">
        <f>'ODOMETERS Halba'!$C296+'ODOMETERS Halba'!$D296-D295-C295</f>
        <v>4910</v>
      </c>
      <c r="K296" s="9">
        <f>'ODOMETERS Halba'!$E296+'ODOMETERS Halba'!$F296-F295-E295</f>
        <v>2967</v>
      </c>
      <c r="L296" s="9">
        <f>'ODOMETERS Halba'!$G296+'ODOMETERS Halba'!$H296-H295-G295</f>
        <v>1647</v>
      </c>
      <c r="M296" s="9">
        <f>'ODOMETERS Halba'!$J296+'ODOMETERS Halba'!$K296+'ODOMETERS Halba'!$L296</f>
        <v>9524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12">
        <v>46196</v>
      </c>
      <c r="B297" s="5" t="s">
        <v>24</v>
      </c>
      <c r="C297" s="5">
        <v>363563</v>
      </c>
      <c r="D297" s="5">
        <v>122178</v>
      </c>
      <c r="E297" s="5">
        <v>305802</v>
      </c>
      <c r="F297" s="5">
        <v>79271</v>
      </c>
      <c r="G297" s="5">
        <v>59085</v>
      </c>
      <c r="H297" s="5">
        <v>16124</v>
      </c>
      <c r="I297" s="5"/>
      <c r="J297" s="9">
        <f>'ODOMETERS Halba'!$C297+'ODOMETERS Halba'!$D297-D296-C296</f>
        <v>1345</v>
      </c>
      <c r="K297" s="9">
        <f>'ODOMETERS Halba'!$E297+'ODOMETERS Halba'!$F297-F296-E296</f>
        <v>444</v>
      </c>
      <c r="L297" s="9">
        <f>'ODOMETERS Halba'!$G297+'ODOMETERS Halba'!$H297-H296-G296</f>
        <v>134</v>
      </c>
      <c r="M297" s="9">
        <f>'ODOMETERS Halba'!$J297+'ODOMETERS Halba'!$K297+'ODOMETERS Halba'!$L297</f>
        <v>1923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12">
        <v>46196</v>
      </c>
      <c r="B298" s="5" t="s">
        <v>25</v>
      </c>
      <c r="C298" s="5">
        <v>364924</v>
      </c>
      <c r="D298" s="5">
        <v>122504</v>
      </c>
      <c r="E298" s="5">
        <v>306074</v>
      </c>
      <c r="F298" s="5">
        <v>79316</v>
      </c>
      <c r="G298" s="5">
        <v>59981</v>
      </c>
      <c r="H298" s="5">
        <v>16247</v>
      </c>
      <c r="I298" s="5"/>
      <c r="J298" s="9">
        <f>'ODOMETERS Halba'!$C298+'ODOMETERS Halba'!$D298-D297-C297</f>
        <v>1687</v>
      </c>
      <c r="K298" s="9">
        <f>'ODOMETERS Halba'!$E298+'ODOMETERS Halba'!$F298-F297-E297</f>
        <v>317</v>
      </c>
      <c r="L298" s="9">
        <f>'ODOMETERS Halba'!$G298+'ODOMETERS Halba'!$H298-H297-G297</f>
        <v>1019</v>
      </c>
      <c r="M298" s="9">
        <f>'ODOMETERS Halba'!$J298+'ODOMETERS Halba'!$K298+'ODOMETERS Halba'!$L298</f>
        <v>3023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12">
        <v>46197</v>
      </c>
      <c r="B299" s="5"/>
      <c r="C299" s="5">
        <v>367041</v>
      </c>
      <c r="D299" s="5">
        <v>122940</v>
      </c>
      <c r="E299" s="5">
        <v>307718</v>
      </c>
      <c r="F299" s="5">
        <v>79600</v>
      </c>
      <c r="G299" s="5">
        <v>60807</v>
      </c>
      <c r="H299" s="5">
        <v>16527</v>
      </c>
      <c r="I299" s="5"/>
      <c r="J299" s="9">
        <f>'ODOMETERS Halba'!$C299+'ODOMETERS Halba'!$D299-D298-C298</f>
        <v>2553</v>
      </c>
      <c r="K299" s="9">
        <f>'ODOMETERS Halba'!$E299+'ODOMETERS Halba'!$F299-F298-E298</f>
        <v>1928</v>
      </c>
      <c r="L299" s="9">
        <f>'ODOMETERS Halba'!$G299+'ODOMETERS Halba'!$H299-H298-G298</f>
        <v>1106</v>
      </c>
      <c r="M299" s="9">
        <f>'ODOMETERS Halba'!$J299+'ODOMETERS Halba'!$K299+'ODOMETERS Halba'!$L299</f>
        <v>5587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12">
        <v>46198</v>
      </c>
      <c r="B300" s="5"/>
      <c r="C300" s="5">
        <v>368608</v>
      </c>
      <c r="D300" s="5">
        <v>123987</v>
      </c>
      <c r="E300" s="5">
        <v>309747</v>
      </c>
      <c r="F300" s="5">
        <v>79819</v>
      </c>
      <c r="G300" s="5">
        <v>61657</v>
      </c>
      <c r="H300" s="5">
        <v>16880</v>
      </c>
      <c r="I300" s="5"/>
      <c r="J300" s="9">
        <f>'ODOMETERS Halba'!$C300+'ODOMETERS Halba'!$D300-D299-C299</f>
        <v>2614</v>
      </c>
      <c r="K300" s="9">
        <f>'ODOMETERS Halba'!$E300+'ODOMETERS Halba'!$F300-F299-E299</f>
        <v>2248</v>
      </c>
      <c r="L300" s="9">
        <f>'ODOMETERS Halba'!$G300+'ODOMETERS Halba'!$H300-H299-G299</f>
        <v>1203</v>
      </c>
      <c r="M300" s="9">
        <f>'ODOMETERS Halba'!$J300+'ODOMETERS Halba'!$K300+'ODOMETERS Halba'!$L300</f>
        <v>6065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12">
        <v>46199</v>
      </c>
      <c r="B301" s="5"/>
      <c r="C301" s="5">
        <v>370360</v>
      </c>
      <c r="D301" s="5">
        <v>124491</v>
      </c>
      <c r="E301" s="5">
        <v>311150</v>
      </c>
      <c r="F301" s="5">
        <v>79963</v>
      </c>
      <c r="G301" s="5">
        <v>62881</v>
      </c>
      <c r="H301" s="5">
        <v>17051</v>
      </c>
      <c r="I301" s="5"/>
      <c r="J301" s="9">
        <f>'ODOMETERS Halba'!$C301+'ODOMETERS Halba'!$D301-D300-C300</f>
        <v>2256</v>
      </c>
      <c r="K301" s="9">
        <f>'ODOMETERS Halba'!$E301+'ODOMETERS Halba'!$F301-F300-E300</f>
        <v>1547</v>
      </c>
      <c r="L301" s="9">
        <f>'ODOMETERS Halba'!$G301+'ODOMETERS Halba'!$H301-H300-G300</f>
        <v>1395</v>
      </c>
      <c r="M301" s="9">
        <f>'ODOMETERS Halba'!$J301+'ODOMETERS Halba'!$K301+'ODOMETERS Halba'!$L301</f>
        <v>5198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12">
        <v>46200</v>
      </c>
      <c r="B302" s="5"/>
      <c r="C302" s="5">
        <v>372099</v>
      </c>
      <c r="D302" s="5">
        <v>124981</v>
      </c>
      <c r="E302" s="5">
        <v>312724</v>
      </c>
      <c r="F302" s="5">
        <v>80253</v>
      </c>
      <c r="G302" s="5">
        <v>63989</v>
      </c>
      <c r="H302" s="5">
        <v>17318</v>
      </c>
      <c r="I302" s="5"/>
      <c r="J302" s="9">
        <f>'ODOMETERS Halba'!$C302+'ODOMETERS Halba'!$D302-D301-C301</f>
        <v>2229</v>
      </c>
      <c r="K302" s="9">
        <f>'ODOMETERS Halba'!$E302+'ODOMETERS Halba'!$F302-F301-E301</f>
        <v>1864</v>
      </c>
      <c r="L302" s="9">
        <f>'ODOMETERS Halba'!$G302+'ODOMETERS Halba'!$H302-H301-G301</f>
        <v>1375</v>
      </c>
      <c r="M302" s="9">
        <f>'ODOMETERS Halba'!$J302+'ODOMETERS Halba'!$K302+'ODOMETERS Halba'!$L302</f>
        <v>5468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12">
        <v>46201</v>
      </c>
      <c r="B303" s="5"/>
      <c r="C303" s="5">
        <v>373870</v>
      </c>
      <c r="D303" s="5">
        <v>125438</v>
      </c>
      <c r="E303" s="5">
        <v>314311</v>
      </c>
      <c r="F303" s="5">
        <v>80509</v>
      </c>
      <c r="G303" s="5">
        <v>64173</v>
      </c>
      <c r="H303" s="5">
        <v>17463</v>
      </c>
      <c r="I303" s="5"/>
      <c r="J303" s="9">
        <f>'ODOMETERS Halba'!$C303+'ODOMETERS Halba'!$D303-D302-C302</f>
        <v>2228</v>
      </c>
      <c r="K303" s="9">
        <f>'ODOMETERS Halba'!$E303+'ODOMETERS Halba'!$F303-F302-E302</f>
        <v>1843</v>
      </c>
      <c r="L303" s="9">
        <f>'ODOMETERS Halba'!$G303+'ODOMETERS Halba'!$H303-H302-G302</f>
        <v>329</v>
      </c>
      <c r="M303" s="9">
        <f>'ODOMETERS Halba'!$J303+'ODOMETERS Halba'!$K303+'ODOMETERS Halba'!$L303</f>
        <v>4400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12">
        <v>46202</v>
      </c>
      <c r="B304" s="5" t="s">
        <v>24</v>
      </c>
      <c r="C304" s="5">
        <v>375375</v>
      </c>
      <c r="D304" s="5">
        <v>126864</v>
      </c>
      <c r="E304" s="5">
        <v>316973</v>
      </c>
      <c r="F304" s="5">
        <v>80883</v>
      </c>
      <c r="G304" s="5">
        <v>64507</v>
      </c>
      <c r="H304" s="5">
        <v>17604</v>
      </c>
      <c r="I304" s="5"/>
      <c r="J304" s="9">
        <f>'ODOMETERS Halba'!$C304+'ODOMETERS Halba'!$D304-D303-C303</f>
        <v>2931</v>
      </c>
      <c r="K304" s="9">
        <f>'ODOMETERS Halba'!$E304+'ODOMETERS Halba'!$F304-F303-E303</f>
        <v>3036</v>
      </c>
      <c r="L304" s="9">
        <f>'ODOMETERS Halba'!$G304+'ODOMETERS Halba'!$H304-H303-G303</f>
        <v>475</v>
      </c>
      <c r="M304" s="9">
        <f>'ODOMETERS Halba'!$J304+'ODOMETERS Halba'!$K304+'ODOMETERS Halba'!$L304</f>
        <v>6442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12">
        <v>46202</v>
      </c>
      <c r="B305" s="5" t="s">
        <v>25</v>
      </c>
      <c r="C305" s="5">
        <v>375708</v>
      </c>
      <c r="D305" s="5">
        <v>126964</v>
      </c>
      <c r="E305" s="5">
        <v>317205</v>
      </c>
      <c r="F305" s="5">
        <v>80904</v>
      </c>
      <c r="G305" s="5">
        <v>64567</v>
      </c>
      <c r="H305" s="5">
        <v>17669</v>
      </c>
      <c r="I305" s="5"/>
      <c r="J305" s="9">
        <f>'ODOMETERS Halba'!$C305+'ODOMETERS Halba'!$D305-D304-C304</f>
        <v>433</v>
      </c>
      <c r="K305" s="9">
        <f>'ODOMETERS Halba'!$E305+'ODOMETERS Halba'!$F305-F304-E304</f>
        <v>253</v>
      </c>
      <c r="L305" s="9">
        <f>'ODOMETERS Halba'!$G305+'ODOMETERS Halba'!$H305-H304-G304</f>
        <v>125</v>
      </c>
      <c r="M305" s="9">
        <f>'ODOMETERS Halba'!$J305+'ODOMETERS Halba'!$K305+'ODOMETERS Halba'!$L305</f>
        <v>811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12">
        <v>46203</v>
      </c>
      <c r="B306" s="5"/>
      <c r="C306" s="5">
        <v>376811</v>
      </c>
      <c r="D306" s="5">
        <v>127154</v>
      </c>
      <c r="E306" s="5">
        <v>320337</v>
      </c>
      <c r="F306" s="5">
        <v>81722</v>
      </c>
      <c r="G306" s="5">
        <v>66179</v>
      </c>
      <c r="H306" s="5">
        <v>17776</v>
      </c>
      <c r="I306" s="5"/>
      <c r="J306" s="9">
        <f>'ODOMETERS Halba'!$C306+'ODOMETERS Halba'!$D306-D305-C305</f>
        <v>1293</v>
      </c>
      <c r="K306" s="9">
        <f>'ODOMETERS Halba'!$E306+'ODOMETERS Halba'!$F306-F305-E305</f>
        <v>3950</v>
      </c>
      <c r="L306" s="9">
        <f>'ODOMETERS Halba'!$G306+'ODOMETERS Halba'!$H306-H305-G305</f>
        <v>1719</v>
      </c>
      <c r="M306" s="9">
        <f>'ODOMETERS Halba'!$J306+'ODOMETERS Halba'!$K306+'ODOMETERS Halba'!$L306</f>
        <v>6962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12">
        <v>46204</v>
      </c>
      <c r="B307" s="5"/>
      <c r="C307" s="5">
        <v>378918</v>
      </c>
      <c r="D307" s="5">
        <v>127775</v>
      </c>
      <c r="E307" s="5">
        <v>322394</v>
      </c>
      <c r="F307" s="5">
        <v>82194</v>
      </c>
      <c r="G307" s="5">
        <v>66697</v>
      </c>
      <c r="H307" s="5">
        <v>17958</v>
      </c>
      <c r="I307" s="5"/>
      <c r="J307" s="9">
        <f>'ODOMETERS Halba'!$C307+'ODOMETERS Halba'!$D307-D306-C306</f>
        <v>2728</v>
      </c>
      <c r="K307" s="9">
        <f>'ODOMETERS Halba'!$E307+'ODOMETERS Halba'!$F307-F306-E306</f>
        <v>2529</v>
      </c>
      <c r="L307" s="9">
        <f>'ODOMETERS Halba'!$G307+'ODOMETERS Halba'!$H307-H306-G306</f>
        <v>700</v>
      </c>
      <c r="M307" s="9">
        <f>'ODOMETERS Halba'!$J307+'ODOMETERS Halba'!$K307+'ODOMETERS Halba'!$L307</f>
        <v>5957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12">
        <v>46205</v>
      </c>
      <c r="B308" s="5"/>
      <c r="C308" s="5">
        <v>382400</v>
      </c>
      <c r="D308" s="5">
        <v>129667</v>
      </c>
      <c r="E308" s="5">
        <v>324519</v>
      </c>
      <c r="F308" s="5">
        <v>82581</v>
      </c>
      <c r="G308" s="5">
        <v>68747</v>
      </c>
      <c r="H308" s="5">
        <v>18136</v>
      </c>
      <c r="I308" s="5"/>
      <c r="J308" s="9">
        <f>'ODOMETERS Halba'!$C308+'ODOMETERS Halba'!$D308-D307-C307</f>
        <v>5374</v>
      </c>
      <c r="K308" s="9">
        <f>'ODOMETERS Halba'!$E308+'ODOMETERS Halba'!$F308-F307-E307</f>
        <v>2512</v>
      </c>
      <c r="L308" s="9">
        <f>'ODOMETERS Halba'!$G308+'ODOMETERS Halba'!$H308-H307-G307</f>
        <v>2228</v>
      </c>
      <c r="M308" s="9">
        <f>'ODOMETERS Halba'!$J308+'ODOMETERS Halba'!$K308+'ODOMETERS Halba'!$L308</f>
        <v>10114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12">
        <v>46206</v>
      </c>
      <c r="B309" s="5" t="s">
        <v>24</v>
      </c>
      <c r="C309" s="5">
        <v>383361</v>
      </c>
      <c r="D309" s="5">
        <v>129933</v>
      </c>
      <c r="E309" s="5">
        <v>325412</v>
      </c>
      <c r="F309" s="5">
        <v>82771</v>
      </c>
      <c r="G309" s="5">
        <v>70337</v>
      </c>
      <c r="H309" s="5">
        <v>18337</v>
      </c>
      <c r="I309" s="5"/>
      <c r="J309" s="9">
        <f>'ODOMETERS Halba'!$C309+'ODOMETERS Halba'!$D309-D308-C308</f>
        <v>1227</v>
      </c>
      <c r="K309" s="9">
        <f>'ODOMETERS Halba'!$E309+'ODOMETERS Halba'!$F309-F308-E308</f>
        <v>1083</v>
      </c>
      <c r="L309" s="9">
        <f>'ODOMETERS Halba'!$G309+'ODOMETERS Halba'!$H309-H308-G308</f>
        <v>1791</v>
      </c>
      <c r="M309" s="9">
        <f>'ODOMETERS Halba'!$J309+'ODOMETERS Halba'!$K309+'ODOMETERS Halba'!$L309</f>
        <v>4101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12">
        <v>46206</v>
      </c>
      <c r="B310" s="5" t="s">
        <v>25</v>
      </c>
      <c r="C310" s="5">
        <v>383975</v>
      </c>
      <c r="D310" s="5">
        <v>130033</v>
      </c>
      <c r="E310" s="5">
        <v>326814</v>
      </c>
      <c r="F310" s="5">
        <v>83128</v>
      </c>
      <c r="G310" s="5">
        <v>71274</v>
      </c>
      <c r="H310" s="5">
        <v>18529</v>
      </c>
      <c r="I310" s="5"/>
      <c r="J310" s="9">
        <f>'ODOMETERS Halba'!$C310+'ODOMETERS Halba'!$D310-D309-C309</f>
        <v>714</v>
      </c>
      <c r="K310" s="9">
        <f>'ODOMETERS Halba'!$E310+'ODOMETERS Halba'!$F310-F309-E309</f>
        <v>1759</v>
      </c>
      <c r="L310" s="9">
        <f>'ODOMETERS Halba'!$G310+'ODOMETERS Halba'!$H310-H309-G309</f>
        <v>1129</v>
      </c>
      <c r="M310" s="9">
        <f>'ODOMETERS Halba'!$J310+'ODOMETERS Halba'!$K310+'ODOMETERS Halba'!$L310</f>
        <v>3602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12">
        <v>46207</v>
      </c>
      <c r="B311" s="5"/>
      <c r="C311" s="5">
        <v>386288</v>
      </c>
      <c r="D311" s="5">
        <v>131108</v>
      </c>
      <c r="E311" s="5">
        <v>329184</v>
      </c>
      <c r="F311" s="5">
        <v>83892</v>
      </c>
      <c r="G311" s="5">
        <v>72279</v>
      </c>
      <c r="H311" s="5">
        <v>18633</v>
      </c>
      <c r="I311" s="5"/>
      <c r="J311" s="9">
        <f>'ODOMETERS Halba'!$C311+'ODOMETERS Halba'!$D311-D310-C310</f>
        <v>3388</v>
      </c>
      <c r="K311" s="9">
        <f>'ODOMETERS Halba'!$E311+'ODOMETERS Halba'!$F311-F310-E310</f>
        <v>3134</v>
      </c>
      <c r="L311" s="9">
        <f>'ODOMETERS Halba'!$G311+'ODOMETERS Halba'!$H311-H310-G310</f>
        <v>1109</v>
      </c>
      <c r="M311" s="9">
        <f>'ODOMETERS Halba'!$J311+'ODOMETERS Halba'!$K311+'ODOMETERS Halba'!$L311</f>
        <v>7631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12">
        <v>46208</v>
      </c>
      <c r="B312" s="5"/>
      <c r="C312" s="5">
        <v>388513</v>
      </c>
      <c r="D312" s="5">
        <v>131686</v>
      </c>
      <c r="E312" s="5">
        <v>331069</v>
      </c>
      <c r="F312" s="5">
        <v>84197</v>
      </c>
      <c r="G312" s="5">
        <v>72368</v>
      </c>
      <c r="H312" s="5">
        <v>18878</v>
      </c>
      <c r="I312" s="5"/>
      <c r="J312" s="9">
        <f>'ODOMETERS Halba'!$C312+'ODOMETERS Halba'!$D312-D311-C311</f>
        <v>2803</v>
      </c>
      <c r="K312" s="9">
        <f>'ODOMETERS Halba'!$E312+'ODOMETERS Halba'!$F312-F311-E311</f>
        <v>2190</v>
      </c>
      <c r="L312" s="9">
        <f>'ODOMETERS Halba'!$G312+'ODOMETERS Halba'!$H312-H311-G311</f>
        <v>334</v>
      </c>
      <c r="M312" s="9">
        <f>'ODOMETERS Halba'!$J312+'ODOMETERS Halba'!$K312+'ODOMETERS Halba'!$L312</f>
        <v>5327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12">
        <v>46209</v>
      </c>
      <c r="B313" s="5"/>
      <c r="C313" s="5">
        <v>390955</v>
      </c>
      <c r="D313" s="5">
        <v>132731</v>
      </c>
      <c r="E313" s="5">
        <v>333766</v>
      </c>
      <c r="F313" s="5">
        <v>84509</v>
      </c>
      <c r="G313" s="5">
        <v>73358</v>
      </c>
      <c r="H313" s="5">
        <v>19114</v>
      </c>
      <c r="I313" s="5"/>
      <c r="J313" s="9">
        <f>'ODOMETERS Halba'!$C313+'ODOMETERS Halba'!$D313-D312-C312</f>
        <v>3487</v>
      </c>
      <c r="K313" s="9">
        <f>'ODOMETERS Halba'!$E313+'ODOMETERS Halba'!$F313-F312-E312</f>
        <v>3009</v>
      </c>
      <c r="L313" s="9">
        <f>'ODOMETERS Halba'!$G313+'ODOMETERS Halba'!$H313-H312-G312</f>
        <v>1226</v>
      </c>
      <c r="M313" s="9">
        <f>'ODOMETERS Halba'!$J313+'ODOMETERS Halba'!$K313+'ODOMETERS Halba'!$L313</f>
        <v>7722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12">
        <v>46210</v>
      </c>
      <c r="B314" s="5" t="s">
        <v>24</v>
      </c>
      <c r="C314" s="5">
        <v>392226</v>
      </c>
      <c r="D314" s="5">
        <v>133033</v>
      </c>
      <c r="E314" s="5">
        <v>334832</v>
      </c>
      <c r="F314" s="5">
        <v>84639</v>
      </c>
      <c r="G314" s="5">
        <v>74105</v>
      </c>
      <c r="H314" s="5">
        <v>19263</v>
      </c>
      <c r="I314" s="5"/>
      <c r="J314" s="9">
        <f>'ODOMETERS Halba'!$C314+'ODOMETERS Halba'!$D314-D313-C313</f>
        <v>1573</v>
      </c>
      <c r="K314" s="9">
        <f>'ODOMETERS Halba'!$E314+'ODOMETERS Halba'!$F314-F313-E313</f>
        <v>1196</v>
      </c>
      <c r="L314" s="9">
        <f>'ODOMETERS Halba'!$G314+'ODOMETERS Halba'!$H314-H313-G313</f>
        <v>896</v>
      </c>
      <c r="M314" s="9">
        <f>'ODOMETERS Halba'!$J314+'ODOMETERS Halba'!$K314+'ODOMETERS Halba'!$L314</f>
        <v>3665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12">
        <v>46210</v>
      </c>
      <c r="B315" s="5" t="s">
        <v>25</v>
      </c>
      <c r="C315" s="5">
        <v>393035</v>
      </c>
      <c r="D315" s="5">
        <v>133187</v>
      </c>
      <c r="E315" s="5">
        <v>335592</v>
      </c>
      <c r="F315" s="5">
        <v>84726</v>
      </c>
      <c r="G315" s="5">
        <v>74656</v>
      </c>
      <c r="H315" s="5">
        <v>19378</v>
      </c>
      <c r="I315" s="5"/>
      <c r="J315" s="9">
        <f>'ODOMETERS Halba'!$C315+'ODOMETERS Halba'!$D315-D314-C314</f>
        <v>963</v>
      </c>
      <c r="K315" s="9">
        <f>'ODOMETERS Halba'!$E315+'ODOMETERS Halba'!$F315-F314-E314</f>
        <v>847</v>
      </c>
      <c r="L315" s="9">
        <f>'ODOMETERS Halba'!$G315+'ODOMETERS Halba'!$H315-H314-G314</f>
        <v>666</v>
      </c>
      <c r="M315" s="9">
        <f>'ODOMETERS Halba'!$J315+'ODOMETERS Halba'!$K315+'ODOMETERS Halba'!$L315</f>
        <v>2476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12">
        <v>46211</v>
      </c>
      <c r="B316" s="5"/>
      <c r="C316" s="5">
        <v>395610</v>
      </c>
      <c r="D316" s="5">
        <v>134268</v>
      </c>
      <c r="E316" s="5">
        <v>337258</v>
      </c>
      <c r="F316" s="5">
        <v>85172</v>
      </c>
      <c r="G316" s="5">
        <v>75265</v>
      </c>
      <c r="H316" s="5">
        <v>19543</v>
      </c>
      <c r="I316" s="5"/>
      <c r="J316" s="9">
        <f>'ODOMETERS Halba'!$C316+'ODOMETERS Halba'!$D316-D315-C315</f>
        <v>3656</v>
      </c>
      <c r="K316" s="9">
        <f>'ODOMETERS Halba'!$E316+'ODOMETERS Halba'!$F316-F315-E315</f>
        <v>2112</v>
      </c>
      <c r="L316" s="9">
        <f>'ODOMETERS Halba'!$G316+'ODOMETERS Halba'!$H316-H315-G315</f>
        <v>774</v>
      </c>
      <c r="M316" s="9">
        <f>'ODOMETERS Halba'!$J316+'ODOMETERS Halba'!$K316+'ODOMETERS Halba'!$L316</f>
        <v>6542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12">
        <v>46212</v>
      </c>
      <c r="B317" s="5"/>
      <c r="C317" s="5">
        <v>397438</v>
      </c>
      <c r="D317" s="5">
        <v>135262</v>
      </c>
      <c r="E317" s="5">
        <v>338906</v>
      </c>
      <c r="F317" s="5">
        <v>85435</v>
      </c>
      <c r="G317" s="5">
        <v>76275</v>
      </c>
      <c r="H317" s="5">
        <v>19698</v>
      </c>
      <c r="I317" s="5"/>
      <c r="J317" s="9">
        <f>'ODOMETERS Halba'!$C317+'ODOMETERS Halba'!$D317-D316-C316</f>
        <v>2822</v>
      </c>
      <c r="K317" s="9">
        <f>'ODOMETERS Halba'!$E317+'ODOMETERS Halba'!$F317-F316-E316</f>
        <v>1911</v>
      </c>
      <c r="L317" s="9">
        <f>'ODOMETERS Halba'!$G317+'ODOMETERS Halba'!$H317-H316-G316</f>
        <v>1165</v>
      </c>
      <c r="M317" s="9">
        <f>'ODOMETERS Halba'!$J317+'ODOMETERS Halba'!$K317+'ODOMETERS Halba'!$L317</f>
        <v>5898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12">
        <v>46213</v>
      </c>
      <c r="B318" s="5" t="s">
        <v>24</v>
      </c>
      <c r="C318" s="5">
        <v>398258</v>
      </c>
      <c r="D318" s="5">
        <v>135488</v>
      </c>
      <c r="E318" s="5">
        <v>339483</v>
      </c>
      <c r="F318" s="5">
        <v>85617</v>
      </c>
      <c r="G318" s="5">
        <v>76661</v>
      </c>
      <c r="H318" s="5">
        <v>19760</v>
      </c>
      <c r="I318" s="5"/>
      <c r="J318" s="9">
        <f>'ODOMETERS Halba'!$C318+'ODOMETERS Halba'!$D318-D317-C317</f>
        <v>1046</v>
      </c>
      <c r="K318" s="9">
        <f>'ODOMETERS Halba'!$E318+'ODOMETERS Halba'!$F318-F317-E317</f>
        <v>759</v>
      </c>
      <c r="L318" s="9">
        <f>'ODOMETERS Halba'!$G318+'ODOMETERS Halba'!$H318-H317-G317</f>
        <v>448</v>
      </c>
      <c r="M318" s="9">
        <f>'ODOMETERS Halba'!$J318+'ODOMETERS Halba'!$K318+'ODOMETERS Halba'!$L318</f>
        <v>2253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12">
        <v>46213</v>
      </c>
      <c r="B319" s="5" t="s">
        <v>25</v>
      </c>
      <c r="C319" s="5">
        <v>399159</v>
      </c>
      <c r="D319" s="5">
        <v>135620</v>
      </c>
      <c r="E319" s="5">
        <v>340467</v>
      </c>
      <c r="F319" s="5">
        <v>85780</v>
      </c>
      <c r="G319" s="5">
        <v>77154</v>
      </c>
      <c r="H319" s="5">
        <v>19802</v>
      </c>
      <c r="I319" s="5"/>
      <c r="J319" s="9">
        <f>'ODOMETERS Halba'!$C319+'ODOMETERS Halba'!$D319-D318-C318</f>
        <v>1033</v>
      </c>
      <c r="K319" s="9">
        <f>'ODOMETERS Halba'!$E319+'ODOMETERS Halba'!$F319-F318-E318</f>
        <v>1147</v>
      </c>
      <c r="L319" s="9">
        <f>'ODOMETERS Halba'!$G319+'ODOMETERS Halba'!$H319-H318-G318</f>
        <v>535</v>
      </c>
      <c r="M319" s="9">
        <f>'ODOMETERS Halba'!$J319+'ODOMETERS Halba'!$K319+'ODOMETERS Halba'!$L319</f>
        <v>2715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12">
        <v>46214</v>
      </c>
      <c r="B320" s="5"/>
      <c r="C320" s="5">
        <v>401648</v>
      </c>
      <c r="D320" s="5">
        <v>136159</v>
      </c>
      <c r="E320" s="5">
        <v>341968</v>
      </c>
      <c r="F320" s="5">
        <v>86041</v>
      </c>
      <c r="G320" s="5">
        <v>80723</v>
      </c>
      <c r="H320" s="5">
        <v>20204</v>
      </c>
      <c r="I320" s="5"/>
      <c r="J320" s="9">
        <f>'ODOMETERS Halba'!$C320+'ODOMETERS Halba'!$D320-D319-C319</f>
        <v>3028</v>
      </c>
      <c r="K320" s="9">
        <f>'ODOMETERS Halba'!$E320+'ODOMETERS Halba'!$F320-F319-E319</f>
        <v>1762</v>
      </c>
      <c r="L320" s="9">
        <f>'ODOMETERS Halba'!$G320+'ODOMETERS Halba'!$H320-H319-G319</f>
        <v>3971</v>
      </c>
      <c r="M320" s="9">
        <f>'ODOMETERS Halba'!$J320+'ODOMETERS Halba'!$K320+'ODOMETERS Halba'!$L320</f>
        <v>8761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12">
        <v>46215</v>
      </c>
      <c r="B321" s="5"/>
      <c r="C321" s="5">
        <v>403871</v>
      </c>
      <c r="D321" s="5">
        <v>136646</v>
      </c>
      <c r="E321" s="5">
        <v>343476</v>
      </c>
      <c r="F321" s="5">
        <v>86316</v>
      </c>
      <c r="G321" s="5">
        <v>81446</v>
      </c>
      <c r="H321" s="5">
        <v>20319</v>
      </c>
      <c r="I321" s="5"/>
      <c r="J321" s="9">
        <f>'ODOMETERS Halba'!$C321+'ODOMETERS Halba'!$D321-D320-C320</f>
        <v>2710</v>
      </c>
      <c r="K321" s="9">
        <f>'ODOMETERS Halba'!$E321+'ODOMETERS Halba'!$F321-F320-E320</f>
        <v>1783</v>
      </c>
      <c r="L321" s="9">
        <f>'ODOMETERS Halba'!$G321+'ODOMETERS Halba'!$H321-H320-G320</f>
        <v>838</v>
      </c>
      <c r="M321" s="9">
        <f>'ODOMETERS Halba'!$J321+'ODOMETERS Halba'!$K321+'ODOMETERS Halba'!$L321</f>
        <v>5331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12">
        <v>46216</v>
      </c>
      <c r="B322" s="5"/>
      <c r="C322" s="5">
        <v>406193</v>
      </c>
      <c r="D322" s="5">
        <v>137100</v>
      </c>
      <c r="E322" s="5">
        <v>344936</v>
      </c>
      <c r="F322" s="5">
        <v>86605</v>
      </c>
      <c r="G322" s="5">
        <v>86316</v>
      </c>
      <c r="H322" s="5">
        <v>20600</v>
      </c>
      <c r="I322" s="5"/>
      <c r="J322" s="9">
        <f>'ODOMETERS Halba'!$C322+'ODOMETERS Halba'!$D322-D321-C321</f>
        <v>2776</v>
      </c>
      <c r="K322" s="9">
        <f>'ODOMETERS Halba'!$E322+'ODOMETERS Halba'!$F322-F321-E321</f>
        <v>1749</v>
      </c>
      <c r="L322" s="9">
        <f>'ODOMETERS Halba'!$G322+'ODOMETERS Halba'!$H322-H321-G321</f>
        <v>5151</v>
      </c>
      <c r="M322" s="9">
        <f>'ODOMETERS Halba'!$J322+'ODOMETERS Halba'!$K322+'ODOMETERS Halba'!$L322</f>
        <v>9676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9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" customHeight="1" x14ac:dyDescent="0.3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" customHeight="1" x14ac:dyDescent="0.3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" customHeight="1" x14ac:dyDescent="0.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</row>
    <row r="1004" spans="1:26" ht="15" customHeight="1" x14ac:dyDescent="0.3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</row>
    <row r="1005" spans="1:26" ht="15" customHeight="1" x14ac:dyDescent="0.3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</row>
  </sheetData>
  <customSheetViews>
    <customSheetView guid="{C9939B74-659B-4ACE-B132-E784626F1C6D}" filter="1" showAutoFilter="1">
      <pageMargins left="0.7" right="0.7" top="0.75" bottom="0.75" header="0.3" footer="0.3"/>
      <autoFilter ref="A2:M49" xr:uid="{3B781E30-0BC8-4E42-ACA4-C8E6E25FC94E}"/>
    </customSheetView>
  </customSheetViews>
  <mergeCells count="6">
    <mergeCell ref="N25:N26"/>
    <mergeCell ref="C1:G1"/>
    <mergeCell ref="N7:N8"/>
    <mergeCell ref="N12:N13"/>
    <mergeCell ref="N16:N17"/>
    <mergeCell ref="N21:N22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79DB-39F7-42B1-ABEF-89399C9834F7}">
  <sheetPr>
    <tabColor rgb="FF00B050"/>
  </sheetPr>
  <dimension ref="A3:R62"/>
  <sheetViews>
    <sheetView topLeftCell="A47" workbookViewId="0">
      <selection activeCell="L60" sqref="L60"/>
    </sheetView>
  </sheetViews>
  <sheetFormatPr defaultRowHeight="14.4" x14ac:dyDescent="0.3"/>
  <cols>
    <col min="1" max="1" width="42.21875" customWidth="1"/>
    <col min="2" max="2" width="15.5546875" customWidth="1"/>
    <col min="3" max="3" width="19.44140625" hidden="1" customWidth="1"/>
    <col min="4" max="9" width="15.5546875" hidden="1" customWidth="1"/>
    <col min="10" max="10" width="17" hidden="1" customWidth="1"/>
    <col min="11" max="13" width="17" customWidth="1"/>
    <col min="14" max="14" width="11.88671875" bestFit="1" customWidth="1"/>
    <col min="15" max="15" width="12.5546875" bestFit="1" customWidth="1"/>
  </cols>
  <sheetData>
    <row r="3" spans="1:18" x14ac:dyDescent="0.3">
      <c r="A3" s="202"/>
      <c r="B3" s="202"/>
      <c r="C3" s="202"/>
    </row>
    <row r="4" spans="1:18" ht="17.399999999999999" x14ac:dyDescent="0.3">
      <c r="A4" s="203" t="s">
        <v>198</v>
      </c>
      <c r="B4" s="204" t="s">
        <v>106</v>
      </c>
      <c r="C4" s="205" t="s">
        <v>199</v>
      </c>
      <c r="D4" s="205" t="s">
        <v>200</v>
      </c>
      <c r="E4" s="205" t="s">
        <v>204</v>
      </c>
      <c r="F4" s="205" t="s">
        <v>205</v>
      </c>
      <c r="G4" s="205" t="s">
        <v>207</v>
      </c>
      <c r="H4" s="205" t="s">
        <v>208</v>
      </c>
      <c r="I4" s="205" t="s">
        <v>215</v>
      </c>
      <c r="J4" s="205" t="s">
        <v>219</v>
      </c>
      <c r="K4" s="205" t="s">
        <v>225</v>
      </c>
      <c r="L4" s="205" t="s">
        <v>236</v>
      </c>
      <c r="M4" s="205" t="s">
        <v>165</v>
      </c>
      <c r="N4" s="205" t="s">
        <v>113</v>
      </c>
      <c r="O4" s="204" t="s">
        <v>1</v>
      </c>
      <c r="R4" s="206"/>
    </row>
    <row r="5" spans="1:18" ht="18" x14ac:dyDescent="0.3">
      <c r="A5" s="207" t="s">
        <v>119</v>
      </c>
      <c r="B5" s="208">
        <v>6.5</v>
      </c>
      <c r="C5" s="209">
        <v>19</v>
      </c>
      <c r="D5" s="209">
        <v>18</v>
      </c>
      <c r="E5" s="209">
        <v>18</v>
      </c>
      <c r="F5" s="209">
        <v>17</v>
      </c>
      <c r="G5" s="209">
        <v>16</v>
      </c>
      <c r="H5" s="209">
        <v>13</v>
      </c>
      <c r="I5" s="209">
        <v>5</v>
      </c>
      <c r="J5" s="209">
        <v>3</v>
      </c>
      <c r="K5" s="209">
        <v>1</v>
      </c>
      <c r="L5" s="209">
        <v>1</v>
      </c>
      <c r="M5" s="209"/>
      <c r="N5" s="209">
        <f>Table1[[#This Row],[14-Apr]]-Table1[[#This Row],[28-Jun]]+Table1[[#This Row],[Restock]]</f>
        <v>0</v>
      </c>
      <c r="O5" s="228">
        <f>Table1[[#This Row],[Sold]]*Table1[[#This Row],[Price]]</f>
        <v>0</v>
      </c>
    </row>
    <row r="6" spans="1:18" ht="18" x14ac:dyDescent="0.3">
      <c r="A6" s="207" t="s">
        <v>120</v>
      </c>
      <c r="B6" s="208">
        <v>9</v>
      </c>
      <c r="C6" s="209">
        <v>13</v>
      </c>
      <c r="D6" s="209">
        <v>13</v>
      </c>
      <c r="E6" s="209">
        <v>13</v>
      </c>
      <c r="F6" s="209">
        <v>13</v>
      </c>
      <c r="G6" s="209">
        <v>13</v>
      </c>
      <c r="H6" s="209">
        <v>13</v>
      </c>
      <c r="I6" s="209">
        <v>13</v>
      </c>
      <c r="J6" s="209">
        <v>12</v>
      </c>
      <c r="K6" s="209">
        <v>12</v>
      </c>
      <c r="L6" s="209">
        <v>12</v>
      </c>
      <c r="M6" s="209"/>
      <c r="N6" s="209">
        <f>Table1[[#This Row],[14-Apr]]-Table1[[#This Row],[28-Jun]]+Table1[[#This Row],[Restock]]</f>
        <v>0</v>
      </c>
      <c r="O6" s="228">
        <f>Table1[[#This Row],[Sold]]*Table1[[#This Row],[Price]]</f>
        <v>0</v>
      </c>
    </row>
    <row r="7" spans="1:18" ht="18" x14ac:dyDescent="0.3">
      <c r="A7" s="207" t="s">
        <v>122</v>
      </c>
      <c r="B7" s="208">
        <v>8</v>
      </c>
      <c r="C7" s="209">
        <v>13</v>
      </c>
      <c r="D7" s="209">
        <v>13</v>
      </c>
      <c r="E7" s="209">
        <v>13</v>
      </c>
      <c r="F7" s="209">
        <v>13</v>
      </c>
      <c r="G7" s="209">
        <v>13</v>
      </c>
      <c r="H7" s="209">
        <v>12</v>
      </c>
      <c r="I7" s="209">
        <v>12</v>
      </c>
      <c r="J7" s="209">
        <v>12</v>
      </c>
      <c r="K7" s="209">
        <v>12</v>
      </c>
      <c r="L7" s="209">
        <v>12</v>
      </c>
      <c r="M7" s="209"/>
      <c r="N7" s="209">
        <f>Table1[[#This Row],[14-Apr]]-Table1[[#This Row],[28-Jun]]+Table1[[#This Row],[Restock]]</f>
        <v>0</v>
      </c>
      <c r="O7" s="228">
        <f>Table1[[#This Row],[Sold]]*Table1[[#This Row],[Price]]</f>
        <v>0</v>
      </c>
    </row>
    <row r="8" spans="1:18" ht="18" x14ac:dyDescent="0.3">
      <c r="A8" s="207" t="s">
        <v>123</v>
      </c>
      <c r="B8" s="208">
        <v>9</v>
      </c>
      <c r="C8" s="209">
        <v>37</v>
      </c>
      <c r="D8" s="209">
        <v>37</v>
      </c>
      <c r="E8" s="209">
        <v>37</v>
      </c>
      <c r="F8" s="209">
        <v>35</v>
      </c>
      <c r="G8" s="209">
        <v>35</v>
      </c>
      <c r="H8" s="209">
        <f>35-6</f>
        <v>29</v>
      </c>
      <c r="I8" s="209">
        <v>31</v>
      </c>
      <c r="J8" s="209">
        <v>31</v>
      </c>
      <c r="K8" s="209">
        <v>31</v>
      </c>
      <c r="L8" s="209">
        <v>31</v>
      </c>
      <c r="M8" s="209"/>
      <c r="N8" s="209">
        <f>Table1[[#This Row],[14-Apr]]-Table1[[#This Row],[28-Jun]]+Table1[[#This Row],[Restock]]</f>
        <v>0</v>
      </c>
      <c r="O8" s="228">
        <f>Table1[[#This Row],[Sold]]*Table1[[#This Row],[Price]]</f>
        <v>0</v>
      </c>
    </row>
    <row r="9" spans="1:18" ht="18" x14ac:dyDescent="0.3">
      <c r="A9" s="207"/>
      <c r="B9" s="208"/>
      <c r="C9" s="209"/>
      <c r="D9" s="209"/>
      <c r="E9" s="209"/>
      <c r="F9" s="209"/>
      <c r="G9" s="209"/>
      <c r="H9" s="209"/>
      <c r="I9" s="209"/>
      <c r="J9" s="209"/>
      <c r="K9" s="209"/>
      <c r="L9" s="209"/>
      <c r="M9" s="209"/>
      <c r="N9" s="209">
        <f>Table1[[#This Row],[14-Apr]]-Table1[[#This Row],[28-Jun]]+Table1[[#This Row],[Restock]]</f>
        <v>0</v>
      </c>
      <c r="O9" s="228">
        <f>Table1[[#This Row],[Sold]]*Table1[[#This Row],[Price]]</f>
        <v>0</v>
      </c>
    </row>
    <row r="10" spans="1:18" ht="18" x14ac:dyDescent="0.3">
      <c r="A10" s="207" t="s">
        <v>125</v>
      </c>
      <c r="B10" s="208">
        <f>250/89.7</f>
        <v>2.7870680044593086</v>
      </c>
      <c r="C10" s="209">
        <v>30</v>
      </c>
      <c r="D10" s="209">
        <v>58</v>
      </c>
      <c r="E10" s="209">
        <v>57</v>
      </c>
      <c r="F10" s="209">
        <v>57</v>
      </c>
      <c r="G10" s="209">
        <v>56</v>
      </c>
      <c r="H10" s="209">
        <f>50-12</f>
        <v>38</v>
      </c>
      <c r="I10" s="209">
        <v>32</v>
      </c>
      <c r="J10" s="209">
        <v>29</v>
      </c>
      <c r="K10" s="209">
        <v>26</v>
      </c>
      <c r="L10" s="209">
        <v>30</v>
      </c>
      <c r="M10" s="209">
        <v>30</v>
      </c>
      <c r="N10" s="209">
        <f>Table1[[#This Row],[14-Apr]]-Table1[[#This Row],[28-Jun]]+Table1[[#This Row],[Restock]]</f>
        <v>26</v>
      </c>
      <c r="O10" s="228">
        <f>Table1[[#This Row],[Sold]]*Table1[[#This Row],[Price]]</f>
        <v>72.463768115942017</v>
      </c>
    </row>
    <row r="11" spans="1:18" ht="18" x14ac:dyDescent="0.3">
      <c r="A11" s="207" t="s">
        <v>201</v>
      </c>
      <c r="B11" s="208">
        <f>150/89.7</f>
        <v>1.6722408026755853</v>
      </c>
      <c r="C11" s="209">
        <v>55</v>
      </c>
      <c r="D11" s="209">
        <v>55</v>
      </c>
      <c r="E11" s="209">
        <v>55</v>
      </c>
      <c r="F11" s="209">
        <v>54</v>
      </c>
      <c r="G11" s="209">
        <v>54</v>
      </c>
      <c r="H11" s="209">
        <f>53-12</f>
        <v>41</v>
      </c>
      <c r="I11" s="209">
        <v>38</v>
      </c>
      <c r="J11" s="209">
        <v>35</v>
      </c>
      <c r="K11" s="209">
        <v>35</v>
      </c>
      <c r="L11" s="209">
        <v>20</v>
      </c>
      <c r="M11" s="209"/>
      <c r="N11" s="209">
        <f>Table1[[#This Row],[14-Apr]]-Table1[[#This Row],[28-Jun]]+Table1[[#This Row],[Restock]]</f>
        <v>15</v>
      </c>
      <c r="O11" s="228">
        <f>Table1[[#This Row],[Sold]]*Table1[[#This Row],[Price]]</f>
        <v>25.083612040133779</v>
      </c>
    </row>
    <row r="12" spans="1:18" ht="18" x14ac:dyDescent="0.3">
      <c r="A12" s="207"/>
      <c r="B12" s="208"/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209"/>
      <c r="N12" s="209">
        <f>Table1[[#This Row],[14-Apr]]-Table1[[#This Row],[28-Jun]]+Table1[[#This Row],[Restock]]</f>
        <v>0</v>
      </c>
      <c r="O12" s="228">
        <f>Table1[[#This Row],[Sold]]*Table1[[#This Row],[Price]]</f>
        <v>0</v>
      </c>
    </row>
    <row r="13" spans="1:18" ht="18" x14ac:dyDescent="0.3">
      <c r="A13" s="207"/>
      <c r="B13" s="208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>
        <f>Table1[[#This Row],[14-Apr]]-Table1[[#This Row],[28-Jun]]+Table1[[#This Row],[Restock]]</f>
        <v>0</v>
      </c>
      <c r="O13" s="228">
        <f>Table1[[#This Row],[Sold]]*Table1[[#This Row],[Price]]</f>
        <v>0</v>
      </c>
    </row>
    <row r="14" spans="1:18" ht="18" x14ac:dyDescent="0.3">
      <c r="A14" s="207" t="s">
        <v>129</v>
      </c>
      <c r="B14" s="208">
        <v>8</v>
      </c>
      <c r="C14" s="209">
        <v>20</v>
      </c>
      <c r="D14" s="209">
        <v>20</v>
      </c>
      <c r="E14" s="209">
        <v>19</v>
      </c>
      <c r="F14" s="209">
        <v>19</v>
      </c>
      <c r="G14" s="209">
        <v>18</v>
      </c>
      <c r="H14" s="209">
        <v>18</v>
      </c>
      <c r="I14" s="209">
        <v>18</v>
      </c>
      <c r="J14" s="209">
        <v>16</v>
      </c>
      <c r="K14" s="209">
        <v>16</v>
      </c>
      <c r="L14" s="209">
        <v>12</v>
      </c>
      <c r="M14" s="209"/>
      <c r="N14" s="209">
        <f>Table1[[#This Row],[14-Apr]]-Table1[[#This Row],[28-Jun]]+Table1[[#This Row],[Restock]]</f>
        <v>4</v>
      </c>
      <c r="O14" s="228">
        <f>Table1[[#This Row],[Sold]]*Table1[[#This Row],[Price]]</f>
        <v>32</v>
      </c>
    </row>
    <row r="15" spans="1:18" ht="18" x14ac:dyDescent="0.3">
      <c r="A15" s="207" t="s">
        <v>118</v>
      </c>
      <c r="B15" s="208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>
        <f>Table1[[#This Row],[14-Apr]]-Table1[[#This Row],[28-Jun]]+Table1[[#This Row],[Restock]]</f>
        <v>0</v>
      </c>
      <c r="O15" s="228">
        <f>Table1[[#This Row],[Sold]]*Table1[[#This Row],[Price]]</f>
        <v>0</v>
      </c>
    </row>
    <row r="16" spans="1:18" ht="18" x14ac:dyDescent="0.3">
      <c r="A16" s="207" t="s">
        <v>131</v>
      </c>
      <c r="B16" s="208">
        <v>5</v>
      </c>
      <c r="C16" s="209">
        <v>26</v>
      </c>
      <c r="D16" s="209">
        <v>25</v>
      </c>
      <c r="E16" s="209">
        <v>25</v>
      </c>
      <c r="F16" s="209">
        <v>25</v>
      </c>
      <c r="G16" s="209">
        <v>25</v>
      </c>
      <c r="H16" s="209">
        <v>22</v>
      </c>
      <c r="I16" s="209">
        <v>21</v>
      </c>
      <c r="J16" s="209">
        <v>20</v>
      </c>
      <c r="K16" s="209">
        <v>19</v>
      </c>
      <c r="L16" s="209">
        <v>47</v>
      </c>
      <c r="M16" s="209">
        <v>48</v>
      </c>
      <c r="N16" s="209">
        <f>Table1[[#This Row],[14-Apr]]-Table1[[#This Row],[28-Jun]]+Table1[[#This Row],[Restock]]</f>
        <v>20</v>
      </c>
      <c r="O16" s="228">
        <f>Table1[[#This Row],[Sold]]*Table1[[#This Row],[Price]]</f>
        <v>100</v>
      </c>
    </row>
    <row r="17" spans="1:15" ht="18" x14ac:dyDescent="0.3">
      <c r="A17" s="207" t="s">
        <v>132</v>
      </c>
      <c r="B17" s="208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>
        <f>Table1[[#This Row],[14-Apr]]-Table1[[#This Row],[28-Jun]]+Table1[[#This Row],[Restock]]</f>
        <v>0</v>
      </c>
      <c r="O17" s="228">
        <f>Table1[[#This Row],[Sold]]*Table1[[#This Row],[Price]]</f>
        <v>0</v>
      </c>
    </row>
    <row r="18" spans="1:15" ht="18" x14ac:dyDescent="0.3">
      <c r="A18" s="207"/>
      <c r="B18" s="208"/>
      <c r="C18" s="209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>
        <f>Table1[[#This Row],[14-Apr]]-Table1[[#This Row],[28-Jun]]+Table1[[#This Row],[Restock]]</f>
        <v>0</v>
      </c>
      <c r="O18" s="228">
        <f>Table1[[#This Row],[Sold]]*Table1[[#This Row],[Price]]</f>
        <v>0</v>
      </c>
    </row>
    <row r="19" spans="1:15" ht="18" x14ac:dyDescent="0.3">
      <c r="A19" s="207" t="s">
        <v>133</v>
      </c>
      <c r="B19" s="208">
        <v>6</v>
      </c>
      <c r="C19" s="209">
        <v>20</v>
      </c>
      <c r="D19" s="209">
        <v>20</v>
      </c>
      <c r="E19" s="209">
        <v>20</v>
      </c>
      <c r="F19" s="209">
        <v>163</v>
      </c>
      <c r="G19" s="209">
        <v>162</v>
      </c>
      <c r="H19" s="209">
        <f>162-12</f>
        <v>150</v>
      </c>
      <c r="I19" s="209">
        <v>140</v>
      </c>
      <c r="J19" s="209">
        <v>139</v>
      </c>
      <c r="K19" s="209">
        <v>139</v>
      </c>
      <c r="L19" s="209">
        <v>135</v>
      </c>
      <c r="M19" s="209"/>
      <c r="N19" s="209">
        <f>Table1[[#This Row],[14-Apr]]-Table1[[#This Row],[28-Jun]]+Table1[[#This Row],[Restock]]</f>
        <v>4</v>
      </c>
      <c r="O19" s="228">
        <f>Table1[[#This Row],[Sold]]*Table1[[#This Row],[Price]]</f>
        <v>24</v>
      </c>
    </row>
    <row r="20" spans="1:15" ht="18" x14ac:dyDescent="0.3">
      <c r="A20" s="207" t="s">
        <v>130</v>
      </c>
      <c r="B20" s="208">
        <v>6</v>
      </c>
      <c r="C20" s="209">
        <v>27</v>
      </c>
      <c r="D20" s="209">
        <v>25</v>
      </c>
      <c r="E20" s="209">
        <v>22</v>
      </c>
      <c r="F20" s="209">
        <v>164</v>
      </c>
      <c r="G20" s="209">
        <v>163</v>
      </c>
      <c r="H20" s="209">
        <f>158-12</f>
        <v>146</v>
      </c>
      <c r="I20" s="209">
        <v>140</v>
      </c>
      <c r="J20" s="209">
        <v>125</v>
      </c>
      <c r="K20" s="209">
        <v>121</v>
      </c>
      <c r="L20" s="209">
        <v>35</v>
      </c>
      <c r="M20" s="209"/>
      <c r="N20" s="209">
        <f>Table1[[#This Row],[14-Apr]]-Table1[[#This Row],[28-Jun]]+Table1[[#This Row],[Restock]]</f>
        <v>86</v>
      </c>
      <c r="O20" s="228">
        <f>Table1[[#This Row],[Sold]]*Table1[[#This Row],[Price]]</f>
        <v>516</v>
      </c>
    </row>
    <row r="21" spans="1:15" ht="18" x14ac:dyDescent="0.3">
      <c r="A21" s="207" t="s">
        <v>134</v>
      </c>
      <c r="B21" s="208">
        <v>10</v>
      </c>
      <c r="C21" s="209"/>
      <c r="D21" s="209"/>
      <c r="E21" s="209"/>
      <c r="F21" s="209"/>
      <c r="G21" s="209"/>
      <c r="H21" s="209"/>
      <c r="I21" s="209"/>
      <c r="J21" s="209"/>
      <c r="K21" s="209"/>
      <c r="L21" s="209"/>
      <c r="M21" s="209"/>
      <c r="N21" s="209">
        <f>Table1[[#This Row],[14-Apr]]-Table1[[#This Row],[28-Jun]]+Table1[[#This Row],[Restock]]</f>
        <v>0</v>
      </c>
      <c r="O21" s="228">
        <f>Table1[[#This Row],[Sold]]*Table1[[#This Row],[Price]]</f>
        <v>0</v>
      </c>
    </row>
    <row r="22" spans="1:15" ht="18" x14ac:dyDescent="0.3">
      <c r="A22" s="210" t="s">
        <v>137</v>
      </c>
      <c r="B22" s="208">
        <v>10</v>
      </c>
      <c r="C22" s="209">
        <v>6</v>
      </c>
      <c r="D22" s="209">
        <v>6</v>
      </c>
      <c r="E22" s="209">
        <v>6</v>
      </c>
      <c r="F22" s="209">
        <v>150</v>
      </c>
      <c r="G22" s="209">
        <v>150</v>
      </c>
      <c r="H22" s="209">
        <f>149-12</f>
        <v>137</v>
      </c>
      <c r="I22" s="209">
        <v>137</v>
      </c>
      <c r="J22" s="209">
        <v>137</v>
      </c>
      <c r="K22" s="209">
        <v>137</v>
      </c>
      <c r="L22" s="209">
        <v>122</v>
      </c>
      <c r="M22" s="209"/>
      <c r="N22" s="209">
        <f>Table1[[#This Row],[14-Apr]]-Table1[[#This Row],[28-Jun]]+Table1[[#This Row],[Restock]]</f>
        <v>15</v>
      </c>
      <c r="O22" s="228">
        <f>Table1[[#This Row],[Sold]]*Table1[[#This Row],[Price]]</f>
        <v>150</v>
      </c>
    </row>
    <row r="23" spans="1:15" ht="18" x14ac:dyDescent="0.3">
      <c r="A23" s="207" t="s">
        <v>135</v>
      </c>
      <c r="B23" s="208">
        <v>24</v>
      </c>
      <c r="C23" s="209">
        <v>6</v>
      </c>
      <c r="D23" s="209">
        <v>6</v>
      </c>
      <c r="E23" s="209">
        <v>4</v>
      </c>
      <c r="F23" s="209">
        <v>4</v>
      </c>
      <c r="G23" s="209">
        <v>4</v>
      </c>
      <c r="H23" s="209">
        <v>4</v>
      </c>
      <c r="I23" s="209">
        <v>4</v>
      </c>
      <c r="J23" s="209">
        <v>4</v>
      </c>
      <c r="K23" s="209">
        <v>4</v>
      </c>
      <c r="L23" s="209">
        <v>4</v>
      </c>
      <c r="M23" s="209"/>
      <c r="N23" s="209">
        <f>Table1[[#This Row],[14-Apr]]-Table1[[#This Row],[28-Jun]]+Table1[[#This Row],[Restock]]</f>
        <v>0</v>
      </c>
      <c r="O23" s="228">
        <f>Table1[[#This Row],[Sold]]*Table1[[#This Row],[Price]]</f>
        <v>0</v>
      </c>
    </row>
    <row r="24" spans="1:15" ht="18" x14ac:dyDescent="0.3">
      <c r="A24" s="207" t="s">
        <v>136</v>
      </c>
      <c r="B24" s="211">
        <v>24</v>
      </c>
      <c r="C24" s="209">
        <v>4</v>
      </c>
      <c r="D24" s="209">
        <v>4</v>
      </c>
      <c r="E24" s="209">
        <v>4</v>
      </c>
      <c r="F24" s="209">
        <v>4</v>
      </c>
      <c r="G24" s="209">
        <v>4</v>
      </c>
      <c r="H24" s="209">
        <v>4</v>
      </c>
      <c r="I24" s="209">
        <v>4</v>
      </c>
      <c r="J24" s="209">
        <v>4</v>
      </c>
      <c r="K24" s="209">
        <v>4</v>
      </c>
      <c r="L24" s="209">
        <v>4</v>
      </c>
      <c r="M24" s="209"/>
      <c r="N24" s="209">
        <f>Table1[[#This Row],[14-Apr]]-Table1[[#This Row],[28-Jun]]+Table1[[#This Row],[Restock]]</f>
        <v>0</v>
      </c>
      <c r="O24" s="228">
        <f>Table1[[#This Row],[Sold]]*Table1[[#This Row],[Price]]</f>
        <v>0</v>
      </c>
    </row>
    <row r="25" spans="1:15" ht="18" x14ac:dyDescent="0.3">
      <c r="A25" s="210" t="s">
        <v>138</v>
      </c>
      <c r="B25" s="211">
        <v>40</v>
      </c>
      <c r="C25" s="209">
        <v>2</v>
      </c>
      <c r="D25" s="209">
        <v>2</v>
      </c>
      <c r="E25" s="209">
        <v>2</v>
      </c>
      <c r="F25" s="209">
        <v>2</v>
      </c>
      <c r="G25" s="209">
        <v>2</v>
      </c>
      <c r="H25" s="209">
        <v>2</v>
      </c>
      <c r="I25" s="209">
        <v>2</v>
      </c>
      <c r="J25" s="209">
        <v>2</v>
      </c>
      <c r="K25" s="209">
        <v>2</v>
      </c>
      <c r="L25" s="209">
        <v>2</v>
      </c>
      <c r="M25" s="209"/>
      <c r="N25" s="209">
        <f>Table1[[#This Row],[14-Apr]]-Table1[[#This Row],[28-Jun]]+Table1[[#This Row],[Restock]]</f>
        <v>0</v>
      </c>
      <c r="O25" s="228">
        <f>Table1[[#This Row],[Sold]]*Table1[[#This Row],[Price]]</f>
        <v>0</v>
      </c>
    </row>
    <row r="26" spans="1:15" ht="18" x14ac:dyDescent="0.3">
      <c r="A26" s="207" t="s">
        <v>206</v>
      </c>
      <c r="B26" s="208"/>
      <c r="C26" s="209">
        <v>0</v>
      </c>
      <c r="D26" s="209">
        <v>0</v>
      </c>
      <c r="E26" s="209">
        <v>0</v>
      </c>
      <c r="F26" s="209">
        <v>144</v>
      </c>
      <c r="G26" s="209">
        <v>140</v>
      </c>
      <c r="H26" s="209">
        <f>140-12</f>
        <v>128</v>
      </c>
      <c r="I26" s="209">
        <v>125</v>
      </c>
      <c r="J26" s="209">
        <v>125</v>
      </c>
      <c r="K26" s="209">
        <v>118</v>
      </c>
      <c r="L26" s="209">
        <v>64</v>
      </c>
      <c r="M26" s="209"/>
      <c r="N26" s="209">
        <f>Table1[[#This Row],[14-Apr]]-Table1[[#This Row],[28-Jun]]+Table1[[#This Row],[Restock]]</f>
        <v>54</v>
      </c>
      <c r="O26" s="228">
        <f>Table1[[#This Row],[Sold]]*Table1[[#This Row],[Price]]</f>
        <v>0</v>
      </c>
    </row>
    <row r="27" spans="1:15" ht="18" x14ac:dyDescent="0.3">
      <c r="A27" s="207" t="s">
        <v>127</v>
      </c>
      <c r="B27" s="208">
        <f>300/89.7</f>
        <v>3.3444816053511706</v>
      </c>
      <c r="C27" s="209">
        <v>2</v>
      </c>
      <c r="D27" s="209">
        <v>37</v>
      </c>
      <c r="E27" s="209">
        <v>34</v>
      </c>
      <c r="F27" s="209">
        <v>32</v>
      </c>
      <c r="G27" s="209">
        <v>31</v>
      </c>
      <c r="H27" s="209">
        <v>25</v>
      </c>
      <c r="I27" s="209">
        <f>14+12</f>
        <v>26</v>
      </c>
      <c r="J27" s="209">
        <v>16</v>
      </c>
      <c r="K27" s="209">
        <v>9</v>
      </c>
      <c r="L27" s="209">
        <v>24</v>
      </c>
      <c r="M27" s="209">
        <v>48</v>
      </c>
      <c r="N27" s="209">
        <f>Table1[[#This Row],[14-Apr]]-Table1[[#This Row],[28-Jun]]+Table1[[#This Row],[Restock]]</f>
        <v>33</v>
      </c>
      <c r="O27" s="228">
        <f>Table1[[#This Row],[Sold]]*Table1[[#This Row],[Price]]</f>
        <v>110.36789297658864</v>
      </c>
    </row>
    <row r="28" spans="1:15" ht="18" x14ac:dyDescent="0.3">
      <c r="A28" s="207" t="s">
        <v>121</v>
      </c>
      <c r="B28" s="208">
        <f>300/89.7</f>
        <v>3.3444816053511706</v>
      </c>
      <c r="C28" s="209">
        <v>14</v>
      </c>
      <c r="D28" s="209">
        <v>14</v>
      </c>
      <c r="E28" s="209">
        <v>14</v>
      </c>
      <c r="F28" s="209">
        <v>13</v>
      </c>
      <c r="G28" s="209">
        <v>11</v>
      </c>
      <c r="H28" s="209">
        <v>11</v>
      </c>
      <c r="I28" s="209">
        <f>7+12</f>
        <v>19</v>
      </c>
      <c r="J28" s="209">
        <v>15</v>
      </c>
      <c r="K28" s="209">
        <v>13</v>
      </c>
      <c r="L28" s="209">
        <v>21</v>
      </c>
      <c r="M28" s="209">
        <v>48</v>
      </c>
      <c r="N28" s="209">
        <f>Table1[[#This Row],[14-Apr]]-Table1[[#This Row],[28-Jun]]+Table1[[#This Row],[Restock]]</f>
        <v>40</v>
      </c>
      <c r="O28" s="228">
        <f>Table1[[#This Row],[Sold]]*Table1[[#This Row],[Price]]</f>
        <v>133.77926421404683</v>
      </c>
    </row>
    <row r="29" spans="1:15" ht="18" x14ac:dyDescent="0.3">
      <c r="A29" s="207" t="s">
        <v>124</v>
      </c>
      <c r="B29" s="208">
        <f>300/89.7</f>
        <v>3.3444816053511706</v>
      </c>
      <c r="C29" s="209">
        <v>13</v>
      </c>
      <c r="D29" s="209">
        <v>12</v>
      </c>
      <c r="E29" s="209">
        <v>9</v>
      </c>
      <c r="F29" s="209">
        <v>7</v>
      </c>
      <c r="G29" s="209">
        <v>5</v>
      </c>
      <c r="H29" s="209">
        <v>3</v>
      </c>
      <c r="I29" s="209">
        <f>12</f>
        <v>12</v>
      </c>
      <c r="J29" s="209">
        <v>0</v>
      </c>
      <c r="K29" s="209">
        <v>0</v>
      </c>
      <c r="L29" s="209">
        <v>24</v>
      </c>
      <c r="M29" s="209">
        <v>24</v>
      </c>
      <c r="N29" s="209">
        <f>Table1[[#This Row],[14-Apr]]-Table1[[#This Row],[28-Jun]]+Table1[[#This Row],[Restock]]</f>
        <v>0</v>
      </c>
      <c r="O29" s="228">
        <f>Table1[[#This Row],[Sold]]*Table1[[#This Row],[Price]]</f>
        <v>0</v>
      </c>
    </row>
    <row r="30" spans="1:15" ht="18" x14ac:dyDescent="0.3">
      <c r="A30" s="207"/>
      <c r="B30" s="208"/>
      <c r="C30" s="209"/>
      <c r="D30" s="209"/>
      <c r="E30" s="209"/>
      <c r="F30" s="209"/>
      <c r="G30" s="209"/>
      <c r="H30" s="209"/>
      <c r="I30" s="209"/>
      <c r="J30" s="209"/>
      <c r="K30" s="209"/>
      <c r="L30" s="209"/>
      <c r="M30" s="209"/>
      <c r="N30" s="209">
        <f>Table1[[#This Row],[14-Apr]]-Table1[[#This Row],[28-Jun]]+Table1[[#This Row],[Restock]]</f>
        <v>0</v>
      </c>
      <c r="O30" s="228">
        <f>Table1[[#This Row],[Sold]]*Table1[[#This Row],[Price]]</f>
        <v>0</v>
      </c>
    </row>
    <row r="31" spans="1:15" ht="18" x14ac:dyDescent="0.3">
      <c r="A31" s="207"/>
      <c r="B31" s="208"/>
      <c r="C31" s="209"/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>
        <f>Table1[[#This Row],[14-Apr]]-Table1[[#This Row],[28-Jun]]+Table1[[#This Row],[Restock]]</f>
        <v>0</v>
      </c>
      <c r="O31" s="228">
        <f>Table1[[#This Row],[Sold]]*Table1[[#This Row],[Price]]</f>
        <v>0</v>
      </c>
    </row>
    <row r="32" spans="1:15" ht="18" x14ac:dyDescent="0.3">
      <c r="A32" s="207" t="s">
        <v>139</v>
      </c>
      <c r="B32" s="208">
        <v>4</v>
      </c>
      <c r="C32" s="209">
        <v>0</v>
      </c>
      <c r="D32" s="209">
        <v>0</v>
      </c>
      <c r="E32" s="209">
        <v>0</v>
      </c>
      <c r="F32" s="209"/>
      <c r="G32" s="209"/>
      <c r="H32" s="209"/>
      <c r="I32" s="209"/>
      <c r="J32" s="209"/>
      <c r="K32" s="209"/>
      <c r="L32" s="209"/>
      <c r="M32" s="209"/>
      <c r="N32" s="209">
        <f>Table1[[#This Row],[14-Apr]]-Table1[[#This Row],[28-Jun]]+Table1[[#This Row],[Restock]]</f>
        <v>0</v>
      </c>
      <c r="O32" s="228">
        <f>Table1[[#This Row],[Sold]]*Table1[[#This Row],[Price]]</f>
        <v>0</v>
      </c>
    </row>
    <row r="33" spans="1:15" ht="18" x14ac:dyDescent="0.3">
      <c r="A33" s="207" t="s">
        <v>141</v>
      </c>
      <c r="B33" s="208">
        <v>4</v>
      </c>
      <c r="C33" s="209">
        <v>9</v>
      </c>
      <c r="D33" s="209">
        <v>9</v>
      </c>
      <c r="E33" s="209">
        <v>7</v>
      </c>
      <c r="F33" s="209">
        <v>7</v>
      </c>
      <c r="G33" s="209">
        <v>7</v>
      </c>
      <c r="H33" s="209">
        <v>7</v>
      </c>
      <c r="I33" s="209">
        <v>4</v>
      </c>
      <c r="J33" s="209">
        <v>4</v>
      </c>
      <c r="K33" s="209">
        <v>4</v>
      </c>
      <c r="L33" s="209">
        <v>0</v>
      </c>
      <c r="M33" s="209"/>
      <c r="N33" s="209">
        <f>Table1[[#This Row],[14-Apr]]-Table1[[#This Row],[28-Jun]]+Table1[[#This Row],[Restock]]</f>
        <v>4</v>
      </c>
      <c r="O33" s="228">
        <f>Table1[[#This Row],[Sold]]*Table1[[#This Row],[Price]]</f>
        <v>16</v>
      </c>
    </row>
    <row r="34" spans="1:15" ht="18" x14ac:dyDescent="0.3">
      <c r="A34" s="207" t="s">
        <v>142</v>
      </c>
      <c r="B34" s="208">
        <v>4</v>
      </c>
      <c r="C34" s="209">
        <v>2</v>
      </c>
      <c r="D34" s="209">
        <v>1</v>
      </c>
      <c r="E34" s="209">
        <v>0</v>
      </c>
      <c r="F34" s="209"/>
      <c r="G34" s="209"/>
      <c r="H34" s="209"/>
      <c r="I34" s="209"/>
      <c r="J34" s="209"/>
      <c r="K34" s="209"/>
      <c r="L34" s="209"/>
      <c r="M34" s="209"/>
      <c r="N34" s="209">
        <f>Table1[[#This Row],[14-Apr]]-Table1[[#This Row],[28-Jun]]+Table1[[#This Row],[Restock]]</f>
        <v>0</v>
      </c>
      <c r="O34" s="228">
        <f>Table1[[#This Row],[Sold]]*Table1[[#This Row],[Price]]</f>
        <v>0</v>
      </c>
    </row>
    <row r="35" spans="1:15" ht="18" x14ac:dyDescent="0.3">
      <c r="A35" s="207" t="s">
        <v>143</v>
      </c>
      <c r="B35" s="208">
        <v>4</v>
      </c>
      <c r="C35" s="209">
        <v>10</v>
      </c>
      <c r="D35" s="209">
        <v>10</v>
      </c>
      <c r="E35" s="209">
        <v>10</v>
      </c>
      <c r="F35" s="209">
        <v>10</v>
      </c>
      <c r="G35" s="209">
        <v>10</v>
      </c>
      <c r="H35" s="209">
        <v>10</v>
      </c>
      <c r="I35" s="209">
        <v>10</v>
      </c>
      <c r="J35" s="209">
        <v>10</v>
      </c>
      <c r="K35" s="209">
        <v>10</v>
      </c>
      <c r="L35" s="209">
        <v>8</v>
      </c>
      <c r="M35" s="209"/>
      <c r="N35" s="209">
        <f>Table1[[#This Row],[14-Apr]]-Table1[[#This Row],[28-Jun]]+Table1[[#This Row],[Restock]]</f>
        <v>2</v>
      </c>
      <c r="O35" s="228">
        <f>Table1[[#This Row],[Sold]]*Table1[[#This Row],[Price]]</f>
        <v>8</v>
      </c>
    </row>
    <row r="36" spans="1:15" ht="18" x14ac:dyDescent="0.3">
      <c r="A36" s="207"/>
      <c r="B36" s="208"/>
      <c r="C36" s="209"/>
      <c r="D36" s="209"/>
      <c r="E36" s="209"/>
      <c r="F36" s="209"/>
      <c r="G36" s="209"/>
      <c r="H36" s="209"/>
      <c r="I36" s="209"/>
      <c r="J36" s="209"/>
      <c r="K36" s="209"/>
      <c r="L36" s="209"/>
      <c r="M36" s="209"/>
      <c r="N36" s="209">
        <f>Table1[[#This Row],[14-Apr]]-Table1[[#This Row],[28-Jun]]+Table1[[#This Row],[Restock]]</f>
        <v>0</v>
      </c>
      <c r="O36" s="228">
        <f>Table1[[#This Row],[Sold]]*Table1[[#This Row],[Price]]</f>
        <v>0</v>
      </c>
    </row>
    <row r="37" spans="1:15" ht="18" x14ac:dyDescent="0.3">
      <c r="A37" s="207" t="s">
        <v>237</v>
      </c>
      <c r="B37" s="208">
        <v>4</v>
      </c>
      <c r="C37" s="209"/>
      <c r="D37" s="209"/>
      <c r="E37" s="209"/>
      <c r="F37" s="209"/>
      <c r="G37" s="209"/>
      <c r="H37" s="209"/>
      <c r="I37" s="209"/>
      <c r="J37" s="209"/>
      <c r="K37" s="209"/>
      <c r="L37" s="209">
        <v>24</v>
      </c>
      <c r="M37" s="209">
        <v>24</v>
      </c>
      <c r="N37" s="209">
        <f>Table1[[#This Row],[14-Apr]]-Table1[[#This Row],[28-Jun]]+Table1[[#This Row],[Restock]]</f>
        <v>0</v>
      </c>
      <c r="O37" s="228">
        <f>Table1[[#This Row],[Sold]]*Table1[[#This Row],[Price]]</f>
        <v>0</v>
      </c>
    </row>
    <row r="38" spans="1:15" ht="18" x14ac:dyDescent="0.3">
      <c r="A38" s="207"/>
      <c r="B38" s="208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>
        <f>Table1[[#This Row],[14-Apr]]-Table1[[#This Row],[28-Jun]]+Table1[[#This Row],[Restock]]</f>
        <v>0</v>
      </c>
      <c r="O38" s="228">
        <f>Table1[[#This Row],[Sold]]*Table1[[#This Row],[Price]]</f>
        <v>0</v>
      </c>
    </row>
    <row r="39" spans="1:15" ht="18" x14ac:dyDescent="0.3">
      <c r="A39" s="207"/>
      <c r="B39" s="208"/>
      <c r="C39" s="209">
        <v>1</v>
      </c>
      <c r="D39" s="209"/>
      <c r="E39" s="209"/>
      <c r="F39" s="209"/>
      <c r="G39" s="209"/>
      <c r="H39" s="209"/>
      <c r="I39" s="209"/>
      <c r="J39" s="209"/>
      <c r="K39" s="209"/>
      <c r="L39" s="209"/>
      <c r="M39" s="209"/>
      <c r="N39" s="209">
        <f>Table1[[#This Row],[14-Apr]]-Table1[[#This Row],[28-Jun]]+Table1[[#This Row],[Restock]]</f>
        <v>0</v>
      </c>
      <c r="O39" s="228">
        <f>Table1[[#This Row],[Sold]]*Table1[[#This Row],[Price]]</f>
        <v>0</v>
      </c>
    </row>
    <row r="40" spans="1:15" ht="18" x14ac:dyDescent="0.3">
      <c r="A40" s="207"/>
      <c r="B40" s="208"/>
      <c r="C40" s="209">
        <v>1</v>
      </c>
      <c r="D40" s="209">
        <v>1</v>
      </c>
      <c r="E40" s="209">
        <v>1</v>
      </c>
      <c r="F40" s="209">
        <v>1</v>
      </c>
      <c r="G40" s="209">
        <v>1</v>
      </c>
      <c r="H40" s="209">
        <v>1</v>
      </c>
      <c r="I40" s="209">
        <v>1</v>
      </c>
      <c r="J40" s="209">
        <v>0</v>
      </c>
      <c r="K40" s="209"/>
      <c r="L40" s="209"/>
      <c r="M40" s="209"/>
      <c r="N40" s="209">
        <f>Table1[[#This Row],[14-Apr]]-Table1[[#This Row],[28-Jun]]+Table1[[#This Row],[Restock]]</f>
        <v>0</v>
      </c>
      <c r="O40" s="228">
        <f>Table1[[#This Row],[Sold]]*Table1[[#This Row],[Price]]</f>
        <v>0</v>
      </c>
    </row>
    <row r="41" spans="1:15" ht="18" x14ac:dyDescent="0.3">
      <c r="A41" s="207"/>
      <c r="B41" s="208"/>
      <c r="C41" s="209">
        <v>1</v>
      </c>
      <c r="D41" s="209">
        <v>1</v>
      </c>
      <c r="E41" s="209">
        <v>1</v>
      </c>
      <c r="F41" s="209">
        <v>1</v>
      </c>
      <c r="G41" s="209">
        <v>1</v>
      </c>
      <c r="H41" s="209">
        <v>1</v>
      </c>
      <c r="I41" s="209">
        <v>1</v>
      </c>
      <c r="J41" s="209">
        <v>0</v>
      </c>
      <c r="K41" s="209"/>
      <c r="L41" s="209"/>
      <c r="M41" s="209"/>
      <c r="N41" s="209">
        <f>Table1[[#This Row],[14-Apr]]-Table1[[#This Row],[28-Jun]]+Table1[[#This Row],[Restock]]</f>
        <v>0</v>
      </c>
      <c r="O41" s="228">
        <f>Table1[[#This Row],[Sold]]*Table1[[#This Row],[Price]]</f>
        <v>0</v>
      </c>
    </row>
    <row r="42" spans="1:15" ht="18" x14ac:dyDescent="0.3">
      <c r="A42" s="207"/>
      <c r="B42" s="208"/>
      <c r="C42" s="209">
        <v>1</v>
      </c>
      <c r="D42" s="209">
        <v>1</v>
      </c>
      <c r="E42" s="209">
        <v>1</v>
      </c>
      <c r="F42" s="209">
        <v>1</v>
      </c>
      <c r="G42" s="209">
        <v>1</v>
      </c>
      <c r="H42" s="209">
        <v>0</v>
      </c>
      <c r="I42" s="209"/>
      <c r="J42" s="209"/>
      <c r="K42" s="209"/>
      <c r="L42" s="209"/>
      <c r="M42" s="209"/>
      <c r="N42" s="209">
        <f>Table1[[#This Row],[14-Apr]]-Table1[[#This Row],[28-Jun]]+Table1[[#This Row],[Restock]]</f>
        <v>0</v>
      </c>
      <c r="O42" s="228">
        <f>Table1[[#This Row],[Sold]]*Table1[[#This Row],[Price]]</f>
        <v>0</v>
      </c>
    </row>
    <row r="43" spans="1:15" ht="18" x14ac:dyDescent="0.3">
      <c r="A43" s="207"/>
      <c r="B43" s="208"/>
      <c r="C43" s="209"/>
      <c r="D43" s="209"/>
      <c r="E43" s="209"/>
      <c r="F43" s="209"/>
      <c r="G43" s="209"/>
      <c r="H43" s="209"/>
      <c r="I43" s="209"/>
      <c r="J43" s="209"/>
      <c r="K43" s="209"/>
      <c r="L43" s="209"/>
      <c r="M43" s="209"/>
      <c r="N43" s="209">
        <f>Table1[[#This Row],[14-Apr]]-Table1[[#This Row],[28-Jun]]+Table1[[#This Row],[Restock]]</f>
        <v>0</v>
      </c>
      <c r="O43" s="228">
        <f>Table1[[#This Row],[Sold]]*Table1[[#This Row],[Price]]</f>
        <v>0</v>
      </c>
    </row>
    <row r="44" spans="1:15" ht="18" x14ac:dyDescent="0.3">
      <c r="A44" s="207"/>
      <c r="B44" s="208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>
        <f>Table1[[#This Row],[14-Apr]]-Table1[[#This Row],[28-Jun]]+Table1[[#This Row],[Restock]]</f>
        <v>0</v>
      </c>
      <c r="O44" s="228">
        <f>Table1[[#This Row],[Sold]]*Table1[[#This Row],[Price]]</f>
        <v>0</v>
      </c>
    </row>
    <row r="45" spans="1:15" ht="18" x14ac:dyDescent="0.3">
      <c r="A45" s="207"/>
      <c r="B45" s="208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>
        <f>Table1[[#This Row],[14-Apr]]-Table1[[#This Row],[28-Jun]]+Table1[[#This Row],[Restock]]</f>
        <v>0</v>
      </c>
      <c r="O45" s="228">
        <f>Table1[[#This Row],[Sold]]*Table1[[#This Row],[Price]]</f>
        <v>0</v>
      </c>
    </row>
    <row r="46" spans="1:15" ht="18" x14ac:dyDescent="0.3">
      <c r="A46" s="207" t="s">
        <v>151</v>
      </c>
      <c r="B46" s="208">
        <f>350/89.7</f>
        <v>3.9018952062430321</v>
      </c>
      <c r="C46" s="209">
        <v>0</v>
      </c>
      <c r="D46" s="209">
        <v>24</v>
      </c>
      <c r="E46" s="209">
        <v>57</v>
      </c>
      <c r="F46" s="209">
        <v>55</v>
      </c>
      <c r="G46" s="209">
        <v>54</v>
      </c>
      <c r="H46" s="209">
        <f>50-12</f>
        <v>38</v>
      </c>
      <c r="I46" s="209">
        <v>27</v>
      </c>
      <c r="J46" s="209">
        <v>146</v>
      </c>
      <c r="K46" s="209">
        <v>141</v>
      </c>
      <c r="L46" s="209">
        <v>45</v>
      </c>
      <c r="M46" s="209"/>
      <c r="N46" s="209">
        <f>Table1[[#This Row],[14-Apr]]-Table1[[#This Row],[28-Jun]]+Table1[[#This Row],[Restock]]</f>
        <v>96</v>
      </c>
      <c r="O46" s="228">
        <f>Table1[[#This Row],[Sold]]*Table1[[#This Row],[Price]]</f>
        <v>374.58193979933105</v>
      </c>
    </row>
    <row r="47" spans="1:15" ht="18" x14ac:dyDescent="0.3">
      <c r="A47" s="207" t="s">
        <v>152</v>
      </c>
      <c r="B47" s="208">
        <f>350/89.7</f>
        <v>3.9018952062430321</v>
      </c>
      <c r="C47" s="209">
        <v>32</v>
      </c>
      <c r="D47" s="209">
        <v>31</v>
      </c>
      <c r="E47" s="209">
        <v>60</v>
      </c>
      <c r="F47" s="209">
        <v>59</v>
      </c>
      <c r="G47" s="209">
        <v>54</v>
      </c>
      <c r="H47" s="209">
        <f>53-12</f>
        <v>41</v>
      </c>
      <c r="I47" s="209">
        <v>29</v>
      </c>
      <c r="J47" s="209">
        <v>158</v>
      </c>
      <c r="K47" s="209">
        <v>155</v>
      </c>
      <c r="L47" s="209">
        <v>96</v>
      </c>
      <c r="M47" s="209"/>
      <c r="N47" s="209">
        <f>Table1[[#This Row],[14-Apr]]-Table1[[#This Row],[28-Jun]]+Table1[[#This Row],[Restock]]</f>
        <v>59</v>
      </c>
      <c r="O47" s="228">
        <f>Table1[[#This Row],[Sold]]*Table1[[#This Row],[Price]]</f>
        <v>230.21181716833888</v>
      </c>
    </row>
    <row r="48" spans="1:15" ht="18" x14ac:dyDescent="0.3">
      <c r="A48" s="207" t="s">
        <v>153</v>
      </c>
      <c r="B48" s="208">
        <f>350/89.7</f>
        <v>3.9018952062430321</v>
      </c>
      <c r="C48" s="209">
        <v>23</v>
      </c>
      <c r="D48" s="209">
        <v>23</v>
      </c>
      <c r="E48" s="209">
        <v>21</v>
      </c>
      <c r="F48" s="209">
        <v>21</v>
      </c>
      <c r="G48" s="209">
        <v>21</v>
      </c>
      <c r="H48" s="209">
        <v>17</v>
      </c>
      <c r="I48" s="209">
        <v>12</v>
      </c>
      <c r="J48" s="209">
        <v>11</v>
      </c>
      <c r="K48" s="209">
        <v>5</v>
      </c>
      <c r="L48" s="209">
        <v>0</v>
      </c>
      <c r="M48" s="209"/>
      <c r="N48" s="209">
        <f>Table1[[#This Row],[14-Apr]]-Table1[[#This Row],[28-Jun]]+Table1[[#This Row],[Restock]]</f>
        <v>5</v>
      </c>
      <c r="O48" s="228">
        <f>Table1[[#This Row],[Sold]]*Table1[[#This Row],[Price]]</f>
        <v>19.509476031215161</v>
      </c>
    </row>
    <row r="49" spans="1:17" ht="18" x14ac:dyDescent="0.3">
      <c r="A49" s="207" t="s">
        <v>154</v>
      </c>
      <c r="B49" s="208">
        <f>350/89.7</f>
        <v>3.9018952062430321</v>
      </c>
      <c r="C49" s="209">
        <v>0</v>
      </c>
      <c r="D49" s="209">
        <v>36</v>
      </c>
      <c r="E49" s="209">
        <v>32</v>
      </c>
      <c r="F49" s="209">
        <v>31</v>
      </c>
      <c r="G49" s="209">
        <v>30</v>
      </c>
      <c r="H49" s="209">
        <f>29-12</f>
        <v>17</v>
      </c>
      <c r="I49" s="209">
        <v>2</v>
      </c>
      <c r="J49" s="209">
        <v>132</v>
      </c>
      <c r="K49" s="209">
        <v>125</v>
      </c>
      <c r="L49" s="209">
        <v>50</v>
      </c>
      <c r="M49" s="209"/>
      <c r="N49" s="209">
        <f>Table1[[#This Row],[14-Apr]]-Table1[[#This Row],[28-Jun]]+Table1[[#This Row],[Restock]]</f>
        <v>75</v>
      </c>
      <c r="O49" s="228">
        <f>Table1[[#This Row],[Sold]]*Table1[[#This Row],[Price]]</f>
        <v>292.64214046822741</v>
      </c>
    </row>
    <row r="50" spans="1:17" ht="18" x14ac:dyDescent="0.3">
      <c r="A50" s="207" t="s">
        <v>238</v>
      </c>
      <c r="B50" s="208">
        <f>350/89.7</f>
        <v>3.9018952062430321</v>
      </c>
      <c r="C50" s="209"/>
      <c r="D50" s="209"/>
      <c r="E50" s="209"/>
      <c r="F50" s="209"/>
      <c r="G50" s="209"/>
      <c r="H50" s="209"/>
      <c r="I50" s="209"/>
      <c r="J50" s="209"/>
      <c r="K50" s="209"/>
      <c r="L50" s="209">
        <v>120</v>
      </c>
      <c r="M50" s="209">
        <v>144</v>
      </c>
      <c r="N50" s="209">
        <f>Table1[[#This Row],[14-Apr]]-Table1[[#This Row],[28-Jun]]+Table1[[#This Row],[Restock]]</f>
        <v>24</v>
      </c>
      <c r="O50" s="228">
        <f>Table1[[#This Row],[Sold]]*Table1[[#This Row],[Price]]</f>
        <v>93.645484949832763</v>
      </c>
    </row>
    <row r="51" spans="1:17" ht="18" x14ac:dyDescent="0.3">
      <c r="A51" s="207" t="s">
        <v>157</v>
      </c>
      <c r="B51" s="208">
        <v>5</v>
      </c>
      <c r="C51" s="209">
        <v>6</v>
      </c>
      <c r="D51" s="209">
        <v>6</v>
      </c>
      <c r="E51" s="209">
        <v>4</v>
      </c>
      <c r="F51" s="209">
        <v>4</v>
      </c>
      <c r="G51" s="209">
        <v>4</v>
      </c>
      <c r="H51" s="209">
        <v>3</v>
      </c>
      <c r="I51" s="209">
        <v>2</v>
      </c>
      <c r="J51" s="209">
        <v>2</v>
      </c>
      <c r="K51" s="209">
        <v>2</v>
      </c>
      <c r="L51" s="209">
        <v>0</v>
      </c>
      <c r="M51" s="209"/>
      <c r="N51" s="209">
        <f>Table1[[#This Row],[14-Apr]]-Table1[[#This Row],[28-Jun]]+Table1[[#This Row],[Restock]]</f>
        <v>2</v>
      </c>
      <c r="O51" s="228">
        <f>Table1[[#This Row],[Sold]]*Table1[[#This Row],[Price]]</f>
        <v>10</v>
      </c>
    </row>
    <row r="52" spans="1:17" ht="18" x14ac:dyDescent="0.3">
      <c r="A52" s="207" t="s">
        <v>156</v>
      </c>
      <c r="B52" s="208">
        <v>5</v>
      </c>
      <c r="C52" s="209">
        <v>10</v>
      </c>
      <c r="D52" s="209">
        <v>10</v>
      </c>
      <c r="E52" s="209">
        <v>7</v>
      </c>
      <c r="F52" s="209">
        <v>7</v>
      </c>
      <c r="G52" s="209">
        <v>7</v>
      </c>
      <c r="H52" s="209">
        <v>7</v>
      </c>
      <c r="I52" s="209">
        <v>6</v>
      </c>
      <c r="J52" s="209">
        <v>5</v>
      </c>
      <c r="K52" s="209">
        <v>5</v>
      </c>
      <c r="L52" s="209">
        <v>2</v>
      </c>
      <c r="M52" s="209"/>
      <c r="N52" s="209">
        <f>Table1[[#This Row],[14-Apr]]-Table1[[#This Row],[28-Jun]]+Table1[[#This Row],[Restock]]</f>
        <v>3</v>
      </c>
      <c r="O52" s="228">
        <f>Table1[[#This Row],[Sold]]*Table1[[#This Row],[Price]]</f>
        <v>15</v>
      </c>
    </row>
    <row r="53" spans="1:17" ht="18" x14ac:dyDescent="0.3">
      <c r="A53" s="207"/>
      <c r="B53" s="208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>
        <f>Table1[[#This Row],[14-Apr]]-Table1[[#This Row],[28-Jun]]+Table1[[#This Row],[Restock]]</f>
        <v>0</v>
      </c>
      <c r="O53" s="228">
        <f>Table1[[#This Row],[Sold]]*Table1[[#This Row],[Price]]</f>
        <v>0</v>
      </c>
    </row>
    <row r="54" spans="1:17" ht="18" x14ac:dyDescent="0.3">
      <c r="A54" s="207" t="s">
        <v>155</v>
      </c>
      <c r="B54" s="212">
        <v>5</v>
      </c>
      <c r="C54" s="209">
        <v>79</v>
      </c>
      <c r="D54" s="209">
        <v>79</v>
      </c>
      <c r="E54" s="209">
        <v>78</v>
      </c>
      <c r="F54" s="209">
        <v>78</v>
      </c>
      <c r="G54" s="209">
        <v>78</v>
      </c>
      <c r="H54" s="209">
        <v>78</v>
      </c>
      <c r="I54" s="209">
        <v>77</v>
      </c>
      <c r="J54" s="209">
        <v>77</v>
      </c>
      <c r="K54" s="209">
        <v>77</v>
      </c>
      <c r="L54" s="209">
        <v>75</v>
      </c>
      <c r="M54" s="209"/>
      <c r="N54" s="209">
        <f>Table1[[#This Row],[14-Apr]]-Table1[[#This Row],[28-Jun]]+Table1[[#This Row],[Restock]]</f>
        <v>2</v>
      </c>
      <c r="O54" s="228">
        <f>Table1[[#This Row],[Sold]]*Table1[[#This Row],[Price]]</f>
        <v>10</v>
      </c>
    </row>
    <row r="55" spans="1:17" ht="18" x14ac:dyDescent="0.3">
      <c r="A55" s="207" t="s">
        <v>126</v>
      </c>
      <c r="B55" s="208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>
        <f>Table1[[#This Row],[14-Apr]]-Table1[[#This Row],[28-Jun]]+Table1[[#This Row],[Restock]]</f>
        <v>0</v>
      </c>
      <c r="O55" s="228">
        <f>Table1[[#This Row],[Sold]]*Table1[[#This Row],[Price]]</f>
        <v>0</v>
      </c>
    </row>
    <row r="56" spans="1:17" ht="18" x14ac:dyDescent="0.3">
      <c r="A56" s="207"/>
      <c r="B56" s="208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>
        <f>Table1[[#This Row],[14-Apr]]-Table1[[#This Row],[28-Jun]]+Table1[[#This Row],[Restock]]</f>
        <v>0</v>
      </c>
      <c r="O56" s="228">
        <f>Table1[[#This Row],[Sold]]*Table1[[#This Row],[Price]]</f>
        <v>0</v>
      </c>
    </row>
    <row r="57" spans="1:17" ht="18" x14ac:dyDescent="0.3">
      <c r="A57" s="207"/>
      <c r="B57" s="208"/>
      <c r="C57" s="209"/>
      <c r="D57" s="209"/>
      <c r="E57" s="209"/>
      <c r="F57" s="209"/>
      <c r="G57" s="209"/>
      <c r="H57" s="209"/>
      <c r="I57" s="209"/>
      <c r="J57" s="209"/>
      <c r="K57" s="209"/>
      <c r="L57" s="209"/>
      <c r="M57" s="209"/>
      <c r="N57" s="209">
        <f>Table1[[#This Row],[14-Apr]]-Table1[[#This Row],[28-Jun]]+Table1[[#This Row],[Restock]]</f>
        <v>0</v>
      </c>
      <c r="O57" s="228">
        <f>Table1[[#This Row],[Sold]]*Table1[[#This Row],[Price]]</f>
        <v>0</v>
      </c>
    </row>
    <row r="58" spans="1:17" ht="18" x14ac:dyDescent="0.3">
      <c r="A58" s="207" t="s">
        <v>158</v>
      </c>
      <c r="B58" s="208">
        <v>4</v>
      </c>
      <c r="C58" s="209">
        <v>27</v>
      </c>
      <c r="D58" s="209">
        <v>26</v>
      </c>
      <c r="E58" s="209">
        <v>26</v>
      </c>
      <c r="F58" s="209">
        <v>24</v>
      </c>
      <c r="G58" s="209">
        <v>24</v>
      </c>
      <c r="H58" s="209">
        <v>23</v>
      </c>
      <c r="I58" s="209">
        <v>21</v>
      </c>
      <c r="J58" s="209">
        <v>20</v>
      </c>
      <c r="K58" s="209">
        <v>19</v>
      </c>
      <c r="L58" s="209">
        <v>19</v>
      </c>
      <c r="M58" s="209"/>
      <c r="N58" s="209">
        <f>Table1[[#This Row],[14-Apr]]-Table1[[#This Row],[28-Jun]]+Table1[[#This Row],[Restock]]</f>
        <v>0</v>
      </c>
      <c r="O58" s="228">
        <f>Table1[[#This Row],[Sold]]*Table1[[#This Row],[Price]]</f>
        <v>0</v>
      </c>
    </row>
    <row r="59" spans="1:17" ht="18" x14ac:dyDescent="0.3">
      <c r="A59" s="207"/>
      <c r="B59" s="208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>
        <f>Table1[[#This Row],[14-Apr]]-Table1[[#This Row],[28-Jun]]+Table1[[#This Row],[Restock]]</f>
        <v>0</v>
      </c>
      <c r="O59" s="228"/>
    </row>
    <row r="60" spans="1:17" ht="18" x14ac:dyDescent="0.3">
      <c r="A60" s="213" t="s">
        <v>29</v>
      </c>
      <c r="B60" s="214"/>
      <c r="C60" s="215"/>
      <c r="D60" s="229"/>
      <c r="E60" s="215"/>
      <c r="F60" s="215"/>
      <c r="G60" s="215" cm="1">
        <f t="array" ref="G60">SUM(G5:G58*B5:B58)</f>
        <v>6263.9687848383501</v>
      </c>
      <c r="H60" s="215" cm="1">
        <f t="array" ref="H60">SUM(H5:H58*B5:B58)</f>
        <v>5576.3193979933121</v>
      </c>
      <c r="I60" s="215" cm="1">
        <f t="array" ref="I60">SUM(I5:I58*B5:B58)</f>
        <v>5276.9994425863988</v>
      </c>
      <c r="J60" s="215" cm="1">
        <f t="array" ref="J60">SUM(J5:J58*B5:B58)</f>
        <v>6499.6794871794864</v>
      </c>
      <c r="K60" s="215" cm="1">
        <f t="array" ref="K60">SUM(K5:K58*B5:B58)</f>
        <v>6333.2781493868442</v>
      </c>
      <c r="L60" s="215" cm="1">
        <f t="array" ref="L60">SUM(L5:L58*B5:B58)</f>
        <v>5482.8154960981046</v>
      </c>
      <c r="M60" s="216"/>
      <c r="N60" s="230">
        <f>SUM(Table1[Sold])</f>
        <v>569</v>
      </c>
      <c r="O60" s="215">
        <f>SUM(Table1[Value])</f>
        <v>2233.2853957636567</v>
      </c>
      <c r="Q60" s="256"/>
    </row>
    <row r="61" spans="1:17" x14ac:dyDescent="0.3">
      <c r="Q61" s="256"/>
    </row>
    <row r="62" spans="1:17" x14ac:dyDescent="0.3">
      <c r="J62" s="256"/>
      <c r="K62" s="256"/>
      <c r="L62" s="256"/>
      <c r="M62" s="256"/>
      <c r="P62" s="256"/>
      <c r="Q62" s="25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Z1003"/>
  <sheetViews>
    <sheetView workbookViewId="0">
      <pane ySplit="2" topLeftCell="A3" activePane="bottomLeft" state="frozen"/>
      <selection pane="bottomLeft" activeCell="D2" sqref="D2"/>
    </sheetView>
  </sheetViews>
  <sheetFormatPr defaultColWidth="14.44140625" defaultRowHeight="15" customHeight="1" x14ac:dyDescent="0.3"/>
  <cols>
    <col min="1" max="1" width="8.6640625" customWidth="1"/>
    <col min="2" max="2" width="10.88671875" customWidth="1"/>
    <col min="3" max="3" width="9" customWidth="1"/>
    <col min="4" max="4" width="10.33203125" customWidth="1"/>
    <col min="5" max="5" width="8.6640625" customWidth="1"/>
    <col min="6" max="6" width="10.44140625" customWidth="1"/>
    <col min="7" max="7" width="11" customWidth="1"/>
    <col min="8" max="8" width="5.6640625" customWidth="1"/>
    <col min="9" max="9" width="9.88671875" customWidth="1"/>
    <col min="10" max="10" width="3.44140625" customWidth="1"/>
    <col min="11" max="11" width="15.33203125" customWidth="1"/>
    <col min="12" max="12" width="6.6640625" customWidth="1"/>
    <col min="13" max="13" width="8.33203125" bestFit="1" customWidth="1"/>
    <col min="14" max="24" width="8.6640625" customWidth="1"/>
  </cols>
  <sheetData>
    <row r="1" spans="1:26" ht="15.6" x14ac:dyDescent="0.3">
      <c r="A1" s="421"/>
      <c r="B1" s="403"/>
      <c r="C1" s="403"/>
      <c r="D1" s="404"/>
      <c r="E1" s="422"/>
      <c r="F1" s="425" t="s">
        <v>53</v>
      </c>
      <c r="G1" s="426"/>
      <c r="H1" s="426"/>
      <c r="I1" s="426"/>
      <c r="J1" s="426"/>
      <c r="K1" s="426"/>
      <c r="L1" s="426"/>
      <c r="M1" s="427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spans="1:26" ht="14.25" customHeight="1" x14ac:dyDescent="0.3">
      <c r="A2" s="115" t="s">
        <v>160</v>
      </c>
      <c r="B2" s="115" t="s">
        <v>161</v>
      </c>
      <c r="C2" s="115" t="s">
        <v>162</v>
      </c>
      <c r="D2" s="115" t="s">
        <v>163</v>
      </c>
      <c r="E2" s="423"/>
      <c r="F2" s="116" t="s">
        <v>9</v>
      </c>
      <c r="G2" s="116" t="s">
        <v>164</v>
      </c>
      <c r="H2" s="116" t="s">
        <v>113</v>
      </c>
      <c r="I2" s="116" t="s">
        <v>165</v>
      </c>
      <c r="J2" s="117"/>
      <c r="K2" s="118"/>
      <c r="L2" s="118"/>
      <c r="M2" s="11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3">
      <c r="A3" s="119"/>
      <c r="B3" s="120"/>
      <c r="C3" s="121"/>
      <c r="D3" s="120"/>
      <c r="E3" s="423"/>
      <c r="F3" s="122">
        <v>46043</v>
      </c>
      <c r="G3" s="69"/>
      <c r="H3" s="69"/>
      <c r="I3" s="69">
        <v>19</v>
      </c>
      <c r="J3" s="117"/>
      <c r="K3" s="40" t="s">
        <v>166</v>
      </c>
      <c r="L3" s="40" t="s">
        <v>167</v>
      </c>
      <c r="M3" s="40" t="s">
        <v>168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3">
      <c r="A4" s="99"/>
      <c r="B4" s="123"/>
      <c r="C4" s="124"/>
      <c r="D4" s="123"/>
      <c r="E4" s="423"/>
      <c r="F4" s="122">
        <v>46044</v>
      </c>
      <c r="G4" s="80"/>
      <c r="H4" s="69">
        <v>8</v>
      </c>
      <c r="I4" s="80">
        <v>7</v>
      </c>
      <c r="J4" s="117"/>
      <c r="K4" s="125">
        <f>SUM($I$3:$I$115)-SUM($H$3:$H$115)</f>
        <v>19</v>
      </c>
      <c r="L4" s="125">
        <v>21</v>
      </c>
      <c r="M4" s="125">
        <f>K4*L4</f>
        <v>399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3">
      <c r="A5" s="99"/>
      <c r="B5" s="123"/>
      <c r="C5" s="124"/>
      <c r="D5" s="123"/>
      <c r="E5" s="423"/>
      <c r="F5" s="122">
        <v>46045</v>
      </c>
      <c r="G5" s="80"/>
      <c r="H5" s="69">
        <v>6</v>
      </c>
      <c r="I5" s="80">
        <v>10</v>
      </c>
      <c r="J5" s="117"/>
      <c r="K5" s="118"/>
      <c r="L5" s="118"/>
      <c r="M5" s="11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3">
      <c r="A6" s="99"/>
      <c r="B6" s="123"/>
      <c r="C6" s="124"/>
      <c r="D6" s="123"/>
      <c r="E6" s="423"/>
      <c r="F6" s="122">
        <v>46046</v>
      </c>
      <c r="G6" s="80"/>
      <c r="H6" s="69">
        <v>5</v>
      </c>
      <c r="I6" s="80">
        <v>7</v>
      </c>
      <c r="J6" s="117"/>
      <c r="K6" s="118"/>
      <c r="L6" s="118"/>
      <c r="M6" s="118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3">
      <c r="A7" s="99"/>
      <c r="B7" s="123"/>
      <c r="C7" s="124"/>
      <c r="D7" s="123"/>
      <c r="E7" s="423"/>
      <c r="F7" s="122">
        <v>46047</v>
      </c>
      <c r="G7" s="80"/>
      <c r="H7" s="80">
        <v>3</v>
      </c>
      <c r="I7" s="69"/>
      <c r="J7" s="117"/>
      <c r="K7" s="118"/>
      <c r="L7" s="118"/>
      <c r="M7" s="118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3">
      <c r="A8" s="99"/>
      <c r="B8" s="123"/>
      <c r="C8" s="124"/>
      <c r="D8" s="123"/>
      <c r="E8" s="423"/>
      <c r="F8" s="122">
        <v>46048</v>
      </c>
      <c r="G8" s="80"/>
      <c r="H8" s="69">
        <v>9</v>
      </c>
      <c r="I8" s="80">
        <v>9</v>
      </c>
      <c r="J8" s="117"/>
      <c r="K8" s="118"/>
      <c r="L8" s="118"/>
      <c r="M8" s="11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3">
      <c r="A9" s="99"/>
      <c r="B9" s="123"/>
      <c r="C9" s="124"/>
      <c r="D9" s="123"/>
      <c r="E9" s="423"/>
      <c r="F9" s="122">
        <v>46049</v>
      </c>
      <c r="G9" s="80"/>
      <c r="H9" s="80">
        <v>4</v>
      </c>
      <c r="I9" s="80">
        <v>5</v>
      </c>
      <c r="J9" s="117"/>
      <c r="K9" s="118"/>
      <c r="L9" s="118"/>
      <c r="M9" s="118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3">
      <c r="A10" s="99"/>
      <c r="B10" s="123"/>
      <c r="C10" s="124"/>
      <c r="D10" s="123"/>
      <c r="E10" s="423"/>
      <c r="F10" s="122">
        <v>46050</v>
      </c>
      <c r="G10" s="80"/>
      <c r="H10" s="80">
        <v>4</v>
      </c>
      <c r="I10" s="80"/>
      <c r="J10" s="117"/>
      <c r="K10" s="118"/>
      <c r="L10" s="118"/>
      <c r="M10" s="11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3">
      <c r="A11" s="99"/>
      <c r="B11" s="123"/>
      <c r="C11" s="124"/>
      <c r="D11" s="123"/>
      <c r="E11" s="423"/>
      <c r="F11" s="122">
        <v>46051</v>
      </c>
      <c r="G11" s="80"/>
      <c r="H11" s="80">
        <v>7</v>
      </c>
      <c r="I11" s="80">
        <v>9</v>
      </c>
      <c r="J11" s="117"/>
      <c r="K11" s="118"/>
      <c r="L11" s="118"/>
      <c r="M11" s="118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3">
      <c r="A12" s="99"/>
      <c r="B12" s="123"/>
      <c r="C12" s="124"/>
      <c r="D12" s="123"/>
      <c r="E12" s="423"/>
      <c r="F12" s="122">
        <v>46052</v>
      </c>
      <c r="G12" s="80"/>
      <c r="H12" s="80">
        <v>8</v>
      </c>
      <c r="I12" s="80"/>
      <c r="J12" s="117"/>
      <c r="K12" s="118"/>
      <c r="L12" s="118"/>
      <c r="M12" s="11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3">
      <c r="A13" s="99"/>
      <c r="B13" s="123"/>
      <c r="C13" s="124"/>
      <c r="D13" s="123"/>
      <c r="E13" s="423"/>
      <c r="F13" s="122">
        <v>46053</v>
      </c>
      <c r="G13" s="80"/>
      <c r="H13" s="80">
        <v>4</v>
      </c>
      <c r="I13" s="80">
        <v>14</v>
      </c>
      <c r="J13" s="117"/>
      <c r="K13" s="118"/>
      <c r="L13" s="118"/>
      <c r="M13" s="118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3">
      <c r="A14" s="99"/>
      <c r="B14" s="123"/>
      <c r="C14" s="124"/>
      <c r="D14" s="126"/>
      <c r="E14" s="423"/>
      <c r="F14" s="122">
        <v>46054</v>
      </c>
      <c r="G14" s="80"/>
      <c r="H14" s="80">
        <v>11</v>
      </c>
      <c r="I14" s="80"/>
      <c r="J14" s="117"/>
      <c r="K14" s="118"/>
      <c r="L14" s="118"/>
      <c r="M14" s="11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3">
      <c r="A15" s="99"/>
      <c r="B15" s="123"/>
      <c r="C15" s="124"/>
      <c r="D15" s="123"/>
      <c r="E15" s="423"/>
      <c r="F15" s="122">
        <v>46055</v>
      </c>
      <c r="G15" s="80"/>
      <c r="H15" s="80">
        <v>3</v>
      </c>
      <c r="I15" s="80">
        <v>15</v>
      </c>
      <c r="J15" s="117"/>
      <c r="K15" s="118"/>
      <c r="L15" s="118"/>
      <c r="M15" s="11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3">
      <c r="A16" s="99"/>
      <c r="B16" s="123"/>
      <c r="C16" s="124"/>
      <c r="D16" s="123"/>
      <c r="E16" s="423"/>
      <c r="F16" s="122">
        <v>46056</v>
      </c>
      <c r="G16" s="80"/>
      <c r="H16" s="80">
        <v>6</v>
      </c>
      <c r="J16" s="117"/>
      <c r="K16" s="118"/>
      <c r="L16" s="118"/>
      <c r="M16" s="11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3">
      <c r="A17" s="99"/>
      <c r="B17" s="123"/>
      <c r="C17" s="124"/>
      <c r="D17" s="126"/>
      <c r="E17" s="423"/>
      <c r="F17" s="122">
        <v>46057</v>
      </c>
      <c r="G17" s="80"/>
      <c r="H17" s="80">
        <v>2</v>
      </c>
      <c r="I17" s="80"/>
      <c r="J17" s="117"/>
      <c r="K17" s="118"/>
      <c r="L17" s="118"/>
      <c r="M17" s="118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3">
      <c r="A18" s="99"/>
      <c r="B18" s="123"/>
      <c r="C18" s="124"/>
      <c r="D18" s="126"/>
      <c r="E18" s="423"/>
      <c r="F18" s="122">
        <v>46058</v>
      </c>
      <c r="G18" s="80"/>
      <c r="H18" s="80">
        <v>3</v>
      </c>
      <c r="I18" s="80">
        <v>11</v>
      </c>
      <c r="J18" s="117"/>
      <c r="K18" s="118"/>
      <c r="L18" s="118"/>
      <c r="M18" s="11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3">
      <c r="A19" s="99"/>
      <c r="B19" s="123"/>
      <c r="C19" s="124"/>
      <c r="D19" s="123"/>
      <c r="E19" s="423"/>
      <c r="F19" s="122">
        <v>46059</v>
      </c>
      <c r="G19" s="80"/>
      <c r="H19" s="80">
        <v>2</v>
      </c>
      <c r="I19" s="80"/>
      <c r="J19" s="117"/>
      <c r="K19" s="118"/>
      <c r="L19" s="118"/>
      <c r="M19" s="118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3">
      <c r="A20" s="99"/>
      <c r="B20" s="123"/>
      <c r="C20" s="124"/>
      <c r="D20" s="123"/>
      <c r="E20" s="423"/>
      <c r="F20" s="122">
        <v>46060</v>
      </c>
      <c r="G20" s="80"/>
      <c r="H20" s="80">
        <v>6</v>
      </c>
      <c r="I20" s="80">
        <v>6</v>
      </c>
      <c r="J20" s="117"/>
      <c r="K20" s="118"/>
      <c r="L20" s="118"/>
      <c r="M20" s="118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3">
      <c r="A21" s="99"/>
      <c r="B21" s="123"/>
      <c r="C21" s="124"/>
      <c r="D21" s="123"/>
      <c r="E21" s="423"/>
      <c r="F21" s="122">
        <v>46061</v>
      </c>
      <c r="G21" s="80"/>
      <c r="H21" s="80">
        <v>2</v>
      </c>
      <c r="I21" s="80"/>
      <c r="J21" s="117"/>
      <c r="K21" s="118"/>
      <c r="L21" s="118"/>
      <c r="M21" s="118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3">
      <c r="A22" s="99"/>
      <c r="B22" s="123"/>
      <c r="C22" s="124"/>
      <c r="D22" s="123"/>
      <c r="E22" s="423"/>
      <c r="F22" s="122">
        <v>46062</v>
      </c>
      <c r="G22" s="80"/>
      <c r="H22" s="80">
        <v>10</v>
      </c>
      <c r="I22" s="80"/>
      <c r="J22" s="117"/>
      <c r="K22" s="118"/>
      <c r="L22" s="118"/>
      <c r="M22" s="118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3">
      <c r="A23" s="99"/>
      <c r="B23" s="123"/>
      <c r="C23" s="124"/>
      <c r="D23" s="123"/>
      <c r="E23" s="423"/>
      <c r="F23" s="122">
        <v>46063</v>
      </c>
      <c r="G23" s="80"/>
      <c r="H23" s="80">
        <v>4</v>
      </c>
      <c r="I23" s="80">
        <v>17</v>
      </c>
      <c r="J23" s="117"/>
      <c r="K23" s="118"/>
      <c r="L23" s="118"/>
      <c r="M23" s="118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3">
      <c r="A24" s="99"/>
      <c r="B24" s="123"/>
      <c r="C24" s="124"/>
      <c r="D24" s="123"/>
      <c r="E24" s="423"/>
      <c r="F24" s="122">
        <v>46064</v>
      </c>
      <c r="G24" s="80"/>
      <c r="H24" s="80">
        <v>4</v>
      </c>
      <c r="I24" s="80"/>
      <c r="J24" s="117"/>
      <c r="K24" s="118"/>
      <c r="L24" s="118"/>
      <c r="M24" s="118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3">
      <c r="A25" s="99"/>
      <c r="B25" s="123"/>
      <c r="C25" s="124"/>
      <c r="D25" s="123"/>
      <c r="E25" s="423"/>
      <c r="F25" s="122">
        <v>46065</v>
      </c>
      <c r="G25" s="80"/>
      <c r="H25" s="80">
        <v>8</v>
      </c>
      <c r="I25" s="80">
        <v>9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3">
      <c r="A26" s="99"/>
      <c r="B26" s="123"/>
      <c r="C26" s="124"/>
      <c r="D26" s="123"/>
      <c r="E26" s="423"/>
      <c r="F26" s="122">
        <v>46066</v>
      </c>
      <c r="G26" s="80"/>
      <c r="H26" s="80">
        <v>3</v>
      </c>
      <c r="I26" s="80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3">
      <c r="A27" s="99"/>
      <c r="B27" s="123"/>
      <c r="C27" s="124"/>
      <c r="D27" s="126"/>
      <c r="E27" s="423"/>
      <c r="F27" s="122">
        <v>46067</v>
      </c>
      <c r="G27" s="80"/>
      <c r="H27" s="80">
        <v>10</v>
      </c>
      <c r="I27" s="80">
        <v>15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3">
      <c r="A28" s="99"/>
      <c r="B28" s="123"/>
      <c r="C28" s="124"/>
      <c r="D28" s="123"/>
      <c r="E28" s="423"/>
      <c r="F28" s="122">
        <v>46068</v>
      </c>
      <c r="G28" s="127"/>
      <c r="H28" s="127">
        <v>13</v>
      </c>
      <c r="I28" s="127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3">
      <c r="A29" s="99"/>
      <c r="B29" s="123"/>
      <c r="C29" s="124"/>
      <c r="D29" s="123"/>
      <c r="E29" s="423"/>
      <c r="F29" s="122">
        <v>46069</v>
      </c>
      <c r="G29" s="127"/>
      <c r="H29" s="127">
        <v>2</v>
      </c>
      <c r="I29" s="127">
        <v>20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3">
      <c r="A30" s="99"/>
      <c r="B30" s="123"/>
      <c r="C30" s="124"/>
      <c r="D30" s="123"/>
      <c r="E30" s="423"/>
      <c r="F30" s="122">
        <v>46070</v>
      </c>
      <c r="G30" s="127"/>
      <c r="H30" s="127">
        <v>1</v>
      </c>
      <c r="I30" s="127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3">
      <c r="A31" s="99"/>
      <c r="B31" s="123"/>
      <c r="C31" s="124"/>
      <c r="D31" s="123"/>
      <c r="E31" s="423"/>
      <c r="F31" s="122">
        <v>46071</v>
      </c>
      <c r="G31" s="127"/>
      <c r="H31" s="127">
        <v>5</v>
      </c>
      <c r="I31" s="127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3">
      <c r="A32" s="99"/>
      <c r="B32" s="123"/>
      <c r="C32" s="128"/>
      <c r="D32" s="123"/>
      <c r="E32" s="423"/>
      <c r="F32" s="122">
        <v>46072</v>
      </c>
      <c r="G32" s="127"/>
      <c r="H32" s="127">
        <v>4</v>
      </c>
      <c r="I32" s="127">
        <v>10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3">
      <c r="A33" s="99"/>
      <c r="B33" s="123"/>
      <c r="C33" s="124"/>
      <c r="D33" s="123"/>
      <c r="E33" s="423"/>
      <c r="F33" s="122">
        <v>46073</v>
      </c>
      <c r="G33" s="127"/>
      <c r="H33" s="127">
        <v>5</v>
      </c>
      <c r="I33" s="127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3">
      <c r="A34" s="99"/>
      <c r="B34" s="123"/>
      <c r="C34" s="124"/>
      <c r="D34" s="123"/>
      <c r="E34" s="423"/>
      <c r="F34" s="122">
        <v>46074</v>
      </c>
      <c r="G34" s="127"/>
      <c r="H34" s="127">
        <v>1</v>
      </c>
      <c r="I34" s="127">
        <v>5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3">
      <c r="A35" s="99"/>
      <c r="B35" s="123"/>
      <c r="C35" s="124"/>
      <c r="D35" s="123"/>
      <c r="E35" s="423"/>
      <c r="F35" s="122">
        <v>46075</v>
      </c>
      <c r="G35" s="127"/>
      <c r="H35" s="127">
        <v>3</v>
      </c>
      <c r="I35" s="127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3">
      <c r="A36" s="99"/>
      <c r="B36" s="123"/>
      <c r="C36" s="124"/>
      <c r="D36" s="123"/>
      <c r="E36" s="423"/>
      <c r="F36" s="122">
        <v>46076</v>
      </c>
      <c r="G36" s="127"/>
      <c r="H36" s="127">
        <v>2</v>
      </c>
      <c r="I36" s="127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3">
      <c r="A37" s="99"/>
      <c r="B37" s="123"/>
      <c r="C37" s="124"/>
      <c r="D37" s="123"/>
      <c r="E37" s="423"/>
      <c r="F37" s="122">
        <v>46077</v>
      </c>
      <c r="G37" s="127"/>
      <c r="H37" s="127">
        <v>3</v>
      </c>
      <c r="I37" s="127">
        <v>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3">
      <c r="A38" s="99"/>
      <c r="B38" s="123"/>
      <c r="C38" s="124"/>
      <c r="D38" s="123"/>
      <c r="E38" s="423"/>
      <c r="F38" s="122">
        <v>46078</v>
      </c>
      <c r="G38" s="127"/>
      <c r="H38" s="127">
        <v>2</v>
      </c>
      <c r="I38" s="127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3">
      <c r="A39" s="99"/>
      <c r="B39" s="123"/>
      <c r="C39" s="124"/>
      <c r="D39" s="123"/>
      <c r="E39" s="423"/>
      <c r="F39" s="122">
        <v>46079</v>
      </c>
      <c r="G39" s="127"/>
      <c r="H39" s="127">
        <v>8</v>
      </c>
      <c r="I39" s="127">
        <v>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3">
      <c r="A40" s="99"/>
      <c r="B40" s="123"/>
      <c r="C40" s="124"/>
      <c r="D40" s="123"/>
      <c r="E40" s="423"/>
      <c r="F40" s="122">
        <v>46080</v>
      </c>
      <c r="G40" s="127"/>
      <c r="H40" s="127">
        <v>6</v>
      </c>
      <c r="I40" s="127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3">
      <c r="A41" s="99"/>
      <c r="B41" s="123"/>
      <c r="C41" s="124"/>
      <c r="D41" s="123"/>
      <c r="E41" s="423"/>
      <c r="F41" s="122">
        <v>46081</v>
      </c>
      <c r="G41" s="127"/>
      <c r="H41" s="127">
        <v>16</v>
      </c>
      <c r="I41" s="127">
        <v>23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3">
      <c r="A42" s="99"/>
      <c r="B42" s="123"/>
      <c r="C42" s="124"/>
      <c r="D42" s="123"/>
      <c r="E42" s="423"/>
      <c r="F42" s="122">
        <v>46082</v>
      </c>
      <c r="G42" s="127"/>
      <c r="H42" s="127">
        <v>7</v>
      </c>
      <c r="I42" s="127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3">
      <c r="A43" s="99"/>
      <c r="B43" s="123"/>
      <c r="C43" s="124"/>
      <c r="D43" s="123"/>
      <c r="E43" s="423"/>
      <c r="F43" s="122">
        <v>46083</v>
      </c>
      <c r="G43" s="127"/>
      <c r="H43" s="127">
        <v>9</v>
      </c>
      <c r="I43" s="12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3">
      <c r="A44" s="99"/>
      <c r="B44" s="123"/>
      <c r="C44" s="124"/>
      <c r="D44" s="123"/>
      <c r="E44" s="423"/>
      <c r="F44" s="122">
        <v>46084</v>
      </c>
      <c r="G44" s="127"/>
      <c r="H44" s="127">
        <v>12</v>
      </c>
      <c r="I44" s="127">
        <v>24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3">
      <c r="A45" s="99"/>
      <c r="B45" s="123"/>
      <c r="C45" s="124"/>
      <c r="D45" s="123"/>
      <c r="E45" s="423"/>
      <c r="F45" s="122">
        <v>46085</v>
      </c>
      <c r="G45" s="127"/>
      <c r="H45" s="127">
        <v>6</v>
      </c>
      <c r="I45" s="127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3">
      <c r="A46" s="99"/>
      <c r="B46" s="123"/>
      <c r="C46" s="124"/>
      <c r="D46" s="123"/>
      <c r="E46" s="423"/>
      <c r="F46" s="122">
        <v>46086</v>
      </c>
      <c r="G46" s="127"/>
      <c r="H46" s="127">
        <v>7</v>
      </c>
      <c r="I46" s="127">
        <v>17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3">
      <c r="A47" s="99"/>
      <c r="B47" s="123"/>
      <c r="C47" s="124"/>
      <c r="D47" s="123"/>
      <c r="E47" s="423"/>
      <c r="F47" s="122">
        <v>46087</v>
      </c>
      <c r="G47" s="127"/>
      <c r="H47" s="127">
        <v>7</v>
      </c>
      <c r="I47" s="127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3">
      <c r="A48" s="129"/>
      <c r="B48" s="123"/>
      <c r="C48" s="124"/>
      <c r="D48" s="123"/>
      <c r="E48" s="423"/>
      <c r="F48" s="122">
        <v>46088</v>
      </c>
      <c r="G48" s="127"/>
      <c r="H48" s="127">
        <v>4</v>
      </c>
      <c r="I48" s="127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3">
      <c r="A49" s="129"/>
      <c r="B49" s="123"/>
      <c r="C49" s="124"/>
      <c r="D49" s="123"/>
      <c r="E49" s="423"/>
      <c r="F49" s="122">
        <v>46089</v>
      </c>
      <c r="G49" s="127"/>
      <c r="H49" s="127">
        <v>8</v>
      </c>
      <c r="I49" s="127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3">
      <c r="A50" s="129"/>
      <c r="B50" s="123"/>
      <c r="C50" s="124"/>
      <c r="D50" s="123"/>
      <c r="E50" s="423"/>
      <c r="F50" s="122">
        <v>46090</v>
      </c>
      <c r="G50" s="127"/>
      <c r="H50" s="127">
        <v>1</v>
      </c>
      <c r="I50" s="127">
        <v>10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3">
      <c r="A51" s="129"/>
      <c r="B51" s="123"/>
      <c r="C51" s="124"/>
      <c r="D51" s="123"/>
      <c r="E51" s="423"/>
      <c r="F51" s="122">
        <v>46091</v>
      </c>
      <c r="G51" s="127"/>
      <c r="H51" s="127">
        <v>0</v>
      </c>
      <c r="I51" s="127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3">
      <c r="A52" s="129"/>
      <c r="B52" s="123"/>
      <c r="C52" s="124"/>
      <c r="D52" s="123"/>
      <c r="E52" s="423"/>
      <c r="F52" s="122">
        <v>46092</v>
      </c>
      <c r="G52" s="127"/>
      <c r="H52" s="127">
        <v>1</v>
      </c>
      <c r="I52" s="127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3">
      <c r="A53" s="129"/>
      <c r="B53" s="123"/>
      <c r="C53" s="124"/>
      <c r="D53" s="123"/>
      <c r="E53" s="423"/>
      <c r="F53" s="122">
        <v>46093</v>
      </c>
      <c r="G53" s="127"/>
      <c r="H53" s="127">
        <f>4+5</f>
        <v>9</v>
      </c>
      <c r="I53" s="127">
        <v>16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3">
      <c r="A54" s="130"/>
      <c r="B54" s="131"/>
      <c r="C54" s="132"/>
      <c r="D54" s="131"/>
      <c r="E54" s="423"/>
      <c r="F54" s="122">
        <v>46094</v>
      </c>
      <c r="G54" s="127"/>
      <c r="H54" s="127">
        <v>2</v>
      </c>
      <c r="I54" s="127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3">
      <c r="A55" s="133"/>
      <c r="B55" s="123"/>
      <c r="C55" s="123"/>
      <c r="D55" s="123"/>
      <c r="E55" s="423"/>
      <c r="F55" s="122">
        <v>46095</v>
      </c>
      <c r="G55" s="127"/>
      <c r="H55" s="127">
        <v>6</v>
      </c>
      <c r="I55" s="12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3">
      <c r="A56" s="134"/>
      <c r="B56" s="80"/>
      <c r="C56" s="80"/>
      <c r="D56" s="80"/>
      <c r="E56" s="423"/>
      <c r="F56" s="122">
        <v>46096</v>
      </c>
      <c r="G56" s="127"/>
      <c r="H56" s="127">
        <v>6</v>
      </c>
      <c r="I56" s="127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3">
      <c r="A57" s="134"/>
      <c r="B57" s="80"/>
      <c r="C57" s="80"/>
      <c r="D57" s="80"/>
      <c r="E57" s="423"/>
      <c r="F57" s="122">
        <v>46097</v>
      </c>
      <c r="G57" s="127"/>
      <c r="H57" s="127">
        <v>2</v>
      </c>
      <c r="I57" s="127">
        <v>18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3">
      <c r="A58" s="134"/>
      <c r="B58" s="80"/>
      <c r="C58" s="80"/>
      <c r="D58" s="80"/>
      <c r="E58" s="423"/>
      <c r="F58" s="122">
        <v>46098</v>
      </c>
      <c r="G58" s="127"/>
      <c r="H58" s="127">
        <v>2</v>
      </c>
      <c r="I58" s="12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3">
      <c r="A59" s="134"/>
      <c r="B59" s="80"/>
      <c r="C59" s="80"/>
      <c r="D59" s="80"/>
      <c r="E59" s="424"/>
      <c r="F59" s="122">
        <v>46099</v>
      </c>
      <c r="G59" s="127"/>
      <c r="H59" s="127">
        <v>1</v>
      </c>
      <c r="I59" s="127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">
      <c r="A60" s="11"/>
      <c r="B60" s="5"/>
      <c r="C60" s="5"/>
      <c r="D60" s="5"/>
      <c r="E60" s="5"/>
      <c r="F60" s="122">
        <v>46100</v>
      </c>
      <c r="G60" s="127"/>
      <c r="H60" s="127">
        <v>3</v>
      </c>
      <c r="I60" s="127">
        <v>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3">
      <c r="A61" s="11"/>
      <c r="B61" s="5"/>
      <c r="C61" s="5"/>
      <c r="D61" s="5"/>
      <c r="E61" s="5"/>
      <c r="F61" s="122">
        <v>46101</v>
      </c>
      <c r="G61" s="201"/>
      <c r="H61" s="201">
        <v>13</v>
      </c>
      <c r="I61" s="201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3">
      <c r="A62" s="11"/>
      <c r="B62" s="5"/>
      <c r="C62" s="5"/>
      <c r="D62" s="5"/>
      <c r="E62" s="5"/>
      <c r="F62" s="122">
        <v>46102</v>
      </c>
      <c r="G62" s="201"/>
      <c r="H62" s="201">
        <v>8</v>
      </c>
      <c r="I62" s="201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3">
      <c r="A63" s="11"/>
      <c r="B63" s="5"/>
      <c r="C63" s="5"/>
      <c r="D63" s="5"/>
      <c r="E63" s="5"/>
      <c r="F63" s="122">
        <v>46103</v>
      </c>
      <c r="G63" s="255"/>
      <c r="H63" s="255">
        <v>0</v>
      </c>
      <c r="I63" s="255">
        <v>0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">
      <c r="A64" s="11"/>
      <c r="B64" s="5"/>
      <c r="C64" s="5"/>
      <c r="D64" s="5"/>
      <c r="E64" s="5"/>
      <c r="F64" s="122">
        <v>46104</v>
      </c>
      <c r="G64" s="201"/>
      <c r="H64" s="201">
        <v>1</v>
      </c>
      <c r="I64" s="201">
        <v>21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3">
      <c r="A65" s="11"/>
      <c r="B65" s="5"/>
      <c r="C65" s="5"/>
      <c r="D65" s="5"/>
      <c r="E65" s="5"/>
      <c r="F65" s="122">
        <v>46105</v>
      </c>
      <c r="G65" s="201"/>
      <c r="H65" s="201">
        <v>3</v>
      </c>
      <c r="I65" s="201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3">
      <c r="A66" s="11"/>
      <c r="B66" s="5"/>
      <c r="C66" s="5"/>
      <c r="D66" s="5"/>
      <c r="E66" s="5"/>
      <c r="F66" s="122">
        <v>46106</v>
      </c>
      <c r="G66" s="201"/>
      <c r="H66" s="201">
        <v>3</v>
      </c>
      <c r="I66" s="201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3">
      <c r="A67" s="11"/>
      <c r="B67" s="5"/>
      <c r="C67" s="5"/>
      <c r="D67" s="5"/>
      <c r="E67" s="5"/>
      <c r="F67" s="122">
        <v>46107</v>
      </c>
      <c r="G67" s="201"/>
      <c r="H67" s="201">
        <v>2</v>
      </c>
      <c r="I67" s="201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3">
      <c r="A68" s="11"/>
      <c r="B68" s="5"/>
      <c r="C68" s="5"/>
      <c r="D68" s="5"/>
      <c r="E68" s="5"/>
      <c r="F68" s="122">
        <v>46108</v>
      </c>
      <c r="G68" s="255"/>
      <c r="H68" s="255">
        <v>8</v>
      </c>
      <c r="I68" s="255">
        <v>11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3">
      <c r="A69" s="11"/>
      <c r="B69" s="5"/>
      <c r="C69" s="5"/>
      <c r="D69" s="5"/>
      <c r="E69" s="5"/>
      <c r="F69" s="122">
        <v>46109</v>
      </c>
      <c r="G69" s="201"/>
      <c r="H69" s="201">
        <v>6</v>
      </c>
      <c r="I69" s="201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3">
      <c r="A70" s="11"/>
      <c r="B70" s="5"/>
      <c r="C70" s="5"/>
      <c r="D70" s="5"/>
      <c r="E70" s="5"/>
      <c r="F70" s="122">
        <v>46110</v>
      </c>
      <c r="G70" s="201"/>
      <c r="H70" s="201">
        <v>1</v>
      </c>
      <c r="I70" s="201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3">
      <c r="A71" s="11"/>
      <c r="B71" s="5"/>
      <c r="C71" s="5"/>
      <c r="D71" s="5"/>
      <c r="E71" s="5"/>
      <c r="F71" s="122">
        <v>46111</v>
      </c>
      <c r="G71" s="201"/>
      <c r="H71" s="201">
        <v>5</v>
      </c>
      <c r="I71" s="201">
        <v>15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3">
      <c r="A72" s="11"/>
      <c r="B72" s="5"/>
      <c r="C72" s="5"/>
      <c r="D72" s="5"/>
      <c r="E72" s="5"/>
      <c r="F72" s="258">
        <v>46112</v>
      </c>
      <c r="G72" s="258"/>
      <c r="H72" s="199">
        <v>2</v>
      </c>
      <c r="I72" s="199">
        <v>4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3">
      <c r="A73" s="11"/>
      <c r="B73" s="5"/>
      <c r="C73" s="5"/>
      <c r="D73" s="5"/>
      <c r="E73" s="5"/>
      <c r="F73" s="194">
        <v>46113</v>
      </c>
      <c r="G73" s="194"/>
      <c r="H73" s="201">
        <v>13</v>
      </c>
      <c r="I73" s="201">
        <v>9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3">
      <c r="A74" s="11"/>
      <c r="B74" s="5"/>
      <c r="C74" s="5"/>
      <c r="D74" s="5"/>
      <c r="E74" s="5"/>
      <c r="F74" s="259">
        <v>46114</v>
      </c>
      <c r="G74" s="201"/>
      <c r="H74" s="201">
        <v>1</v>
      </c>
      <c r="I74" s="201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3">
      <c r="A75" s="11"/>
      <c r="B75" s="5"/>
      <c r="C75" s="5"/>
      <c r="D75" s="5"/>
      <c r="E75" s="5"/>
      <c r="F75" s="259">
        <v>46115</v>
      </c>
      <c r="G75" s="201"/>
      <c r="H75" s="201">
        <v>2</v>
      </c>
      <c r="I75" s="201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3">
      <c r="A76" s="11"/>
      <c r="B76" s="5"/>
      <c r="C76" s="5"/>
      <c r="D76" s="5"/>
      <c r="E76" s="5"/>
      <c r="F76" s="259">
        <v>46116</v>
      </c>
      <c r="G76" s="201"/>
      <c r="H76" s="201">
        <v>1</v>
      </c>
      <c r="I76" s="201">
        <v>7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3">
      <c r="A77" s="11"/>
      <c r="B77" s="5"/>
      <c r="C77" s="5"/>
      <c r="D77" s="5"/>
      <c r="E77" s="5"/>
      <c r="F77" s="259">
        <v>46117</v>
      </c>
      <c r="G77" s="201"/>
      <c r="H77" s="201">
        <v>1</v>
      </c>
      <c r="I77" s="201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3">
      <c r="A78" s="11"/>
      <c r="B78" s="5"/>
      <c r="C78" s="5"/>
      <c r="D78" s="5"/>
      <c r="E78" s="5"/>
      <c r="F78" s="259">
        <v>46118</v>
      </c>
      <c r="G78" s="201"/>
      <c r="H78" s="201">
        <v>1</v>
      </c>
      <c r="I78" s="201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3">
      <c r="A79" s="11"/>
      <c r="B79" s="5"/>
      <c r="C79" s="5"/>
      <c r="D79" s="5"/>
      <c r="E79" s="5"/>
      <c r="F79" s="259">
        <v>46119</v>
      </c>
      <c r="G79" s="201"/>
      <c r="H79" s="201">
        <v>2</v>
      </c>
      <c r="I79" s="201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3">
      <c r="A80" s="11"/>
      <c r="B80" s="5"/>
      <c r="C80" s="5"/>
      <c r="D80" s="5"/>
      <c r="E80" s="5"/>
      <c r="F80" s="259">
        <v>46120</v>
      </c>
      <c r="G80" s="201"/>
      <c r="H80" s="201">
        <v>1</v>
      </c>
      <c r="I80" s="201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3">
      <c r="A81" s="11"/>
      <c r="B81" s="5"/>
      <c r="C81" s="5"/>
      <c r="D81" s="5"/>
      <c r="E81" s="5"/>
      <c r="F81" s="259">
        <v>46121</v>
      </c>
      <c r="G81" s="201"/>
      <c r="H81" s="201">
        <v>1</v>
      </c>
      <c r="I81" s="201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3">
      <c r="A82" s="11"/>
      <c r="B82" s="5"/>
      <c r="C82" s="5"/>
      <c r="D82" s="5"/>
      <c r="E82" s="5"/>
      <c r="F82" s="259">
        <v>46122</v>
      </c>
      <c r="G82" s="201"/>
      <c r="H82" s="201">
        <v>1</v>
      </c>
      <c r="I82" s="201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3">
      <c r="A83" s="11"/>
      <c r="B83" s="5"/>
      <c r="C83" s="5"/>
      <c r="D83" s="5"/>
      <c r="E83" s="5"/>
      <c r="F83" s="259">
        <v>46123</v>
      </c>
      <c r="G83" s="201"/>
      <c r="H83" s="201">
        <v>2</v>
      </c>
      <c r="I83" s="201">
        <v>8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3">
      <c r="A84" s="11"/>
      <c r="B84" s="5"/>
      <c r="C84" s="5"/>
      <c r="D84" s="5"/>
      <c r="E84" s="5"/>
      <c r="F84" s="259">
        <v>46124</v>
      </c>
      <c r="G84" s="201"/>
      <c r="H84" s="201">
        <v>5</v>
      </c>
      <c r="I84" s="201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3">
      <c r="A85" s="11"/>
      <c r="B85" s="5"/>
      <c r="C85" s="5"/>
      <c r="D85" s="5"/>
      <c r="E85" s="5"/>
      <c r="F85" s="259">
        <v>46125</v>
      </c>
      <c r="G85" s="201"/>
      <c r="H85" s="201">
        <v>2</v>
      </c>
      <c r="I85" s="201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3">
      <c r="A86" s="11"/>
      <c r="B86" s="5"/>
      <c r="C86" s="5"/>
      <c r="D86" s="5"/>
      <c r="E86" s="5"/>
      <c r="F86" s="259">
        <v>46126</v>
      </c>
      <c r="G86" s="201"/>
      <c r="H86" s="201"/>
      <c r="I86" s="201">
        <v>9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3">
      <c r="A87" s="11"/>
      <c r="B87" s="5"/>
      <c r="C87" s="5"/>
      <c r="D87" s="5"/>
      <c r="E87" s="5"/>
      <c r="F87" s="259">
        <v>46128</v>
      </c>
      <c r="G87" s="201"/>
      <c r="H87" s="201">
        <v>4</v>
      </c>
      <c r="I87" s="201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3">
      <c r="A88" s="11"/>
      <c r="B88" s="5"/>
      <c r="C88" s="5"/>
      <c r="D88" s="5"/>
      <c r="E88" s="5"/>
      <c r="F88" s="259">
        <v>46129</v>
      </c>
      <c r="G88" s="201"/>
      <c r="H88" s="201">
        <v>2</v>
      </c>
      <c r="I88" s="201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3">
      <c r="A89" s="11"/>
      <c r="B89" s="5"/>
      <c r="C89" s="5"/>
      <c r="D89" s="5"/>
      <c r="E89" s="5"/>
      <c r="F89" s="259">
        <v>46131</v>
      </c>
      <c r="G89" s="201"/>
      <c r="H89" s="201">
        <v>4</v>
      </c>
      <c r="I89" s="201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3">
      <c r="A90" s="11"/>
      <c r="B90" s="5"/>
      <c r="C90" s="5"/>
      <c r="D90" s="5"/>
      <c r="E90" s="5"/>
      <c r="F90" s="259">
        <v>46134</v>
      </c>
      <c r="G90" s="201"/>
      <c r="H90" s="201">
        <v>1</v>
      </c>
      <c r="I90" s="201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3">
      <c r="A91" s="11"/>
      <c r="B91" s="5"/>
      <c r="C91" s="5"/>
      <c r="D91" s="5"/>
      <c r="E91" s="5"/>
      <c r="F91" s="259">
        <v>46135</v>
      </c>
      <c r="G91" s="201"/>
      <c r="H91" s="201">
        <v>3</v>
      </c>
      <c r="I91" s="201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3">
      <c r="A92" s="11"/>
      <c r="B92" s="5"/>
      <c r="C92" s="5"/>
      <c r="D92" s="5"/>
      <c r="E92" s="5"/>
      <c r="F92" s="259">
        <v>46136</v>
      </c>
      <c r="G92" s="201"/>
      <c r="H92" s="201">
        <v>5</v>
      </c>
      <c r="I92" s="201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3">
      <c r="A93" s="11"/>
      <c r="B93" s="5"/>
      <c r="C93" s="5"/>
      <c r="D93" s="5"/>
      <c r="E93" s="5"/>
      <c r="F93" s="259">
        <v>46137</v>
      </c>
      <c r="G93" s="201"/>
      <c r="H93" s="201"/>
      <c r="I93" s="201">
        <v>13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3">
      <c r="A94" s="11"/>
      <c r="B94" s="5"/>
      <c r="C94" s="5"/>
      <c r="D94" s="5"/>
      <c r="E94" s="5"/>
      <c r="F94" s="259">
        <v>46138</v>
      </c>
      <c r="G94" s="201"/>
      <c r="H94" s="201">
        <v>3</v>
      </c>
      <c r="I94" s="201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3">
      <c r="A95" s="11"/>
      <c r="B95" s="5"/>
      <c r="C95" s="5"/>
      <c r="D95" s="5"/>
      <c r="E95" s="5"/>
      <c r="F95" s="259">
        <v>46141</v>
      </c>
      <c r="G95" s="201"/>
      <c r="H95" s="201">
        <v>2</v>
      </c>
      <c r="I95" s="201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3">
      <c r="A96" s="11"/>
      <c r="B96" s="5"/>
      <c r="C96" s="5"/>
      <c r="D96" s="5"/>
      <c r="E96" s="5"/>
      <c r="F96" s="259">
        <v>46143</v>
      </c>
      <c r="G96" s="201"/>
      <c r="H96" s="201">
        <v>7</v>
      </c>
      <c r="I96" s="201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3">
      <c r="A97" s="11"/>
      <c r="B97" s="5"/>
      <c r="C97" s="5"/>
      <c r="D97" s="5"/>
      <c r="E97" s="5"/>
      <c r="F97" s="272">
        <v>46146</v>
      </c>
      <c r="G97" s="255"/>
      <c r="H97" s="255">
        <v>1</v>
      </c>
      <c r="I97" s="25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3">
      <c r="A98" s="11"/>
      <c r="B98" s="5"/>
      <c r="C98" s="5"/>
      <c r="D98" s="5"/>
      <c r="E98" s="5"/>
      <c r="F98" s="272">
        <v>46147</v>
      </c>
      <c r="G98" s="255"/>
      <c r="H98" s="255">
        <v>4</v>
      </c>
      <c r="I98" s="255">
        <v>12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3">
      <c r="A99" s="11"/>
      <c r="B99" s="5"/>
      <c r="C99" s="5"/>
      <c r="D99" s="5"/>
      <c r="E99" s="5"/>
      <c r="F99" s="259">
        <v>46148</v>
      </c>
      <c r="G99" s="201"/>
      <c r="H99" s="201">
        <v>5</v>
      </c>
      <c r="I99" s="201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3">
      <c r="A100" s="11"/>
      <c r="B100" s="5"/>
      <c r="C100" s="5"/>
      <c r="D100" s="5"/>
      <c r="E100" s="5"/>
      <c r="F100" s="259">
        <v>46149</v>
      </c>
      <c r="G100" s="201"/>
      <c r="H100" s="201"/>
      <c r="I100" s="201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3">
      <c r="A101" s="11"/>
      <c r="B101" s="5"/>
      <c r="C101" s="5"/>
      <c r="D101" s="5"/>
      <c r="E101" s="5"/>
      <c r="F101" s="259">
        <v>46150</v>
      </c>
      <c r="G101" s="255"/>
      <c r="H101" s="255">
        <v>2</v>
      </c>
      <c r="I101" s="25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3">
      <c r="A102" s="11"/>
      <c r="B102" s="5"/>
      <c r="C102" s="5"/>
      <c r="D102" s="5"/>
      <c r="E102" s="5"/>
      <c r="F102" s="259">
        <v>46151</v>
      </c>
      <c r="G102" s="201"/>
      <c r="H102" s="201">
        <v>1</v>
      </c>
      <c r="I102" s="201">
        <v>18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">
      <c r="A103" s="11"/>
      <c r="B103" s="5"/>
      <c r="C103" s="5"/>
      <c r="D103" s="5"/>
      <c r="E103" s="5"/>
      <c r="F103" s="259">
        <v>46152</v>
      </c>
      <c r="G103" s="201"/>
      <c r="H103" s="201">
        <v>2</v>
      </c>
      <c r="I103" s="201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">
      <c r="A104" s="11"/>
      <c r="B104" s="5"/>
      <c r="C104" s="5"/>
      <c r="D104" s="5"/>
      <c r="E104" s="5"/>
      <c r="F104" s="259">
        <v>46153</v>
      </c>
      <c r="G104" s="201"/>
      <c r="H104" s="201">
        <v>2</v>
      </c>
      <c r="I104" s="201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3">
      <c r="A105" s="11"/>
      <c r="B105" s="5"/>
      <c r="C105" s="5"/>
      <c r="D105" s="5"/>
      <c r="E105" s="5"/>
      <c r="F105" s="259">
        <v>46154</v>
      </c>
      <c r="G105" s="201"/>
      <c r="H105" s="201">
        <v>3</v>
      </c>
      <c r="I105" s="201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3">
      <c r="A106" s="11"/>
      <c r="B106" s="5"/>
      <c r="C106" s="5"/>
      <c r="D106" s="5"/>
      <c r="E106" s="5"/>
      <c r="F106" s="259">
        <v>46155</v>
      </c>
      <c r="G106" s="201"/>
      <c r="H106" s="201">
        <v>5</v>
      </c>
      <c r="I106" s="201">
        <v>9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3">
      <c r="A107" s="11"/>
      <c r="B107" s="5"/>
      <c r="C107" s="5"/>
      <c r="D107" s="5"/>
      <c r="E107" s="5"/>
      <c r="F107" s="259">
        <v>46156</v>
      </c>
      <c r="G107" s="201"/>
      <c r="H107" s="201">
        <v>5</v>
      </c>
      <c r="I107" s="201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3">
      <c r="A108" s="11"/>
      <c r="B108" s="5"/>
      <c r="C108" s="5"/>
      <c r="D108" s="5"/>
      <c r="E108" s="5"/>
      <c r="F108" s="259">
        <v>46157</v>
      </c>
      <c r="G108" s="201"/>
      <c r="H108" s="201">
        <v>3</v>
      </c>
      <c r="I108" s="201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3">
      <c r="A109" s="11"/>
      <c r="B109" s="5"/>
      <c r="C109" s="5"/>
      <c r="D109" s="5"/>
      <c r="E109" s="5"/>
      <c r="F109" s="259">
        <v>46158</v>
      </c>
      <c r="G109" s="201"/>
      <c r="H109" s="201">
        <v>2</v>
      </c>
      <c r="I109" s="201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3">
      <c r="A110" s="11"/>
      <c r="B110" s="5"/>
      <c r="C110" s="5"/>
      <c r="D110" s="5"/>
      <c r="E110" s="5"/>
      <c r="F110" s="259">
        <v>46159</v>
      </c>
      <c r="G110" s="201"/>
      <c r="H110" s="201">
        <v>2</v>
      </c>
      <c r="I110" s="201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3">
      <c r="A111" s="11"/>
      <c r="B111" s="5"/>
      <c r="C111" s="5"/>
      <c r="D111" s="5"/>
      <c r="E111" s="5"/>
      <c r="F111" s="259">
        <v>46160</v>
      </c>
      <c r="G111" s="201"/>
      <c r="H111" s="201"/>
      <c r="I111" s="201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3">
      <c r="A112" s="11"/>
      <c r="B112" s="5"/>
      <c r="C112" s="5"/>
      <c r="D112" s="5"/>
      <c r="E112" s="5"/>
      <c r="F112" s="259">
        <v>46161</v>
      </c>
      <c r="G112" s="201"/>
      <c r="H112" s="201">
        <v>1</v>
      </c>
      <c r="I112" s="201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3">
      <c r="A113" s="11"/>
      <c r="B113" s="5"/>
      <c r="C113" s="5"/>
      <c r="D113" s="5"/>
      <c r="E113" s="5"/>
      <c r="F113" s="259">
        <v>46162</v>
      </c>
      <c r="G113" s="201"/>
      <c r="H113" s="201">
        <v>2</v>
      </c>
      <c r="I113" s="201">
        <v>18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3">
      <c r="A114" s="11"/>
      <c r="B114" s="5"/>
      <c r="C114" s="5"/>
      <c r="D114" s="5"/>
      <c r="E114" s="5"/>
      <c r="F114" s="259">
        <v>46163</v>
      </c>
      <c r="G114" s="201"/>
      <c r="H114" s="201"/>
      <c r="I114" s="201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3">
      <c r="A115" s="11"/>
      <c r="B115" s="5"/>
      <c r="C115" s="5"/>
      <c r="D115" s="5"/>
      <c r="E115" s="5"/>
      <c r="F115" s="259">
        <v>46164</v>
      </c>
      <c r="G115" s="201"/>
      <c r="H115" s="201"/>
      <c r="I115" s="201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3">
      <c r="A116" s="11"/>
      <c r="B116" s="5"/>
      <c r="C116" s="5"/>
      <c r="D116" s="5"/>
      <c r="E116" s="5"/>
      <c r="F116" s="274" t="s">
        <v>169</v>
      </c>
      <c r="G116" s="275">
        <f>SUM('Kiosk And Gaz Halba'!$G$3:$G$108)</f>
        <v>0</v>
      </c>
      <c r="H116" s="275">
        <f>211+SUM($H$3:$H$115)</f>
        <v>663</v>
      </c>
      <c r="I116" s="275">
        <f>224+SUM($I$3:$I$115)</f>
        <v>695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3">
      <c r="A117" s="1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3">
      <c r="A118" s="1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3">
      <c r="A119" s="1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3">
      <c r="A120" s="1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3">
      <c r="A121" s="1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3">
      <c r="A122" s="1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3">
      <c r="A123" s="1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3">
      <c r="A124" s="1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3">
      <c r="A125" s="1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3">
      <c r="A126" s="1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3">
      <c r="A127" s="1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3">
      <c r="A128" s="1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3">
      <c r="A129" s="1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3">
      <c r="A130" s="1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3">
      <c r="A131" s="1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3">
      <c r="A132" s="1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3">
      <c r="A133" s="1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3">
      <c r="A134" s="1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3">
      <c r="A135" s="1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3">
      <c r="A136" s="1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3">
      <c r="A137" s="1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3">
      <c r="A138" s="1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3">
      <c r="A139" s="1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3">
      <c r="A140" s="1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3">
      <c r="A141" s="1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3">
      <c r="A142" s="1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3">
      <c r="A143" s="1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3">
      <c r="A144" s="1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3">
      <c r="A145" s="1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3">
      <c r="A146" s="1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3">
      <c r="A147" s="1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3">
      <c r="A148" s="1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3">
      <c r="A149" s="1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3">
      <c r="A150" s="1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3">
      <c r="A151" s="1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3">
      <c r="A152" s="1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3">
      <c r="A153" s="1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3">
      <c r="A154" s="1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3">
      <c r="A155" s="1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3">
      <c r="A156" s="1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3">
      <c r="A157" s="1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3">
      <c r="A158" s="1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3">
      <c r="A159" s="1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3">
      <c r="A160" s="1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3">
      <c r="A161" s="1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3">
      <c r="A162" s="1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3">
      <c r="A163" s="1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3">
      <c r="A164" s="1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3">
      <c r="A165" s="1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3">
      <c r="A166" s="1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3">
      <c r="A167" s="1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3">
      <c r="A168" s="1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3">
      <c r="A169" s="1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3">
      <c r="A170" s="1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3">
      <c r="A171" s="1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3">
      <c r="A172" s="1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3">
      <c r="A173" s="1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3">
      <c r="A174" s="1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3">
      <c r="A175" s="1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3">
      <c r="A176" s="1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3">
      <c r="A177" s="1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3">
      <c r="A178" s="1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3">
      <c r="A179" s="1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3">
      <c r="A180" s="1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3">
      <c r="A181" s="1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3">
      <c r="A182" s="1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3">
      <c r="A183" s="1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3">
      <c r="A184" s="1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3">
      <c r="A185" s="1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3">
      <c r="A186" s="1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3">
      <c r="A187" s="1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3">
      <c r="A188" s="1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3">
      <c r="A189" s="1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3">
      <c r="A190" s="1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3">
      <c r="A191" s="1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3">
      <c r="A192" s="1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3">
      <c r="A193" s="1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3">
      <c r="A194" s="1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3">
      <c r="A195" s="1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3">
      <c r="A196" s="1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3">
      <c r="A197" s="1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3">
      <c r="A198" s="1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3">
      <c r="A199" s="1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3">
      <c r="A200" s="1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3">
      <c r="A201" s="1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3">
      <c r="A202" s="1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3">
      <c r="A203" s="1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3">
      <c r="A204" s="1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3">
      <c r="A205" s="1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3">
      <c r="A206" s="1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3">
      <c r="A207" s="1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3">
      <c r="A208" s="1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3">
      <c r="A209" s="1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3">
      <c r="A210" s="1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3">
      <c r="A211" s="1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3">
      <c r="A212" s="1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3">
      <c r="A213" s="1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3">
      <c r="A214" s="1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3">
      <c r="A215" s="1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3">
      <c r="A216" s="1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3">
      <c r="A217" s="1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3">
      <c r="A218" s="1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3">
      <c r="A219" s="1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3">
      <c r="A220" s="1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3">
      <c r="A221" s="1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3">
      <c r="A222" s="1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3">
      <c r="A223" s="1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3">
      <c r="A224" s="1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3">
      <c r="A225" s="1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3">
      <c r="A226" s="1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3">
      <c r="A227" s="1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3">
      <c r="A228" s="1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3">
      <c r="A229" s="1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3">
      <c r="A230" s="1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3">
      <c r="A231" s="1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3">
      <c r="A232" s="1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3">
      <c r="A233" s="1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3">
      <c r="A234" s="1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3">
      <c r="A235" s="1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3">
      <c r="A236" s="1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3">
      <c r="A237" s="1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3">
      <c r="A238" s="1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3">
      <c r="A239" s="1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3">
      <c r="A240" s="1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3">
      <c r="A241" s="1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3">
      <c r="A242" s="1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3">
      <c r="A243" s="1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3">
      <c r="A244" s="1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3">
      <c r="A245" s="1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3">
      <c r="A246" s="1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3">
      <c r="A247" s="1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3">
      <c r="A248" s="1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3">
      <c r="A249" s="1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3">
      <c r="A250" s="1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3">
      <c r="A251" s="1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3">
      <c r="A252" s="1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3">
      <c r="A253" s="1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3">
      <c r="A254" s="1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3">
      <c r="A255" s="1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3">
      <c r="A256" s="1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3">
      <c r="A257" s="1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3">
      <c r="A258" s="1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">
      <c r="A259" s="1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3">
      <c r="A260" s="1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3">
      <c r="A261" s="1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3">
      <c r="A262" s="1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3">
      <c r="A263" s="1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3">
      <c r="A264" s="1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3">
      <c r="A265" s="1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3">
      <c r="A266" s="1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3">
      <c r="A267" s="1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3">
      <c r="A268" s="1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3">
      <c r="A269" s="1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3">
      <c r="A270" s="1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3">
      <c r="A271" s="1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3">
      <c r="A272" s="1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3">
      <c r="A273" s="1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3">
      <c r="A274" s="1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3">
      <c r="A275" s="1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3">
      <c r="A276" s="1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3">
      <c r="A277" s="1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3">
      <c r="A278" s="1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3">
      <c r="A279" s="1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3">
      <c r="A280" s="1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3">
      <c r="A281" s="1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3">
      <c r="A282" s="1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3">
      <c r="A283" s="1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3">
      <c r="A284" s="1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3">
      <c r="A285" s="1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3">
      <c r="A286" s="1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3">
      <c r="A287" s="1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3">
      <c r="A288" s="1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3">
      <c r="A289" s="1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3">
      <c r="A290" s="1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3">
      <c r="A291" s="1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3">
      <c r="A292" s="1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3">
      <c r="A293" s="1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3">
      <c r="A294" s="1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3">
      <c r="A295" s="1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3">
      <c r="A296" s="1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3">
      <c r="A297" s="1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3">
      <c r="A298" s="1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3">
      <c r="A299" s="1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3">
      <c r="A300" s="1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3">
      <c r="A301" s="1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3">
      <c r="A302" s="1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3">
      <c r="A303" s="1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3">
      <c r="A304" s="1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3">
      <c r="A305" s="1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3">
      <c r="A306" s="1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3">
      <c r="A307" s="1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3">
      <c r="A308" s="1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3">
      <c r="A309" s="1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3">
      <c r="A310" s="1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3">
      <c r="A311" s="1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3">
      <c r="A312" s="1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3">
      <c r="A313" s="1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3">
      <c r="A314" s="1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3">
      <c r="A315" s="1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3">
      <c r="A316" s="1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3">
      <c r="A317" s="1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3">
      <c r="A318" s="1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3">
      <c r="A319" s="1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3">
      <c r="A320" s="1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3">
      <c r="A321" s="1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3">
      <c r="A322" s="1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3">
      <c r="A323" s="1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3">
      <c r="A324" s="1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3">
      <c r="A325" s="1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3">
      <c r="A326" s="1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3">
      <c r="A327" s="1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3">
      <c r="A328" s="1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3">
      <c r="A329" s="1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3">
      <c r="A330" s="1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3">
      <c r="A331" s="1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3">
      <c r="A332" s="1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3">
      <c r="A333" s="1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3">
      <c r="A334" s="1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3">
      <c r="A335" s="1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3">
      <c r="A336" s="1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3">
      <c r="A337" s="1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3">
      <c r="A338" s="1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3">
      <c r="A339" s="1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3">
      <c r="A340" s="1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3">
      <c r="A341" s="1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3">
      <c r="A342" s="1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3">
      <c r="A343" s="1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3">
      <c r="A344" s="1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3">
      <c r="A345" s="1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3">
      <c r="A346" s="1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3">
      <c r="A347" s="1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3">
      <c r="A348" s="1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3">
      <c r="A349" s="1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3">
      <c r="A350" s="1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3">
      <c r="A351" s="1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3">
      <c r="A352" s="1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3">
      <c r="A353" s="1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3">
      <c r="A354" s="1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3">
      <c r="A355" s="1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3">
      <c r="A356" s="1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3">
      <c r="A357" s="1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3">
      <c r="A358" s="1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3">
      <c r="A359" s="1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3">
      <c r="A360" s="1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3">
      <c r="A361" s="1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3">
      <c r="A362" s="1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3">
      <c r="A363" s="1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3">
      <c r="A364" s="1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3">
      <c r="A365" s="1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3">
      <c r="A366" s="1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3">
      <c r="A367" s="1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3">
      <c r="A368" s="1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3">
      <c r="A369" s="1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3">
      <c r="A370" s="1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3">
      <c r="A371" s="1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3">
      <c r="A372" s="1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3">
      <c r="A373" s="1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3">
      <c r="A374" s="1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3">
      <c r="A375" s="1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3">
      <c r="A376" s="1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3">
      <c r="A377" s="1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3">
      <c r="A378" s="1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3">
      <c r="A379" s="1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3">
      <c r="A380" s="1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3">
      <c r="A381" s="1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3">
      <c r="A382" s="1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3">
      <c r="A383" s="1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3">
      <c r="A384" s="1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3">
      <c r="A385" s="1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3">
      <c r="A386" s="1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3">
      <c r="A387" s="1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3">
      <c r="A388" s="1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3">
      <c r="A389" s="1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3">
      <c r="A390" s="1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3">
      <c r="A391" s="1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3">
      <c r="A392" s="1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3">
      <c r="A393" s="1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3">
      <c r="A394" s="1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3">
      <c r="A395" s="1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3">
      <c r="A396" s="1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3">
      <c r="A397" s="1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3">
      <c r="A398" s="1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3">
      <c r="A399" s="1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3">
      <c r="A400" s="1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3">
      <c r="A401" s="1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3">
      <c r="A402" s="1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3">
      <c r="A403" s="1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3">
      <c r="A404" s="1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3">
      <c r="A405" s="1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3">
      <c r="A406" s="1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3">
      <c r="A407" s="1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3">
      <c r="A408" s="1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3">
      <c r="A409" s="1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3">
      <c r="A410" s="1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3">
      <c r="A411" s="1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3">
      <c r="A412" s="1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3">
      <c r="A413" s="1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3">
      <c r="A414" s="1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3">
      <c r="A415" s="1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3">
      <c r="A416" s="1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3">
      <c r="A417" s="1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3">
      <c r="A418" s="1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3">
      <c r="A419" s="1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3">
      <c r="A420" s="1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3">
      <c r="A421" s="1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3">
      <c r="A422" s="1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3">
      <c r="A423" s="1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3">
      <c r="A424" s="1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3">
      <c r="A425" s="1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3">
      <c r="A426" s="1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3">
      <c r="A427" s="1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3">
      <c r="A428" s="1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3">
      <c r="A429" s="1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3">
      <c r="A430" s="1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3">
      <c r="A431" s="1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3">
      <c r="A432" s="1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3">
      <c r="A433" s="1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3">
      <c r="A434" s="1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3">
      <c r="A435" s="1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3">
      <c r="A436" s="1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3">
      <c r="A437" s="1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3">
      <c r="A438" s="1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3">
      <c r="A439" s="1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3">
      <c r="A440" s="1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3">
      <c r="A441" s="1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3">
      <c r="A442" s="1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3">
      <c r="A443" s="1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3">
      <c r="A444" s="1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3">
      <c r="A445" s="1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3">
      <c r="A446" s="1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3">
      <c r="A447" s="1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3">
      <c r="A448" s="1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3">
      <c r="A449" s="1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3">
      <c r="A450" s="1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3">
      <c r="A451" s="1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3">
      <c r="A452" s="1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3">
      <c r="A453" s="1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3">
      <c r="A454" s="1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3">
      <c r="A455" s="1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3">
      <c r="A456" s="1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3">
      <c r="A457" s="1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3">
      <c r="A458" s="1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3">
      <c r="A459" s="1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3">
      <c r="A460" s="1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3">
      <c r="A461" s="1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3">
      <c r="A462" s="1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3">
      <c r="A463" s="1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3">
      <c r="A464" s="1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3">
      <c r="A465" s="1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3">
      <c r="A466" s="1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3">
      <c r="A467" s="1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3">
      <c r="A468" s="1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3">
      <c r="A469" s="1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3">
      <c r="A470" s="1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3">
      <c r="A471" s="1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3">
      <c r="A472" s="1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3">
      <c r="A473" s="1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3">
      <c r="A474" s="1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3">
      <c r="A475" s="1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3">
      <c r="A476" s="1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3">
      <c r="A477" s="1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3">
      <c r="A478" s="1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3">
      <c r="A479" s="1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3">
      <c r="A480" s="1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3">
      <c r="A481" s="1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3">
      <c r="A482" s="1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3">
      <c r="A483" s="1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3">
      <c r="A484" s="1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3">
      <c r="A485" s="1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3">
      <c r="A486" s="1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3">
      <c r="A487" s="1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3">
      <c r="A488" s="1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3">
      <c r="A489" s="1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3">
      <c r="A490" s="1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3">
      <c r="A491" s="1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3">
      <c r="A492" s="1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3">
      <c r="A493" s="1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3">
      <c r="A494" s="1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3">
      <c r="A495" s="1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3">
      <c r="A496" s="1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3">
      <c r="A497" s="1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3">
      <c r="A498" s="1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3">
      <c r="A499" s="1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3">
      <c r="A500" s="1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3">
      <c r="A501" s="1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3">
      <c r="A502" s="1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3">
      <c r="A503" s="1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3">
      <c r="A504" s="1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3">
      <c r="A505" s="1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3">
      <c r="A506" s="1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3">
      <c r="A507" s="1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3">
      <c r="A508" s="1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3">
      <c r="A509" s="1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3">
      <c r="A510" s="1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3">
      <c r="A511" s="1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3">
      <c r="A512" s="1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">
      <c r="A513" s="1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">
      <c r="A514" s="1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">
      <c r="A515" s="1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">
      <c r="A516" s="1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">
      <c r="A517" s="1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">
      <c r="A518" s="1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">
      <c r="A519" s="1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">
      <c r="A520" s="1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">
      <c r="A521" s="1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">
      <c r="A522" s="1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">
      <c r="A523" s="1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">
      <c r="A524" s="1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">
      <c r="A525" s="1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">
      <c r="A526" s="1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">
      <c r="A527" s="1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">
      <c r="A528" s="1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">
      <c r="A529" s="1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">
      <c r="A530" s="1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">
      <c r="A531" s="1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">
      <c r="A532" s="1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">
      <c r="A533" s="1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">
      <c r="A534" s="1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">
      <c r="A535" s="1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">
      <c r="A536" s="1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">
      <c r="A537" s="1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">
      <c r="A538" s="1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">
      <c r="A539" s="1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">
      <c r="A540" s="1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">
      <c r="A541" s="1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">
      <c r="A542" s="1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">
      <c r="A543" s="1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">
      <c r="A544" s="1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">
      <c r="A545" s="1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">
      <c r="A546" s="1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">
      <c r="A547" s="1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">
      <c r="A548" s="1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">
      <c r="A549" s="1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">
      <c r="A550" s="1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">
      <c r="A551" s="1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">
      <c r="A552" s="1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">
      <c r="A553" s="1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">
      <c r="A554" s="1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">
      <c r="A555" s="1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">
      <c r="A556" s="1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">
      <c r="A557" s="1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">
      <c r="A558" s="1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">
      <c r="A559" s="1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">
      <c r="A560" s="1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">
      <c r="A561" s="1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">
      <c r="A562" s="1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">
      <c r="A563" s="1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">
      <c r="A564" s="1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">
      <c r="A565" s="1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">
      <c r="A566" s="1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">
      <c r="A567" s="1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">
      <c r="A568" s="1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">
      <c r="A569" s="1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">
      <c r="A570" s="1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">
      <c r="A571" s="1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">
      <c r="A572" s="1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">
      <c r="A573" s="1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">
      <c r="A574" s="1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">
      <c r="A575" s="1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">
      <c r="A576" s="1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">
      <c r="A577" s="1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">
      <c r="A578" s="1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">
      <c r="A579" s="1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">
      <c r="A580" s="1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">
      <c r="A581" s="1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">
      <c r="A582" s="1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">
      <c r="A583" s="1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">
      <c r="A584" s="1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">
      <c r="A585" s="1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">
      <c r="A586" s="1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">
      <c r="A587" s="1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">
      <c r="A588" s="1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">
      <c r="A589" s="1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">
      <c r="A590" s="1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">
      <c r="A591" s="1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">
      <c r="A592" s="1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">
      <c r="A593" s="1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">
      <c r="A594" s="1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">
      <c r="A595" s="1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">
      <c r="A596" s="1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">
      <c r="A597" s="1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">
      <c r="A598" s="1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">
      <c r="A599" s="1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">
      <c r="A600" s="1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">
      <c r="A601" s="1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">
      <c r="A602" s="1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">
      <c r="A603" s="1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">
      <c r="A604" s="1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">
      <c r="A605" s="1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">
      <c r="A606" s="1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">
      <c r="A607" s="1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">
      <c r="A608" s="1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">
      <c r="A609" s="1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">
      <c r="A610" s="1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">
      <c r="A611" s="1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">
      <c r="A612" s="1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">
      <c r="A613" s="1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">
      <c r="A614" s="1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">
      <c r="A615" s="1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">
      <c r="A616" s="1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">
      <c r="A617" s="1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">
      <c r="A618" s="1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">
      <c r="A619" s="1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">
      <c r="A620" s="1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">
      <c r="A621" s="1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">
      <c r="A622" s="1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">
      <c r="A623" s="1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">
      <c r="A624" s="1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">
      <c r="A625" s="1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">
      <c r="A626" s="1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">
      <c r="A627" s="1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">
      <c r="A628" s="1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">
      <c r="A629" s="1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">
      <c r="A630" s="1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">
      <c r="A631" s="1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">
      <c r="A632" s="1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">
      <c r="A633" s="1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">
      <c r="A634" s="1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">
      <c r="A635" s="1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">
      <c r="A636" s="1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">
      <c r="A637" s="1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">
      <c r="A638" s="1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">
      <c r="A639" s="1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">
      <c r="A640" s="1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">
      <c r="A641" s="1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">
      <c r="A642" s="1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">
      <c r="A643" s="1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">
      <c r="A644" s="1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">
      <c r="A645" s="1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">
      <c r="A646" s="1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">
      <c r="A647" s="1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">
      <c r="A648" s="1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">
      <c r="A649" s="1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">
      <c r="A650" s="1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">
      <c r="A651" s="1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">
      <c r="A652" s="1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">
      <c r="A653" s="1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">
      <c r="A654" s="1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">
      <c r="A655" s="1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">
      <c r="A656" s="1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">
      <c r="A657" s="1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">
      <c r="A658" s="1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">
      <c r="A659" s="1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">
      <c r="A660" s="1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">
      <c r="A661" s="1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">
      <c r="A662" s="1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">
      <c r="A663" s="1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">
      <c r="A664" s="1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">
      <c r="A665" s="1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">
      <c r="A666" s="1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">
      <c r="A667" s="1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">
      <c r="A668" s="1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">
      <c r="A669" s="1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">
      <c r="A670" s="1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">
      <c r="A671" s="1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">
      <c r="A672" s="1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">
      <c r="A673" s="1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">
      <c r="A674" s="1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">
      <c r="A675" s="1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">
      <c r="A676" s="1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">
      <c r="A677" s="1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">
      <c r="A678" s="1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">
      <c r="A679" s="1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">
      <c r="A680" s="1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">
      <c r="A681" s="1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">
      <c r="A682" s="1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">
      <c r="A683" s="1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">
      <c r="A684" s="1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">
      <c r="A685" s="1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">
      <c r="A686" s="1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">
      <c r="A687" s="1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">
      <c r="A688" s="1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">
      <c r="A689" s="1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">
      <c r="A690" s="1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">
      <c r="A691" s="1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">
      <c r="A692" s="1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">
      <c r="A693" s="1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">
      <c r="A694" s="1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">
      <c r="A695" s="1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">
      <c r="A696" s="1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">
      <c r="A697" s="1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">
      <c r="A698" s="1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">
      <c r="A699" s="1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">
      <c r="A700" s="1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">
      <c r="A701" s="1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">
      <c r="A702" s="1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">
      <c r="A703" s="1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">
      <c r="A704" s="1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">
      <c r="A705" s="1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">
      <c r="A706" s="1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">
      <c r="A707" s="1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">
      <c r="A708" s="1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">
      <c r="A709" s="1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">
      <c r="A710" s="1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">
      <c r="A711" s="1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">
      <c r="A712" s="1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">
      <c r="A713" s="1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">
      <c r="A714" s="1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">
      <c r="A715" s="1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">
      <c r="A716" s="1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">
      <c r="A717" s="1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">
      <c r="A718" s="1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">
      <c r="A719" s="1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">
      <c r="A720" s="1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">
      <c r="A721" s="1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">
      <c r="A722" s="1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">
      <c r="A723" s="1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">
      <c r="A724" s="1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">
      <c r="A725" s="1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">
      <c r="A726" s="1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">
      <c r="A727" s="1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">
      <c r="A728" s="1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">
      <c r="A729" s="1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">
      <c r="A730" s="1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">
      <c r="A731" s="1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">
      <c r="A732" s="1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">
      <c r="A733" s="1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">
      <c r="A734" s="1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">
      <c r="A735" s="1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">
      <c r="A736" s="1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">
      <c r="A737" s="1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">
      <c r="A738" s="1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">
      <c r="A739" s="1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">
      <c r="A740" s="1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">
      <c r="A741" s="1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">
      <c r="A742" s="1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">
      <c r="A743" s="1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">
      <c r="A744" s="1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">
      <c r="A745" s="1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">
      <c r="A746" s="1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">
      <c r="A747" s="1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">
      <c r="A748" s="1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">
      <c r="A749" s="1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">
      <c r="A750" s="1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">
      <c r="A751" s="1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">
      <c r="A752" s="1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">
      <c r="A753" s="1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">
      <c r="A754" s="1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">
      <c r="A755" s="1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">
      <c r="A756" s="1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">
      <c r="A757" s="1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">
      <c r="A758" s="1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">
      <c r="A759" s="1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">
      <c r="A760" s="1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">
      <c r="A761" s="1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">
      <c r="A762" s="1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">
      <c r="A763" s="1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">
      <c r="A764" s="1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">
      <c r="A765" s="1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">
      <c r="A766" s="1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">
      <c r="A767" s="1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">
      <c r="A768" s="1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">
      <c r="A769" s="1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">
      <c r="A770" s="1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">
      <c r="A771" s="1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">
      <c r="A772" s="1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">
      <c r="A773" s="1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">
      <c r="A774" s="1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">
      <c r="A775" s="1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">
      <c r="A776" s="1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">
      <c r="A777" s="1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">
      <c r="A778" s="1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">
      <c r="A779" s="1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">
      <c r="A780" s="1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">
      <c r="A781" s="1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">
      <c r="A782" s="1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">
      <c r="A783" s="1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">
      <c r="A784" s="1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">
      <c r="A785" s="1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">
      <c r="A786" s="1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">
      <c r="A787" s="1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">
      <c r="A788" s="1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">
      <c r="A789" s="1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">
      <c r="A790" s="1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">
      <c r="A791" s="1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">
      <c r="A792" s="1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">
      <c r="A793" s="1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">
      <c r="A794" s="1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">
      <c r="A795" s="1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">
      <c r="A796" s="1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">
      <c r="A797" s="1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">
      <c r="A798" s="1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">
      <c r="A799" s="1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">
      <c r="A800" s="1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">
      <c r="A801" s="1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">
      <c r="A802" s="1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">
      <c r="A803" s="1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">
      <c r="A804" s="1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">
      <c r="A805" s="1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">
      <c r="A806" s="1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">
      <c r="A807" s="1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">
      <c r="A808" s="1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">
      <c r="A809" s="1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">
      <c r="A810" s="1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">
      <c r="A811" s="1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">
      <c r="A812" s="1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">
      <c r="A813" s="1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">
      <c r="A814" s="1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">
      <c r="A815" s="1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">
      <c r="A816" s="1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">
      <c r="A817" s="1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">
      <c r="A818" s="1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">
      <c r="A819" s="1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">
      <c r="A820" s="1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">
      <c r="A821" s="1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">
      <c r="A822" s="1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">
      <c r="A823" s="1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">
      <c r="A824" s="1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">
      <c r="A825" s="1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">
      <c r="A826" s="1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">
      <c r="A827" s="1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">
      <c r="A828" s="1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">
      <c r="A829" s="1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">
      <c r="A830" s="1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">
      <c r="A831" s="1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">
      <c r="A832" s="1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">
      <c r="A833" s="1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">
      <c r="A834" s="1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">
      <c r="A835" s="1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">
      <c r="A836" s="1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">
      <c r="A837" s="1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">
      <c r="A838" s="1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">
      <c r="A839" s="1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">
      <c r="A840" s="1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">
      <c r="A841" s="1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">
      <c r="A842" s="1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">
      <c r="A843" s="1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">
      <c r="A844" s="1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">
      <c r="A845" s="1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">
      <c r="A846" s="1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">
      <c r="A847" s="1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">
      <c r="A848" s="1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">
      <c r="A849" s="1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">
      <c r="A850" s="1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">
      <c r="A851" s="1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">
      <c r="A852" s="1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">
      <c r="A853" s="1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">
      <c r="A854" s="1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">
      <c r="A855" s="1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">
      <c r="A856" s="1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">
      <c r="A857" s="1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">
      <c r="A858" s="1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">
      <c r="A859" s="1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">
      <c r="A860" s="1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">
      <c r="A861" s="1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">
      <c r="A862" s="1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">
      <c r="A863" s="1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">
      <c r="A864" s="1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">
      <c r="A865" s="1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">
      <c r="A866" s="1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">
      <c r="A867" s="1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">
      <c r="A868" s="1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">
      <c r="A869" s="1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">
      <c r="A870" s="1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">
      <c r="A871" s="1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">
      <c r="A872" s="1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">
      <c r="A873" s="1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">
      <c r="A874" s="1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">
      <c r="A875" s="1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">
      <c r="A876" s="1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">
      <c r="A877" s="1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">
      <c r="A878" s="1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">
      <c r="A879" s="1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">
      <c r="A880" s="1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">
      <c r="A881" s="1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">
      <c r="A882" s="1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">
      <c r="A883" s="1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">
      <c r="A884" s="1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">
      <c r="A885" s="1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">
      <c r="A886" s="1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">
      <c r="A887" s="1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">
      <c r="A888" s="1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">
      <c r="A889" s="1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">
      <c r="A890" s="1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">
      <c r="A891" s="1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">
      <c r="A892" s="1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">
      <c r="A893" s="1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">
      <c r="A894" s="1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">
      <c r="A895" s="1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">
      <c r="A896" s="1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">
      <c r="A897" s="1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">
      <c r="A898" s="1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">
      <c r="A899" s="1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">
      <c r="A900" s="1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">
      <c r="A901" s="1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">
      <c r="A902" s="1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">
      <c r="A903" s="1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">
      <c r="A904" s="1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">
      <c r="A905" s="1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">
      <c r="A906" s="1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">
      <c r="A907" s="1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">
      <c r="A908" s="1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">
      <c r="A909" s="1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">
      <c r="A910" s="1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">
      <c r="A911" s="1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">
      <c r="A912" s="1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">
      <c r="A913" s="1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">
      <c r="A914" s="1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">
      <c r="A915" s="1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">
      <c r="A916" s="1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">
      <c r="A917" s="1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">
      <c r="A918" s="1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">
      <c r="A919" s="1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">
      <c r="A920" s="1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">
      <c r="A921" s="1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">
      <c r="A922" s="1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">
      <c r="A923" s="1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">
      <c r="A924" s="1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">
      <c r="A925" s="1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">
      <c r="A926" s="1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">
      <c r="A927" s="1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">
      <c r="A928" s="1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">
      <c r="A929" s="1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">
      <c r="A930" s="1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">
      <c r="A931" s="1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">
      <c r="A932" s="1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">
      <c r="A933" s="1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">
      <c r="A934" s="1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">
      <c r="A935" s="1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">
      <c r="A936" s="1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">
      <c r="A937" s="1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">
      <c r="A938" s="1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">
      <c r="A939" s="1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">
      <c r="A940" s="1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">
      <c r="A941" s="1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">
      <c r="A942" s="1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">
      <c r="A943" s="1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">
      <c r="A944" s="1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">
      <c r="A945" s="1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">
      <c r="A946" s="1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">
      <c r="A947" s="1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">
      <c r="A948" s="1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">
      <c r="A949" s="1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">
      <c r="A950" s="1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">
      <c r="A951" s="1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">
      <c r="A952" s="1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">
      <c r="A953" s="1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">
      <c r="A954" s="1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">
      <c r="A955" s="1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">
      <c r="A956" s="1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">
      <c r="A957" s="1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">
      <c r="A958" s="1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">
      <c r="A959" s="1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">
      <c r="A960" s="1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">
      <c r="A961" s="1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">
      <c r="A962" s="1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">
      <c r="A963" s="1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">
      <c r="A964" s="1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3">
      <c r="A965" s="1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3">
      <c r="A966" s="1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3">
      <c r="A967" s="1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3">
      <c r="A968" s="1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3">
      <c r="A969" s="1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3">
      <c r="A970" s="1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3">
      <c r="A971" s="1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3">
      <c r="A972" s="1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3">
      <c r="A973" s="1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3">
      <c r="A974" s="1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3">
      <c r="A975" s="1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3">
      <c r="A976" s="1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3">
      <c r="A977" s="1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3">
      <c r="A978" s="1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3">
      <c r="A979" s="1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3">
      <c r="A980" s="1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3">
      <c r="A981" s="1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3">
      <c r="A982" s="1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3">
      <c r="A983" s="1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3">
      <c r="A984" s="1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3">
      <c r="A985" s="1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3">
      <c r="A986" s="1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3">
      <c r="A987" s="1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3">
      <c r="A988" s="1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3">
      <c r="A989" s="1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3">
      <c r="A990" s="1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3">
      <c r="A991" s="1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3">
      <c r="A992" s="1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3">
      <c r="A993" s="1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3">
      <c r="A994" s="1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3">
      <c r="A995" s="1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3">
      <c r="A996" s="1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3">
      <c r="A997" s="1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3">
      <c r="A998" s="1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3">
      <c r="A999" s="1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3">
      <c r="A1000" s="1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 x14ac:dyDescent="0.3">
      <c r="A1001" s="11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 x14ac:dyDescent="0.3">
      <c r="A1002" s="11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.6" x14ac:dyDescent="0.3">
      <c r="A1003" s="11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customSheetViews>
    <customSheetView guid="{41E82590-99C0-49B5-B805-89CF9D29AFB6}" filter="1" showAutoFilter="1">
      <pageMargins left="0.7" right="0.7" top="0.75" bottom="0.75" header="0.3" footer="0.3"/>
      <autoFilter ref="A1:D54" xr:uid="{85FDEDB0-A706-4D27-9C85-0094651C5BBC}"/>
    </customSheetView>
  </customSheetViews>
  <mergeCells count="3">
    <mergeCell ref="A1:D1"/>
    <mergeCell ref="E1:E59"/>
    <mergeCell ref="F1:M1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V1015"/>
  <sheetViews>
    <sheetView zoomScale="97" workbookViewId="0">
      <pane xSplit="1" ySplit="7" topLeftCell="B250" activePane="bottomRight" state="frozen"/>
      <selection pane="topRight" activeCell="B1" sqref="B1"/>
      <selection pane="bottomLeft" activeCell="A8" sqref="A8"/>
      <selection pane="bottomRight" activeCell="A257" sqref="A257"/>
    </sheetView>
  </sheetViews>
  <sheetFormatPr defaultColWidth="14.44140625" defaultRowHeight="18" outlineLevelCol="1" x14ac:dyDescent="0.35"/>
  <cols>
    <col min="1" max="1" width="18" style="241" bestFit="1" customWidth="1"/>
    <col min="2" max="2" width="11.6640625" style="241" bestFit="1" customWidth="1"/>
    <col min="3" max="4" width="12" style="241" bestFit="1" customWidth="1"/>
    <col min="5" max="5" width="12.77734375" style="241" bestFit="1" customWidth="1"/>
    <col min="6" max="8" width="12" style="241" bestFit="1" customWidth="1"/>
    <col min="9" max="9" width="12.33203125" style="241" bestFit="1" customWidth="1"/>
    <col min="10" max="10" width="12" style="241" bestFit="1" customWidth="1"/>
    <col min="11" max="11" width="11.77734375" style="241" bestFit="1" customWidth="1"/>
    <col min="12" max="12" width="12.109375" style="241" customWidth="1"/>
    <col min="13" max="13" width="10.44140625" style="241" bestFit="1" customWidth="1"/>
    <col min="14" max="14" width="8" style="241" bestFit="1" customWidth="1"/>
    <col min="15" max="15" width="7.44140625" style="241" bestFit="1" customWidth="1"/>
    <col min="16" max="16" width="6.5546875" style="241" bestFit="1" customWidth="1"/>
    <col min="17" max="17" width="11.77734375" style="241" bestFit="1" customWidth="1"/>
    <col min="18" max="18" width="7.44140625" style="241" bestFit="1" customWidth="1"/>
    <col min="19" max="19" width="12.21875" style="241" bestFit="1" customWidth="1"/>
    <col min="20" max="20" width="10.21875" style="241" bestFit="1" customWidth="1"/>
    <col min="21" max="21" width="11.77734375" style="241" bestFit="1" customWidth="1"/>
    <col min="22" max="22" width="3.5546875" style="241" customWidth="1"/>
    <col min="23" max="23" width="10.44140625" style="241" customWidth="1" outlineLevel="1"/>
    <col min="24" max="24" width="15" style="241" bestFit="1" customWidth="1" outlineLevel="1"/>
    <col min="25" max="25" width="13" style="241" bestFit="1" customWidth="1" outlineLevel="1"/>
    <col min="26" max="26" width="11.77734375" style="241" bestFit="1" customWidth="1" outlineLevel="1"/>
    <col min="27" max="28" width="11.77734375" style="241" bestFit="1" customWidth="1"/>
    <col min="29" max="30" width="12.77734375" style="241" bestFit="1" customWidth="1"/>
    <col min="31" max="31" width="10.6640625" style="241" bestFit="1" customWidth="1"/>
    <col min="32" max="32" width="9.88671875" style="241" bestFit="1" customWidth="1"/>
    <col min="33" max="33" width="7.77734375" style="241" bestFit="1" customWidth="1"/>
    <col min="34" max="34" width="9.44140625" style="241" bestFit="1" customWidth="1"/>
    <col min="35" max="35" width="14.44140625" style="241" bestFit="1" customWidth="1"/>
    <col min="36" max="36" width="7" style="241" bestFit="1" customWidth="1"/>
    <col min="37" max="37" width="14.109375" style="241" bestFit="1" customWidth="1"/>
    <col min="38" max="38" width="7.88671875" style="241" bestFit="1" customWidth="1"/>
    <col min="39" max="39" width="10.5546875" style="241" bestFit="1" customWidth="1"/>
    <col min="40" max="40" width="10" style="241" bestFit="1" customWidth="1"/>
    <col min="41" max="41" width="10.44140625" style="241" customWidth="1"/>
    <col min="42" max="42" width="65.21875" style="241" bestFit="1" customWidth="1"/>
    <col min="43" max="43" width="6.5546875" style="241" bestFit="1" customWidth="1"/>
    <col min="44" max="44" width="13.5546875" style="241" customWidth="1"/>
    <col min="45" max="16384" width="14.44140625" style="241"/>
  </cols>
  <sheetData>
    <row r="1" spans="1:47" ht="34.799999999999997" x14ac:dyDescent="0.35">
      <c r="A1" s="298"/>
      <c r="B1" s="298"/>
      <c r="C1" s="299" t="s">
        <v>2</v>
      </c>
      <c r="D1" s="300" t="s">
        <v>27</v>
      </c>
      <c r="E1" s="300" t="s">
        <v>28</v>
      </c>
      <c r="F1" s="301" t="s">
        <v>29</v>
      </c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O1" s="298"/>
      <c r="AP1" s="298"/>
      <c r="AQ1" s="298"/>
      <c r="AR1" s="298"/>
      <c r="AS1" s="239"/>
      <c r="AT1" s="239"/>
      <c r="AU1" s="239"/>
    </row>
    <row r="2" spans="1:47" x14ac:dyDescent="0.35">
      <c r="A2" s="239"/>
      <c r="B2" s="239"/>
      <c r="C2" s="302">
        <v>0</v>
      </c>
      <c r="D2" s="302">
        <f>AR5</f>
        <v>169776.61083083926</v>
      </c>
      <c r="E2" s="302">
        <f>SUM('BM Stock Tekrit'!N78)</f>
        <v>157127.91100000002</v>
      </c>
      <c r="F2" s="303">
        <f>0-(C2-D2+E2)</f>
        <v>12648.699830839236</v>
      </c>
      <c r="G2" s="243"/>
      <c r="H2" s="304"/>
      <c r="I2" s="243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45"/>
      <c r="V2" s="239"/>
      <c r="W2" s="239"/>
      <c r="X2" s="239"/>
      <c r="Y2" s="239"/>
      <c r="Z2" s="239"/>
      <c r="AA2" s="239"/>
      <c r="AB2" s="239"/>
      <c r="AC2" s="239"/>
      <c r="AD2" s="245"/>
      <c r="AE2" s="239"/>
      <c r="AF2" s="239"/>
      <c r="AG2" s="239"/>
      <c r="AH2" s="239"/>
      <c r="AI2" s="239"/>
      <c r="AJ2" s="239"/>
      <c r="AK2" s="239"/>
      <c r="AL2" s="239"/>
      <c r="AM2" s="245"/>
      <c r="AN2" s="239"/>
      <c r="AO2" s="239"/>
      <c r="AP2" s="239"/>
      <c r="AQ2" s="239"/>
      <c r="AR2" s="245"/>
      <c r="AS2" s="239"/>
      <c r="AT2" s="239"/>
      <c r="AU2" s="239"/>
    </row>
    <row r="3" spans="1:47" x14ac:dyDescent="0.35">
      <c r="A3" s="239"/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39"/>
      <c r="T3" s="239"/>
      <c r="U3" s="245"/>
      <c r="V3" s="239"/>
      <c r="W3" s="239"/>
      <c r="X3" s="239"/>
      <c r="Y3" s="239"/>
      <c r="Z3" s="239"/>
      <c r="AA3" s="239"/>
      <c r="AB3" s="239"/>
      <c r="AC3" s="239"/>
      <c r="AD3" s="245"/>
      <c r="AE3" s="239"/>
      <c r="AF3" s="239"/>
      <c r="AG3" s="239"/>
      <c r="AH3" s="239"/>
      <c r="AI3" s="239"/>
      <c r="AJ3" s="239"/>
      <c r="AK3" s="239"/>
      <c r="AL3" s="239"/>
      <c r="AM3" s="245"/>
      <c r="AN3" s="239"/>
      <c r="AO3" s="239"/>
      <c r="AP3" s="239"/>
      <c r="AQ3" s="239"/>
      <c r="AR3" s="245"/>
      <c r="AS3" s="239"/>
      <c r="AT3" s="239"/>
      <c r="AU3" s="239"/>
    </row>
    <row r="4" spans="1:47" x14ac:dyDescent="0.35">
      <c r="A4" s="305"/>
      <c r="B4" s="239"/>
      <c r="C4" s="387" t="s">
        <v>30</v>
      </c>
      <c r="D4" s="388"/>
      <c r="E4" s="388"/>
      <c r="F4" s="388"/>
      <c r="G4" s="388"/>
      <c r="H4" s="388"/>
      <c r="I4" s="388"/>
      <c r="J4" s="388"/>
      <c r="K4" s="388"/>
      <c r="L4" s="388"/>
      <c r="M4" s="388"/>
      <c r="N4" s="388"/>
      <c r="O4" s="388"/>
      <c r="P4" s="388"/>
      <c r="Q4" s="388"/>
      <c r="R4" s="388"/>
      <c r="S4" s="388"/>
      <c r="T4" s="388"/>
      <c r="U4" s="389"/>
      <c r="V4" s="306"/>
      <c r="W4" s="390" t="s">
        <v>173</v>
      </c>
      <c r="X4" s="388"/>
      <c r="Y4" s="388"/>
      <c r="Z4" s="388"/>
      <c r="AA4" s="388"/>
      <c r="AB4" s="388"/>
      <c r="AC4" s="388"/>
      <c r="AD4" s="388"/>
      <c r="AE4" s="388"/>
      <c r="AF4" s="388"/>
      <c r="AG4" s="388"/>
      <c r="AH4" s="388"/>
      <c r="AI4" s="388"/>
      <c r="AJ4" s="388"/>
      <c r="AK4" s="388"/>
      <c r="AL4" s="388"/>
      <c r="AM4" s="388"/>
      <c r="AN4" s="388"/>
      <c r="AO4" s="388"/>
      <c r="AP4" s="389"/>
      <c r="AQ4" s="307"/>
      <c r="AR4" s="308" t="s">
        <v>32</v>
      </c>
      <c r="AS4" s="244"/>
      <c r="AT4" s="244"/>
      <c r="AU4" s="244"/>
    </row>
    <row r="5" spans="1:47" x14ac:dyDescent="0.35">
      <c r="A5" s="385" t="s">
        <v>33</v>
      </c>
      <c r="B5" s="386"/>
      <c r="C5" s="309">
        <f t="shared" ref="C5:T5" si="0">SUM(C8:C272)</f>
        <v>64644</v>
      </c>
      <c r="D5" s="309">
        <f t="shared" si="0"/>
        <v>281.4225000000003</v>
      </c>
      <c r="E5" s="309">
        <f t="shared" si="0"/>
        <v>73177.579699999987</v>
      </c>
      <c r="F5" s="309">
        <f t="shared" si="0"/>
        <v>68768</v>
      </c>
      <c r="G5" s="309">
        <f t="shared" si="0"/>
        <v>281.40050000000025</v>
      </c>
      <c r="H5" s="309">
        <f t="shared" si="0"/>
        <v>77260.843000000023</v>
      </c>
      <c r="I5" s="309">
        <f t="shared" si="0"/>
        <v>133412</v>
      </c>
      <c r="J5" s="309">
        <f t="shared" si="0"/>
        <v>150438.42269999994</v>
      </c>
      <c r="K5" s="309">
        <f t="shared" si="0"/>
        <v>61720.533999999985</v>
      </c>
      <c r="L5" s="309">
        <f t="shared" si="0"/>
        <v>255.26419999999976</v>
      </c>
      <c r="M5" s="309">
        <f t="shared" si="0"/>
        <v>61083.542516999973</v>
      </c>
      <c r="N5" s="309">
        <f t="shared" si="0"/>
        <v>485.19477264640983</v>
      </c>
      <c r="O5" s="309">
        <f t="shared" si="0"/>
        <v>61.863433667781493</v>
      </c>
      <c r="P5" s="309">
        <f t="shared" si="0"/>
        <v>0</v>
      </c>
      <c r="Q5" s="309">
        <f t="shared" si="0"/>
        <v>0</v>
      </c>
      <c r="R5" s="309">
        <f t="shared" si="0"/>
        <v>0</v>
      </c>
      <c r="S5" s="309">
        <f t="shared" si="0"/>
        <v>4544.1982162764771</v>
      </c>
      <c r="T5" s="309">
        <f t="shared" si="0"/>
        <v>289.95920847268661</v>
      </c>
      <c r="U5" s="309">
        <f>SUM(U8:U272)</f>
        <v>216903.18084806344</v>
      </c>
      <c r="V5" s="307"/>
      <c r="W5" s="309">
        <f t="shared" ref="W5:AN5" si="1">SUM(W8:W272)</f>
        <v>28986.469979041241</v>
      </c>
      <c r="X5" s="309">
        <f t="shared" si="1"/>
        <v>4981.8138093088073</v>
      </c>
      <c r="Y5" s="309">
        <f t="shared" si="1"/>
        <v>595.5</v>
      </c>
      <c r="Z5" s="309">
        <f t="shared" si="1"/>
        <v>0</v>
      </c>
      <c r="AA5" s="309">
        <f t="shared" si="1"/>
        <v>445</v>
      </c>
      <c r="AB5" s="309">
        <f t="shared" si="1"/>
        <v>0</v>
      </c>
      <c r="AC5" s="309">
        <f t="shared" si="1"/>
        <v>0</v>
      </c>
      <c r="AD5" s="309">
        <f t="shared" si="1"/>
        <v>445</v>
      </c>
      <c r="AE5" s="309">
        <f t="shared" si="1"/>
        <v>6000</v>
      </c>
      <c r="AF5" s="309">
        <f t="shared" si="1"/>
        <v>3096.2296544035676</v>
      </c>
      <c r="AG5" s="309">
        <f t="shared" si="1"/>
        <v>320.73431393534003</v>
      </c>
      <c r="AH5" s="309">
        <f t="shared" si="1"/>
        <v>1640.7236986622072</v>
      </c>
      <c r="AI5" s="309">
        <f t="shared" si="1"/>
        <v>0</v>
      </c>
      <c r="AJ5" s="309">
        <f t="shared" si="1"/>
        <v>184.72236343366791</v>
      </c>
      <c r="AK5" s="309">
        <f t="shared" si="1"/>
        <v>82</v>
      </c>
      <c r="AL5" s="309">
        <f t="shared" si="1"/>
        <v>793.37619843924199</v>
      </c>
      <c r="AM5" s="309">
        <f t="shared" si="1"/>
        <v>12117.786228874034</v>
      </c>
      <c r="AN5" s="309">
        <f t="shared" si="1"/>
        <v>0</v>
      </c>
      <c r="AO5" s="309">
        <f>SUM(AO8:AO272)</f>
        <v>47126.570017224054</v>
      </c>
      <c r="AP5" s="309">
        <f>SUM(AP8:AP107)</f>
        <v>0</v>
      </c>
      <c r="AQ5" s="309">
        <f>SUM(AQ8:AQ107)</f>
        <v>0</v>
      </c>
      <c r="AR5" s="309">
        <f>SUM(AR8:AR272)</f>
        <v>169776.61083083926</v>
      </c>
      <c r="AS5" s="239"/>
      <c r="AT5" s="239"/>
      <c r="AU5" s="239"/>
    </row>
    <row r="6" spans="1:47" x14ac:dyDescent="0.35">
      <c r="A6" s="310"/>
      <c r="B6" s="310"/>
      <c r="C6" s="391" t="s">
        <v>34</v>
      </c>
      <c r="D6" s="392"/>
      <c r="E6" s="392"/>
      <c r="F6" s="392"/>
      <c r="G6" s="392"/>
      <c r="H6" s="392"/>
      <c r="I6" s="392"/>
      <c r="J6" s="393"/>
      <c r="K6" s="394" t="s">
        <v>35</v>
      </c>
      <c r="L6" s="388"/>
      <c r="M6" s="395"/>
      <c r="N6" s="396" t="s">
        <v>36</v>
      </c>
      <c r="O6" s="392"/>
      <c r="P6" s="392"/>
      <c r="Q6" s="392"/>
      <c r="R6" s="392"/>
      <c r="S6" s="392"/>
      <c r="T6" s="393"/>
      <c r="U6" s="239"/>
      <c r="V6" s="306"/>
      <c r="W6" s="239"/>
      <c r="X6" s="239"/>
      <c r="Y6" s="239"/>
      <c r="Z6" s="397" t="s">
        <v>37</v>
      </c>
      <c r="AA6" s="388"/>
      <c r="AB6" s="388"/>
      <c r="AC6" s="388"/>
      <c r="AD6" s="395"/>
      <c r="AE6" s="398" t="s">
        <v>38</v>
      </c>
      <c r="AF6" s="388"/>
      <c r="AG6" s="388"/>
      <c r="AH6" s="388"/>
      <c r="AI6" s="388"/>
      <c r="AJ6" s="388"/>
      <c r="AK6" s="388"/>
      <c r="AL6" s="388"/>
      <c r="AM6" s="395"/>
      <c r="AN6" s="310"/>
      <c r="AO6" s="310"/>
      <c r="AP6" s="310"/>
      <c r="AQ6" s="306"/>
      <c r="AR6" s="239"/>
      <c r="AS6" s="239"/>
      <c r="AT6" s="239"/>
      <c r="AU6" s="239"/>
    </row>
    <row r="7" spans="1:47" ht="52.2" x14ac:dyDescent="0.35">
      <c r="A7" s="311" t="s">
        <v>9</v>
      </c>
      <c r="B7" s="312" t="s">
        <v>39</v>
      </c>
      <c r="C7" s="313" t="s">
        <v>40</v>
      </c>
      <c r="D7" s="314" t="s">
        <v>41</v>
      </c>
      <c r="E7" s="314" t="s">
        <v>42</v>
      </c>
      <c r="F7" s="314" t="s">
        <v>43</v>
      </c>
      <c r="G7" s="314" t="s">
        <v>44</v>
      </c>
      <c r="H7" s="314" t="s">
        <v>45</v>
      </c>
      <c r="I7" s="314" t="s">
        <v>46</v>
      </c>
      <c r="J7" s="315" t="s">
        <v>47</v>
      </c>
      <c r="K7" s="316" t="s">
        <v>48</v>
      </c>
      <c r="L7" s="317" t="s">
        <v>49</v>
      </c>
      <c r="M7" s="317" t="s">
        <v>50</v>
      </c>
      <c r="N7" s="318" t="s">
        <v>51</v>
      </c>
      <c r="O7" s="318" t="s">
        <v>52</v>
      </c>
      <c r="P7" s="319" t="s">
        <v>53</v>
      </c>
      <c r="Q7" s="318" t="s">
        <v>54</v>
      </c>
      <c r="R7" s="319" t="s">
        <v>55</v>
      </c>
      <c r="S7" s="318" t="s">
        <v>56</v>
      </c>
      <c r="T7" s="318" t="s">
        <v>57</v>
      </c>
      <c r="U7" s="320" t="s">
        <v>58</v>
      </c>
      <c r="V7" s="321"/>
      <c r="W7" s="322" t="s">
        <v>59</v>
      </c>
      <c r="X7" s="322" t="s">
        <v>61</v>
      </c>
      <c r="Y7" s="322" t="s">
        <v>62</v>
      </c>
      <c r="Z7" s="323" t="s">
        <v>63</v>
      </c>
      <c r="AA7" s="324" t="s">
        <v>64</v>
      </c>
      <c r="AB7" s="324" t="s">
        <v>65</v>
      </c>
      <c r="AC7" s="325" t="s">
        <v>66</v>
      </c>
      <c r="AD7" s="325" t="s">
        <v>28</v>
      </c>
      <c r="AE7" s="326" t="s">
        <v>67</v>
      </c>
      <c r="AF7" s="327" t="s">
        <v>68</v>
      </c>
      <c r="AG7" s="327" t="s">
        <v>69</v>
      </c>
      <c r="AH7" s="327" t="s">
        <v>70</v>
      </c>
      <c r="AI7" s="327" t="s">
        <v>71</v>
      </c>
      <c r="AJ7" s="327" t="s">
        <v>72</v>
      </c>
      <c r="AK7" s="327" t="s">
        <v>73</v>
      </c>
      <c r="AL7" s="328" t="s">
        <v>74</v>
      </c>
      <c r="AM7" s="327" t="s">
        <v>75</v>
      </c>
      <c r="AN7" s="327" t="s">
        <v>76</v>
      </c>
      <c r="AO7" s="329" t="s">
        <v>77</v>
      </c>
      <c r="AP7" s="330" t="s">
        <v>78</v>
      </c>
      <c r="AQ7" s="321"/>
      <c r="AR7" s="331" t="s">
        <v>79</v>
      </c>
      <c r="AS7" s="239"/>
      <c r="AT7" s="239"/>
      <c r="AU7" s="239"/>
    </row>
    <row r="8" spans="1:47" x14ac:dyDescent="0.35">
      <c r="A8" s="332">
        <v>46009</v>
      </c>
      <c r="B8" s="332"/>
      <c r="C8" s="333">
        <f>'ODOMETERS Tekrit'!J4</f>
        <v>253</v>
      </c>
      <c r="D8" s="334">
        <v>0.79879999999999995</v>
      </c>
      <c r="E8" s="335">
        <f>'Daily Tekrit'!$C8*'Daily Tekrit'!$D8</f>
        <v>202.09639999999999</v>
      </c>
      <c r="F8" s="336">
        <f>'ODOMETERS Tekrit'!K4</f>
        <v>413</v>
      </c>
      <c r="G8" s="334">
        <v>0.79879999999999995</v>
      </c>
      <c r="H8" s="335">
        <f>'Daily Tekrit'!$F8*'Daily Tekrit'!$G8</f>
        <v>329.90440000000001</v>
      </c>
      <c r="I8" s="336">
        <f>'Daily Tekrit'!$C8+'Daily Tekrit'!$F8</f>
        <v>666</v>
      </c>
      <c r="J8" s="337">
        <f>'Daily Tekrit'!$E8+'Daily Tekrit'!$H8</f>
        <v>532.00080000000003</v>
      </c>
      <c r="K8" s="338">
        <f>'ODOMETERS Tekrit'!L4</f>
        <v>269.35399999981746</v>
      </c>
      <c r="L8" s="339">
        <v>0.73799999999999999</v>
      </c>
      <c r="M8" s="340">
        <f>'Daily Tekrit'!$K8*'Daily Tekrit'!$L8</f>
        <v>198.78325199986529</v>
      </c>
      <c r="N8" s="341"/>
      <c r="O8" s="341"/>
      <c r="P8" s="342"/>
      <c r="Q8" s="341"/>
      <c r="R8" s="342"/>
      <c r="S8" s="343"/>
      <c r="T8" s="341">
        <v>1.67</v>
      </c>
      <c r="U8" s="344">
        <f>'Daily Tekrit'!$J8+'Daily Tekrit'!$M8+SUM($N8:$T8)</f>
        <v>732.45405199986533</v>
      </c>
      <c r="V8" s="306"/>
      <c r="W8" s="345">
        <v>74</v>
      </c>
      <c r="X8" s="345">
        <v>16</v>
      </c>
      <c r="Y8" s="345">
        <v>44</v>
      </c>
      <c r="Z8" s="346"/>
      <c r="AA8" s="347"/>
      <c r="AB8" s="347"/>
      <c r="AC8" s="347"/>
      <c r="AD8" s="348">
        <f t="shared" ref="AD8:AD262" si="2">SUM(Z8:AC8)</f>
        <v>0</v>
      </c>
      <c r="AE8" s="349"/>
      <c r="AF8" s="349"/>
      <c r="AG8" s="349"/>
      <c r="AH8" s="349"/>
      <c r="AI8" s="349"/>
      <c r="AJ8" s="349"/>
      <c r="AK8" s="349">
        <v>82</v>
      </c>
      <c r="AL8" s="349">
        <f>14.4+50</f>
        <v>64.400000000000006</v>
      </c>
      <c r="AM8" s="350">
        <f t="shared" ref="AM8:AM71" si="3">SUM(AE8:AL8)</f>
        <v>146.4</v>
      </c>
      <c r="AN8" s="349"/>
      <c r="AO8" s="351">
        <f>SUM(V8:Y8,AD8,AM8,AN8)</f>
        <v>280.39999999999998</v>
      </c>
      <c r="AP8" s="352"/>
      <c r="AQ8" s="306"/>
      <c r="AR8" s="353">
        <f>'Daily Tekrit'!$U8-'Daily Tekrit'!$AO8</f>
        <v>452.05405199986535</v>
      </c>
      <c r="AS8" s="239"/>
      <c r="AT8" s="239"/>
      <c r="AU8" s="239"/>
    </row>
    <row r="9" spans="1:47" x14ac:dyDescent="0.35">
      <c r="A9" s="332">
        <v>46010</v>
      </c>
      <c r="B9" s="332"/>
      <c r="C9" s="333">
        <f>'ODOMETERS Tekrit'!J5</f>
        <v>110</v>
      </c>
      <c r="D9" s="334">
        <v>0.79879999999999995</v>
      </c>
      <c r="E9" s="335">
        <f>'Daily Tekrit'!$C9*'Daily Tekrit'!$D9</f>
        <v>87.867999999999995</v>
      </c>
      <c r="F9" s="336">
        <f>'ODOMETERS Tekrit'!K5</f>
        <v>247</v>
      </c>
      <c r="G9" s="334">
        <v>0.79879999999999995</v>
      </c>
      <c r="H9" s="335">
        <f>'Daily Tekrit'!$F9*'Daily Tekrit'!$G9</f>
        <v>197.30359999999999</v>
      </c>
      <c r="I9" s="336">
        <f>'Daily Tekrit'!$C9+'Daily Tekrit'!$F9</f>
        <v>357</v>
      </c>
      <c r="J9" s="337">
        <f>'Daily Tekrit'!$E9+'Daily Tekrit'!$H9</f>
        <v>285.17160000000001</v>
      </c>
      <c r="K9" s="338">
        <f>'ODOMETERS Tekrit'!L5</f>
        <v>116.97500000009313</v>
      </c>
      <c r="L9" s="339">
        <v>0.73799999999999999</v>
      </c>
      <c r="M9" s="340">
        <f>'Daily Tekrit'!$K9*'Daily Tekrit'!$L9</f>
        <v>86.327550000068726</v>
      </c>
      <c r="N9" s="341"/>
      <c r="O9" s="341"/>
      <c r="P9" s="343"/>
      <c r="Q9" s="341"/>
      <c r="R9" s="343"/>
      <c r="S9" s="343">
        <v>74</v>
      </c>
      <c r="T9" s="341"/>
      <c r="U9" s="344">
        <f>'Daily Tekrit'!$J9+'Daily Tekrit'!$M9+SUM($N9:$T9)</f>
        <v>445.49915000006877</v>
      </c>
      <c r="V9" s="306"/>
      <c r="W9" s="345"/>
      <c r="X9" s="345">
        <f>9*0.7988</f>
        <v>7.1891999999999996</v>
      </c>
      <c r="Y9" s="354">
        <v>10</v>
      </c>
      <c r="Z9" s="346"/>
      <c r="AA9" s="347"/>
      <c r="AB9" s="347"/>
      <c r="AC9" s="347"/>
      <c r="AD9" s="348">
        <f t="shared" si="2"/>
        <v>0</v>
      </c>
      <c r="AE9" s="349"/>
      <c r="AF9" s="349"/>
      <c r="AG9" s="349"/>
      <c r="AH9" s="349"/>
      <c r="AI9" s="349"/>
      <c r="AJ9" s="349"/>
      <c r="AK9" s="349"/>
      <c r="AL9" s="349"/>
      <c r="AM9" s="350">
        <f t="shared" si="3"/>
        <v>0</v>
      </c>
      <c r="AN9" s="349"/>
      <c r="AO9" s="351">
        <f t="shared" ref="AO9:AO63" si="4">SUM(W9:Y9,AD9,AM9,AN9)</f>
        <v>17.1892</v>
      </c>
      <c r="AP9" s="352"/>
      <c r="AQ9" s="306"/>
      <c r="AR9" s="353">
        <f t="shared" ref="AR9:AR77" si="5">U9-AO9</f>
        <v>428.30995000006874</v>
      </c>
      <c r="AS9" s="239"/>
      <c r="AT9" s="239"/>
      <c r="AU9" s="239"/>
    </row>
    <row r="10" spans="1:47" x14ac:dyDescent="0.35">
      <c r="A10" s="332">
        <v>46011</v>
      </c>
      <c r="B10" s="332"/>
      <c r="C10" s="333">
        <f>'ODOMETERS Tekrit'!J6</f>
        <v>254</v>
      </c>
      <c r="D10" s="334">
        <v>0.78480000000000005</v>
      </c>
      <c r="E10" s="335">
        <f>'Daily Tekrit'!$C10*'Daily Tekrit'!$D10</f>
        <v>199.33920000000001</v>
      </c>
      <c r="F10" s="336">
        <f>'ODOMETERS Tekrit'!K6</f>
        <v>523</v>
      </c>
      <c r="G10" s="334">
        <v>0.78480000000000005</v>
      </c>
      <c r="H10" s="335">
        <f>'Daily Tekrit'!$F10*'Daily Tekrit'!$G10</f>
        <v>410.4504</v>
      </c>
      <c r="I10" s="336">
        <f>'Daily Tekrit'!$C10+'Daily Tekrit'!$F10</f>
        <v>777</v>
      </c>
      <c r="J10" s="337">
        <f>'Daily Tekrit'!$E10+'Daily Tekrit'!$H10</f>
        <v>609.78960000000006</v>
      </c>
      <c r="K10" s="338">
        <f>'ODOMETERS Tekrit'!L6</f>
        <v>257.23499999986961</v>
      </c>
      <c r="L10" s="339">
        <v>0.72299999999999998</v>
      </c>
      <c r="M10" s="340">
        <f>'Daily Tekrit'!$K10*'Daily Tekrit'!$L10</f>
        <v>185.98090499990573</v>
      </c>
      <c r="N10" s="341"/>
      <c r="O10" s="341"/>
      <c r="P10" s="343"/>
      <c r="Q10" s="341"/>
      <c r="R10" s="343"/>
      <c r="S10" s="343"/>
      <c r="T10" s="341"/>
      <c r="U10" s="344">
        <f>'Daily Tekrit'!$J10+'Daily Tekrit'!$M10+SUM($N10:$T10)</f>
        <v>795.77050499990582</v>
      </c>
      <c r="V10" s="306"/>
      <c r="W10" s="345"/>
      <c r="X10" s="345"/>
      <c r="Y10" s="354"/>
      <c r="Z10" s="346"/>
      <c r="AA10" s="347"/>
      <c r="AB10" s="347"/>
      <c r="AC10" s="347"/>
      <c r="AD10" s="348">
        <f t="shared" si="2"/>
        <v>0</v>
      </c>
      <c r="AE10" s="349"/>
      <c r="AF10" s="349"/>
      <c r="AG10" s="349"/>
      <c r="AH10" s="349">
        <f>400/89.7</f>
        <v>4.4593088071348941</v>
      </c>
      <c r="AI10" s="349"/>
      <c r="AJ10" s="349">
        <f>300/89.7</f>
        <v>3.3444816053511706</v>
      </c>
      <c r="AK10" s="349"/>
      <c r="AL10" s="349">
        <f>26+61</f>
        <v>87</v>
      </c>
      <c r="AM10" s="350">
        <f t="shared" si="3"/>
        <v>94.803790412486066</v>
      </c>
      <c r="AN10" s="349"/>
      <c r="AO10" s="351">
        <f t="shared" si="4"/>
        <v>94.803790412486066</v>
      </c>
      <c r="AP10" s="352" t="s">
        <v>174</v>
      </c>
      <c r="AQ10" s="306"/>
      <c r="AR10" s="353">
        <f t="shared" si="5"/>
        <v>700.9667145874198</v>
      </c>
      <c r="AS10" s="239"/>
      <c r="AT10" s="239"/>
      <c r="AU10" s="239"/>
    </row>
    <row r="11" spans="1:47" x14ac:dyDescent="0.35">
      <c r="A11" s="332">
        <v>46012</v>
      </c>
      <c r="B11" s="332"/>
      <c r="C11" s="333">
        <f>'ODOMETERS Tekrit'!J7</f>
        <v>116</v>
      </c>
      <c r="D11" s="334">
        <v>0.78480000000000005</v>
      </c>
      <c r="E11" s="335">
        <f>'Daily Tekrit'!$C11*'Daily Tekrit'!$D11</f>
        <v>91.036799999999999</v>
      </c>
      <c r="F11" s="336">
        <f>'ODOMETERS Tekrit'!K7</f>
        <v>814</v>
      </c>
      <c r="G11" s="334">
        <v>0.78480000000000005</v>
      </c>
      <c r="H11" s="335">
        <f>'Daily Tekrit'!$F11*'Daily Tekrit'!$G11</f>
        <v>638.82720000000006</v>
      </c>
      <c r="I11" s="336">
        <f>'Daily Tekrit'!$C11+'Daily Tekrit'!$F11</f>
        <v>930</v>
      </c>
      <c r="J11" s="337">
        <f>'Daily Tekrit'!$E11+'Daily Tekrit'!$H11</f>
        <v>729.86400000000003</v>
      </c>
      <c r="K11" s="338">
        <f>'ODOMETERS Tekrit'!L7</f>
        <v>457.86000000033528</v>
      </c>
      <c r="L11" s="339">
        <v>0.72299999999999998</v>
      </c>
      <c r="M11" s="340">
        <f>'Daily Tekrit'!$K11*'Daily Tekrit'!$L11</f>
        <v>331.03278000024238</v>
      </c>
      <c r="N11" s="341"/>
      <c r="O11" s="341"/>
      <c r="P11" s="343"/>
      <c r="Q11" s="341"/>
      <c r="R11" s="343"/>
      <c r="S11" s="343"/>
      <c r="T11" s="341"/>
      <c r="U11" s="344">
        <f>'Daily Tekrit'!$J11+'Daily Tekrit'!$M11+SUM($N11:$T11)</f>
        <v>1060.8967800002424</v>
      </c>
      <c r="V11" s="306"/>
      <c r="W11" s="345">
        <f>200*0.723+200/89.7</f>
        <v>146.82965440356745</v>
      </c>
      <c r="X11" s="345"/>
      <c r="Y11" s="354"/>
      <c r="Z11" s="346"/>
      <c r="AA11" s="347"/>
      <c r="AB11" s="347"/>
      <c r="AC11" s="347"/>
      <c r="AD11" s="348">
        <f t="shared" si="2"/>
        <v>0</v>
      </c>
      <c r="AE11" s="349"/>
      <c r="AF11" s="349">
        <v>20</v>
      </c>
      <c r="AG11" s="349"/>
      <c r="AH11" s="349"/>
      <c r="AI11" s="349"/>
      <c r="AJ11" s="349"/>
      <c r="AK11" s="349"/>
      <c r="AL11" s="349"/>
      <c r="AM11" s="350">
        <f t="shared" si="3"/>
        <v>20</v>
      </c>
      <c r="AN11" s="349"/>
      <c r="AO11" s="351">
        <f t="shared" si="4"/>
        <v>166.82965440356745</v>
      </c>
      <c r="AP11" s="352"/>
      <c r="AQ11" s="306"/>
      <c r="AR11" s="353">
        <f t="shared" si="5"/>
        <v>894.06712559667494</v>
      </c>
      <c r="AS11" s="239"/>
      <c r="AT11" s="239"/>
      <c r="AU11" s="239"/>
    </row>
    <row r="12" spans="1:47" x14ac:dyDescent="0.35">
      <c r="A12" s="332">
        <v>46013</v>
      </c>
      <c r="B12" s="332"/>
      <c r="C12" s="333">
        <f>'ODOMETERS Tekrit'!J8</f>
        <v>0</v>
      </c>
      <c r="D12" s="334">
        <v>0.78480000000000005</v>
      </c>
      <c r="E12" s="335">
        <f>'Daily Tekrit'!$C12*'Daily Tekrit'!$D12</f>
        <v>0</v>
      </c>
      <c r="F12" s="336">
        <f>'ODOMETERS Tekrit'!K8</f>
        <v>413</v>
      </c>
      <c r="G12" s="334">
        <v>0.78480000000000005</v>
      </c>
      <c r="H12" s="335">
        <f>'Daily Tekrit'!$F12*'Daily Tekrit'!$G12</f>
        <v>324.12240000000003</v>
      </c>
      <c r="I12" s="336">
        <f>'Daily Tekrit'!$C12+'Daily Tekrit'!$F12</f>
        <v>413</v>
      </c>
      <c r="J12" s="337">
        <f>'Daily Tekrit'!$E12+'Daily Tekrit'!$H12</f>
        <v>324.12240000000003</v>
      </c>
      <c r="K12" s="338">
        <f>'ODOMETERS Tekrit'!L8</f>
        <v>139.90999999968335</v>
      </c>
      <c r="L12" s="339">
        <v>0.72299999999999998</v>
      </c>
      <c r="M12" s="340">
        <f>'Daily Tekrit'!$K12*'Daily Tekrit'!$L12</f>
        <v>101.15492999977106</v>
      </c>
      <c r="N12" s="341"/>
      <c r="O12" s="341"/>
      <c r="P12" s="343"/>
      <c r="Q12" s="341"/>
      <c r="R12" s="343"/>
      <c r="S12" s="343">
        <f>150000/89700</f>
        <v>1.6722408026755853</v>
      </c>
      <c r="T12" s="341"/>
      <c r="U12" s="344">
        <f>'Daily Tekrit'!$J12+'Daily Tekrit'!$M12+SUM($N12:$T12)</f>
        <v>426.94957080244666</v>
      </c>
      <c r="V12" s="306"/>
      <c r="W12" s="345"/>
      <c r="X12" s="345">
        <f>20*0.7848</f>
        <v>15.696000000000002</v>
      </c>
      <c r="Y12" s="354"/>
      <c r="Z12" s="346"/>
      <c r="AA12" s="347"/>
      <c r="AB12" s="347"/>
      <c r="AC12" s="347"/>
      <c r="AD12" s="348">
        <f t="shared" si="2"/>
        <v>0</v>
      </c>
      <c r="AE12" s="349"/>
      <c r="AF12" s="349"/>
      <c r="AG12" s="349"/>
      <c r="AH12" s="349"/>
      <c r="AI12" s="349"/>
      <c r="AJ12" s="349"/>
      <c r="AK12" s="349"/>
      <c r="AL12" s="349">
        <v>60</v>
      </c>
      <c r="AM12" s="350">
        <f t="shared" si="3"/>
        <v>60</v>
      </c>
      <c r="AN12" s="349"/>
      <c r="AO12" s="351">
        <f t="shared" si="4"/>
        <v>75.695999999999998</v>
      </c>
      <c r="AP12" s="352" t="s">
        <v>175</v>
      </c>
      <c r="AQ12" s="306"/>
      <c r="AR12" s="353">
        <f t="shared" si="5"/>
        <v>351.25357080244669</v>
      </c>
      <c r="AS12" s="239"/>
      <c r="AT12" s="239"/>
      <c r="AU12" s="239"/>
    </row>
    <row r="13" spans="1:47" x14ac:dyDescent="0.35">
      <c r="A13" s="355">
        <v>46014</v>
      </c>
      <c r="B13" s="355" t="s">
        <v>24</v>
      </c>
      <c r="C13" s="333">
        <f>'ODOMETERS Tekrit'!J9</f>
        <v>0</v>
      </c>
      <c r="D13" s="334">
        <v>0.78480000000000005</v>
      </c>
      <c r="E13" s="335">
        <f>'Daily Tekrit'!$C13*'Daily Tekrit'!$D13</f>
        <v>0</v>
      </c>
      <c r="F13" s="336">
        <f>'ODOMETERS Tekrit'!K9</f>
        <v>272</v>
      </c>
      <c r="G13" s="334">
        <v>0.78480000000000005</v>
      </c>
      <c r="H13" s="335">
        <f>'Daily Tekrit'!$F13*'Daily Tekrit'!$G13</f>
        <v>213.46560000000002</v>
      </c>
      <c r="I13" s="336">
        <f>'Daily Tekrit'!$C13+'Daily Tekrit'!$F13</f>
        <v>272</v>
      </c>
      <c r="J13" s="337">
        <f>'Daily Tekrit'!$E13+'Daily Tekrit'!$H13</f>
        <v>213.46560000000002</v>
      </c>
      <c r="K13" s="338">
        <f>'ODOMETERS Tekrit'!L9</f>
        <v>70.200000000186265</v>
      </c>
      <c r="L13" s="339">
        <v>0.72299999999999998</v>
      </c>
      <c r="M13" s="340">
        <f>'Daily Tekrit'!$K13*'Daily Tekrit'!$L13</f>
        <v>50.754600000134666</v>
      </c>
      <c r="N13" s="341"/>
      <c r="O13" s="341"/>
      <c r="P13" s="343"/>
      <c r="Q13" s="341"/>
      <c r="R13" s="343"/>
      <c r="S13" s="343"/>
      <c r="T13" s="341"/>
      <c r="U13" s="344">
        <f>'Daily Tekrit'!$J13+'Daily Tekrit'!$M13+SUM($N13:$T13)</f>
        <v>264.2202000001347</v>
      </c>
      <c r="V13" s="306"/>
      <c r="W13" s="345"/>
      <c r="X13" s="345"/>
      <c r="Y13" s="354"/>
      <c r="Z13" s="346"/>
      <c r="AA13" s="347"/>
      <c r="AB13" s="347"/>
      <c r="AC13" s="347"/>
      <c r="AD13" s="348">
        <f t="shared" si="2"/>
        <v>0</v>
      </c>
      <c r="AE13" s="349"/>
      <c r="AF13" s="349">
        <v>20</v>
      </c>
      <c r="AG13" s="349"/>
      <c r="AH13" s="349">
        <v>11</v>
      </c>
      <c r="AI13" s="349"/>
      <c r="AJ13" s="349"/>
      <c r="AK13" s="349"/>
      <c r="AL13" s="349"/>
      <c r="AM13" s="350">
        <f t="shared" si="3"/>
        <v>31</v>
      </c>
      <c r="AN13" s="349"/>
      <c r="AO13" s="351">
        <f t="shared" si="4"/>
        <v>31</v>
      </c>
      <c r="AP13" s="352" t="s">
        <v>176</v>
      </c>
      <c r="AQ13" s="306"/>
      <c r="AR13" s="353">
        <f t="shared" si="5"/>
        <v>233.2202000001347</v>
      </c>
      <c r="AS13" s="239"/>
      <c r="AT13" s="239"/>
      <c r="AU13" s="239"/>
    </row>
    <row r="14" spans="1:47" x14ac:dyDescent="0.35">
      <c r="A14" s="332">
        <v>46014</v>
      </c>
      <c r="B14" s="332" t="s">
        <v>25</v>
      </c>
      <c r="C14" s="333">
        <f>'ODOMETERS Tekrit'!J10</f>
        <v>0</v>
      </c>
      <c r="D14" s="334">
        <v>0.77149999999999996</v>
      </c>
      <c r="E14" s="335">
        <f>'Daily Tekrit'!$C14*'Daily Tekrit'!$D14</f>
        <v>0</v>
      </c>
      <c r="F14" s="336">
        <f>'ODOMETERS Tekrit'!K10</f>
        <v>345</v>
      </c>
      <c r="G14" s="334">
        <v>0.77149999999999996</v>
      </c>
      <c r="H14" s="335">
        <f>'Daily Tekrit'!$F14*'Daily Tekrit'!$G14</f>
        <v>266.16749999999996</v>
      </c>
      <c r="I14" s="336">
        <f>'Daily Tekrit'!$C14+'Daily Tekrit'!$F14</f>
        <v>345</v>
      </c>
      <c r="J14" s="337">
        <f>'Daily Tekrit'!$E14+'Daily Tekrit'!$H14</f>
        <v>266.16749999999996</v>
      </c>
      <c r="K14" s="338">
        <f>'ODOMETERS Tekrit'!L10</f>
        <v>127</v>
      </c>
      <c r="L14" s="339">
        <v>0.71350000000000002</v>
      </c>
      <c r="M14" s="340">
        <f>'Daily Tekrit'!$K14*'Daily Tekrit'!$L14</f>
        <v>90.614500000000007</v>
      </c>
      <c r="N14" s="341"/>
      <c r="O14" s="341"/>
      <c r="P14" s="343"/>
      <c r="Q14" s="341"/>
      <c r="R14" s="343"/>
      <c r="S14" s="343"/>
      <c r="T14" s="341"/>
      <c r="U14" s="344">
        <f>'Daily Tekrit'!$J14+'Daily Tekrit'!$M14+SUM($N14:$T14)</f>
        <v>356.78199999999998</v>
      </c>
      <c r="V14" s="306"/>
      <c r="W14" s="345"/>
      <c r="X14" s="345"/>
      <c r="Y14" s="354"/>
      <c r="Z14" s="346"/>
      <c r="AA14" s="347"/>
      <c r="AB14" s="347"/>
      <c r="AC14" s="347"/>
      <c r="AD14" s="348">
        <f t="shared" si="2"/>
        <v>0</v>
      </c>
      <c r="AE14" s="349"/>
      <c r="AF14" s="349"/>
      <c r="AG14" s="349"/>
      <c r="AH14" s="349"/>
      <c r="AI14" s="349"/>
      <c r="AJ14" s="349"/>
      <c r="AK14" s="349"/>
      <c r="AL14" s="349"/>
      <c r="AM14" s="350">
        <f t="shared" si="3"/>
        <v>0</v>
      </c>
      <c r="AN14" s="349"/>
      <c r="AO14" s="351">
        <f t="shared" si="4"/>
        <v>0</v>
      </c>
      <c r="AP14" s="352"/>
      <c r="AQ14" s="306"/>
      <c r="AR14" s="353">
        <f t="shared" si="5"/>
        <v>356.78199999999998</v>
      </c>
      <c r="AS14" s="239"/>
      <c r="AT14" s="239"/>
      <c r="AU14" s="239"/>
    </row>
    <row r="15" spans="1:47" x14ac:dyDescent="0.35">
      <c r="A15" s="332">
        <v>46015</v>
      </c>
      <c r="B15" s="332"/>
      <c r="C15" s="333">
        <f>'ODOMETERS Tekrit'!J11</f>
        <v>0</v>
      </c>
      <c r="D15" s="334">
        <v>0.77149999999999996</v>
      </c>
      <c r="E15" s="335">
        <f>'Daily Tekrit'!$C15*'Daily Tekrit'!$D15</f>
        <v>0</v>
      </c>
      <c r="F15" s="336">
        <f>'ODOMETERS Tekrit'!K11</f>
        <v>549</v>
      </c>
      <c r="G15" s="334">
        <v>0.77149999999999996</v>
      </c>
      <c r="H15" s="335">
        <f>'Daily Tekrit'!$F15*'Daily Tekrit'!$G15</f>
        <v>423.55349999999999</v>
      </c>
      <c r="I15" s="336">
        <f>'Daily Tekrit'!$C15+'Daily Tekrit'!$F15</f>
        <v>549</v>
      </c>
      <c r="J15" s="337">
        <f>'Daily Tekrit'!$E15+'Daily Tekrit'!$H15</f>
        <v>423.55349999999999</v>
      </c>
      <c r="K15" s="338">
        <f>'ODOMETERS Tekrit'!L11</f>
        <v>227</v>
      </c>
      <c r="L15" s="339">
        <v>0.71350000000000002</v>
      </c>
      <c r="M15" s="340">
        <f>'Daily Tekrit'!$K15*'Daily Tekrit'!$L15</f>
        <v>161.96450000000002</v>
      </c>
      <c r="N15" s="341"/>
      <c r="O15" s="341"/>
      <c r="P15" s="343"/>
      <c r="Q15" s="341"/>
      <c r="R15" s="343"/>
      <c r="S15" s="341"/>
      <c r="T15" s="341"/>
      <c r="U15" s="344">
        <f>'Daily Tekrit'!$J15+'Daily Tekrit'!$M15+SUM($N15:$T15)</f>
        <v>585.51800000000003</v>
      </c>
      <c r="V15" s="306"/>
      <c r="W15" s="345"/>
      <c r="X15" s="345"/>
      <c r="Y15" s="354"/>
      <c r="Z15" s="346"/>
      <c r="AA15" s="347"/>
      <c r="AB15" s="347"/>
      <c r="AC15" s="347"/>
      <c r="AD15" s="348">
        <f t="shared" si="2"/>
        <v>0</v>
      </c>
      <c r="AE15" s="349"/>
      <c r="AF15" s="349">
        <v>10</v>
      </c>
      <c r="AG15" s="349"/>
      <c r="AH15" s="349"/>
      <c r="AI15" s="349"/>
      <c r="AJ15" s="349"/>
      <c r="AK15" s="349"/>
      <c r="AL15" s="349"/>
      <c r="AM15" s="350">
        <f t="shared" si="3"/>
        <v>10</v>
      </c>
      <c r="AN15" s="349"/>
      <c r="AO15" s="351">
        <f t="shared" si="4"/>
        <v>10</v>
      </c>
      <c r="AP15" s="352"/>
      <c r="AQ15" s="306"/>
      <c r="AR15" s="353">
        <f t="shared" si="5"/>
        <v>575.51800000000003</v>
      </c>
      <c r="AS15" s="239"/>
      <c r="AT15" s="239"/>
      <c r="AU15" s="239"/>
    </row>
    <row r="16" spans="1:47" x14ac:dyDescent="0.35">
      <c r="A16" s="332">
        <v>46016</v>
      </c>
      <c r="B16" s="332"/>
      <c r="C16" s="333">
        <f>'ODOMETERS Tekrit'!J12</f>
        <v>0</v>
      </c>
      <c r="D16" s="334">
        <v>0.77149999999999996</v>
      </c>
      <c r="E16" s="335">
        <f>'Daily Tekrit'!$C16*'Daily Tekrit'!$D16</f>
        <v>0</v>
      </c>
      <c r="F16" s="336">
        <f>'ODOMETERS Tekrit'!K12</f>
        <v>620</v>
      </c>
      <c r="G16" s="334">
        <v>0.77149999999999996</v>
      </c>
      <c r="H16" s="335">
        <f>'Daily Tekrit'!$F16*'Daily Tekrit'!$G16</f>
        <v>478.33</v>
      </c>
      <c r="I16" s="336">
        <f>'Daily Tekrit'!$C16+'Daily Tekrit'!$F16</f>
        <v>620</v>
      </c>
      <c r="J16" s="337">
        <f>'Daily Tekrit'!$E16+'Daily Tekrit'!$H16</f>
        <v>478.33</v>
      </c>
      <c r="K16" s="338">
        <f>'ODOMETERS Tekrit'!L12</f>
        <v>344</v>
      </c>
      <c r="L16" s="339">
        <v>0.71350000000000002</v>
      </c>
      <c r="M16" s="340">
        <f>'Daily Tekrit'!$K16*'Daily Tekrit'!$L16</f>
        <v>245.44400000000002</v>
      </c>
      <c r="N16" s="341"/>
      <c r="O16" s="341"/>
      <c r="P16" s="343"/>
      <c r="Q16" s="341"/>
      <c r="R16" s="343"/>
      <c r="S16" s="341"/>
      <c r="T16" s="341">
        <v>8.36</v>
      </c>
      <c r="U16" s="344">
        <f>'Daily Tekrit'!$J16+'Daily Tekrit'!$M16+SUM($N16:$T16)</f>
        <v>732.13400000000001</v>
      </c>
      <c r="V16" s="306"/>
      <c r="W16" s="356"/>
      <c r="X16" s="345">
        <v>71.349999999999994</v>
      </c>
      <c r="Y16" s="354"/>
      <c r="Z16" s="346"/>
      <c r="AA16" s="347"/>
      <c r="AB16" s="347"/>
      <c r="AC16" s="347"/>
      <c r="AD16" s="348">
        <f t="shared" si="2"/>
        <v>0</v>
      </c>
      <c r="AE16" s="349"/>
      <c r="AF16" s="349"/>
      <c r="AG16" s="349"/>
      <c r="AH16" s="349">
        <v>14.49</v>
      </c>
      <c r="AI16" s="349"/>
      <c r="AJ16" s="349"/>
      <c r="AK16" s="349"/>
      <c r="AL16" s="349"/>
      <c r="AM16" s="350">
        <f t="shared" si="3"/>
        <v>14.49</v>
      </c>
      <c r="AN16" s="349"/>
      <c r="AO16" s="351">
        <f t="shared" si="4"/>
        <v>85.839999999999989</v>
      </c>
      <c r="AP16" s="352"/>
      <c r="AQ16" s="306"/>
      <c r="AR16" s="353">
        <f t="shared" si="5"/>
        <v>646.29399999999998</v>
      </c>
      <c r="AS16" s="239"/>
      <c r="AT16" s="239"/>
      <c r="AU16" s="239"/>
    </row>
    <row r="17" spans="1:47" x14ac:dyDescent="0.35">
      <c r="A17" s="332">
        <v>46017</v>
      </c>
      <c r="B17" s="332"/>
      <c r="C17" s="333">
        <f>'ODOMETERS Tekrit'!J13</f>
        <v>0</v>
      </c>
      <c r="D17" s="334">
        <v>0.77149999999999996</v>
      </c>
      <c r="E17" s="335">
        <f>'Daily Tekrit'!$C17*'Daily Tekrit'!$D17</f>
        <v>0</v>
      </c>
      <c r="F17" s="336">
        <f>'ODOMETERS Tekrit'!K13</f>
        <v>522</v>
      </c>
      <c r="G17" s="334">
        <v>0.77149999999999996</v>
      </c>
      <c r="H17" s="335">
        <f>'Daily Tekrit'!$F17*'Daily Tekrit'!$G17</f>
        <v>402.72299999999996</v>
      </c>
      <c r="I17" s="336">
        <f>'Daily Tekrit'!$C17+'Daily Tekrit'!$F17</f>
        <v>522</v>
      </c>
      <c r="J17" s="337">
        <f>'Daily Tekrit'!$E17+'Daily Tekrit'!$H17</f>
        <v>402.72299999999996</v>
      </c>
      <c r="K17" s="338">
        <f>'ODOMETERS Tekrit'!L13</f>
        <v>97</v>
      </c>
      <c r="L17" s="339">
        <v>0.71350000000000002</v>
      </c>
      <c r="M17" s="340">
        <f>'Daily Tekrit'!$K17*'Daily Tekrit'!$L17</f>
        <v>69.209500000000006</v>
      </c>
      <c r="N17" s="341"/>
      <c r="O17" s="341"/>
      <c r="P17" s="343"/>
      <c r="Q17" s="341"/>
      <c r="R17" s="343"/>
      <c r="S17" s="341"/>
      <c r="T17" s="341"/>
      <c r="U17" s="344">
        <f>'Daily Tekrit'!$J17+'Daily Tekrit'!$M17+SUM($N17:$T17)</f>
        <v>471.93249999999995</v>
      </c>
      <c r="V17" s="306"/>
      <c r="W17" s="356"/>
      <c r="X17" s="345"/>
      <c r="Y17" s="354"/>
      <c r="Z17" s="346"/>
      <c r="AA17" s="347"/>
      <c r="AB17" s="347"/>
      <c r="AC17" s="347"/>
      <c r="AD17" s="348">
        <f t="shared" si="2"/>
        <v>0</v>
      </c>
      <c r="AE17" s="349"/>
      <c r="AF17" s="349"/>
      <c r="AG17" s="349"/>
      <c r="AH17" s="349">
        <f>5+400/89.7</f>
        <v>9.4593088071348941</v>
      </c>
      <c r="AI17" s="349"/>
      <c r="AJ17" s="349"/>
      <c r="AK17" s="349"/>
      <c r="AL17" s="349"/>
      <c r="AM17" s="350">
        <f t="shared" si="3"/>
        <v>9.4593088071348941</v>
      </c>
      <c r="AN17" s="349"/>
      <c r="AO17" s="351">
        <f t="shared" si="4"/>
        <v>9.4593088071348941</v>
      </c>
      <c r="AP17" s="352"/>
      <c r="AQ17" s="306"/>
      <c r="AR17" s="353">
        <f t="shared" si="5"/>
        <v>462.47319119286504</v>
      </c>
      <c r="AS17" s="239"/>
      <c r="AT17" s="239"/>
      <c r="AU17" s="239"/>
    </row>
    <row r="18" spans="1:47" x14ac:dyDescent="0.35">
      <c r="A18" s="332">
        <v>46018</v>
      </c>
      <c r="B18" s="332"/>
      <c r="C18" s="333">
        <f>'ODOMETERS Tekrit'!J14</f>
        <v>170</v>
      </c>
      <c r="D18" s="334">
        <v>0.75590000000000002</v>
      </c>
      <c r="E18" s="335">
        <f>'Daily Tekrit'!$C18*'Daily Tekrit'!$D18</f>
        <v>128.50300000000001</v>
      </c>
      <c r="F18" s="336">
        <f>'ODOMETERS Tekrit'!K14</f>
        <v>679</v>
      </c>
      <c r="G18" s="334">
        <v>0.75590000000000002</v>
      </c>
      <c r="H18" s="335">
        <f>'Daily Tekrit'!$F18*'Daily Tekrit'!$G18</f>
        <v>513.25610000000006</v>
      </c>
      <c r="I18" s="336">
        <f>'Daily Tekrit'!$C18+'Daily Tekrit'!$F18</f>
        <v>849</v>
      </c>
      <c r="J18" s="337">
        <f>'Daily Tekrit'!$E18+'Daily Tekrit'!$H18</f>
        <v>641.7591000000001</v>
      </c>
      <c r="K18" s="338">
        <f>'ODOMETERS Tekrit'!L14</f>
        <v>380</v>
      </c>
      <c r="L18" s="339">
        <v>0.70279999999999998</v>
      </c>
      <c r="M18" s="340">
        <f>'Daily Tekrit'!$K18*'Daily Tekrit'!$L18</f>
        <v>267.06399999999996</v>
      </c>
      <c r="N18" s="341"/>
      <c r="O18" s="341"/>
      <c r="P18" s="343"/>
      <c r="Q18" s="341"/>
      <c r="R18" s="343"/>
      <c r="S18" s="341"/>
      <c r="T18" s="341">
        <f>370/89.7</f>
        <v>4.1248606465997772</v>
      </c>
      <c r="U18" s="344">
        <f>'Daily Tekrit'!$J18+'Daily Tekrit'!$M18+SUM($N18:$T18)</f>
        <v>912.94796064659988</v>
      </c>
      <c r="V18" s="306"/>
      <c r="W18" s="356"/>
      <c r="X18" s="345">
        <f>50*0.7028</f>
        <v>35.14</v>
      </c>
      <c r="Y18" s="354">
        <v>20</v>
      </c>
      <c r="Z18" s="346"/>
      <c r="AA18" s="347"/>
      <c r="AB18" s="347"/>
      <c r="AC18" s="347"/>
      <c r="AD18" s="348">
        <f t="shared" si="2"/>
        <v>0</v>
      </c>
      <c r="AE18" s="349"/>
      <c r="AF18" s="349"/>
      <c r="AG18" s="349"/>
      <c r="AH18" s="349"/>
      <c r="AI18" s="349"/>
      <c r="AJ18" s="349">
        <f>5+300/89.7</f>
        <v>8.3444816053511701</v>
      </c>
      <c r="AK18" s="349"/>
      <c r="AL18" s="349">
        <f>1300/89.7</f>
        <v>14.492753623188406</v>
      </c>
      <c r="AM18" s="350">
        <f t="shared" si="3"/>
        <v>22.837235228539576</v>
      </c>
      <c r="AN18" s="349"/>
      <c r="AO18" s="351">
        <f t="shared" si="4"/>
        <v>77.97723522853957</v>
      </c>
      <c r="AP18" s="352" t="s">
        <v>177</v>
      </c>
      <c r="AQ18" s="306"/>
      <c r="AR18" s="353">
        <f t="shared" si="5"/>
        <v>834.97072541806028</v>
      </c>
      <c r="AS18" s="239"/>
      <c r="AT18" s="239"/>
      <c r="AU18" s="239"/>
    </row>
    <row r="19" spans="1:47" x14ac:dyDescent="0.35">
      <c r="A19" s="332">
        <v>46019</v>
      </c>
      <c r="B19" s="332"/>
      <c r="C19" s="357">
        <f>'ODOMETERS Tekrit'!J15</f>
        <v>865</v>
      </c>
      <c r="D19" s="334">
        <v>0.75590000000000002</v>
      </c>
      <c r="E19" s="335">
        <f>'Daily Tekrit'!$C19*'Daily Tekrit'!$D19</f>
        <v>653.85350000000005</v>
      </c>
      <c r="F19" s="336">
        <f>'ODOMETERS Tekrit'!K15</f>
        <v>281</v>
      </c>
      <c r="G19" s="334">
        <v>0.75590000000000002</v>
      </c>
      <c r="H19" s="335">
        <f>'Daily Tekrit'!$F19*'Daily Tekrit'!$G19</f>
        <v>212.40790000000001</v>
      </c>
      <c r="I19" s="336">
        <f>'Daily Tekrit'!$C19+'Daily Tekrit'!$F19</f>
        <v>1146</v>
      </c>
      <c r="J19" s="337">
        <f>'Daily Tekrit'!$E19+'Daily Tekrit'!$H19</f>
        <v>866.26140000000009</v>
      </c>
      <c r="K19" s="338">
        <f>'ODOMETERS Tekrit'!L15</f>
        <v>365</v>
      </c>
      <c r="L19" s="339">
        <v>0.70279999999999998</v>
      </c>
      <c r="M19" s="340">
        <f>'Daily Tekrit'!$K19*'Daily Tekrit'!$L19</f>
        <v>256.52199999999999</v>
      </c>
      <c r="N19" s="341"/>
      <c r="O19" s="341"/>
      <c r="P19" s="343"/>
      <c r="Q19" s="341"/>
      <c r="R19" s="343"/>
      <c r="S19" s="341"/>
      <c r="T19" s="341"/>
      <c r="U19" s="344">
        <f>'Daily Tekrit'!$J19+'Daily Tekrit'!$M19+SUM($N19:$T19)</f>
        <v>1122.7834</v>
      </c>
      <c r="V19" s="306"/>
      <c r="W19" s="356"/>
      <c r="X19" s="345">
        <v>128</v>
      </c>
      <c r="Y19" s="354"/>
      <c r="Z19" s="346"/>
      <c r="AA19" s="347"/>
      <c r="AB19" s="347"/>
      <c r="AC19" s="347"/>
      <c r="AD19" s="348">
        <f t="shared" si="2"/>
        <v>0</v>
      </c>
      <c r="AE19" s="349"/>
      <c r="AF19" s="349"/>
      <c r="AG19" s="349"/>
      <c r="AH19" s="349"/>
      <c r="AI19" s="349"/>
      <c r="AJ19" s="349"/>
      <c r="AK19" s="349"/>
      <c r="AL19" s="349">
        <f>500*0.7559+11.5+500/89.7</f>
        <v>395.02413600891862</v>
      </c>
      <c r="AM19" s="350">
        <f t="shared" si="3"/>
        <v>395.02413600891862</v>
      </c>
      <c r="AN19" s="349"/>
      <c r="AO19" s="351">
        <f t="shared" si="4"/>
        <v>523.02413600891862</v>
      </c>
      <c r="AP19" s="352" t="s">
        <v>178</v>
      </c>
      <c r="AQ19" s="306"/>
      <c r="AR19" s="353">
        <f t="shared" si="5"/>
        <v>599.75926399108141</v>
      </c>
      <c r="AS19" s="239"/>
      <c r="AT19" s="239"/>
      <c r="AU19" s="239"/>
    </row>
    <row r="20" spans="1:47" x14ac:dyDescent="0.35">
      <c r="A20" s="332">
        <v>46020</v>
      </c>
      <c r="B20" s="332"/>
      <c r="C20" s="333">
        <f>'ODOMETERS Tekrit'!J16</f>
        <v>441</v>
      </c>
      <c r="D20" s="334">
        <v>0.75590000000000002</v>
      </c>
      <c r="E20" s="335">
        <f>'Daily Tekrit'!$C20*'Daily Tekrit'!$D20</f>
        <v>333.3519</v>
      </c>
      <c r="F20" s="336">
        <f>'ODOMETERS Tekrit'!K16</f>
        <v>72</v>
      </c>
      <c r="G20" s="334">
        <v>0.75590000000000002</v>
      </c>
      <c r="H20" s="335">
        <f>'Daily Tekrit'!$F20*'Daily Tekrit'!$G20</f>
        <v>54.424800000000005</v>
      </c>
      <c r="I20" s="336">
        <f>'Daily Tekrit'!$C20+'Daily Tekrit'!$F20</f>
        <v>513</v>
      </c>
      <c r="J20" s="337">
        <f>'Daily Tekrit'!$E20+'Daily Tekrit'!$H20</f>
        <v>387.77670000000001</v>
      </c>
      <c r="K20" s="338">
        <f>'ODOMETERS Tekrit'!L16</f>
        <v>265</v>
      </c>
      <c r="L20" s="339">
        <v>0.70279999999999998</v>
      </c>
      <c r="M20" s="340">
        <f>'Daily Tekrit'!$K20*'Daily Tekrit'!$L20</f>
        <v>186.24199999999999</v>
      </c>
      <c r="N20" s="341"/>
      <c r="O20" s="341"/>
      <c r="P20" s="343"/>
      <c r="Q20" s="341"/>
      <c r="R20" s="343"/>
      <c r="S20" s="341"/>
      <c r="T20" s="341"/>
      <c r="U20" s="344">
        <f>'Daily Tekrit'!$J20+'Daily Tekrit'!$M20+SUM($N20:$T20)</f>
        <v>574.01869999999997</v>
      </c>
      <c r="V20" s="306"/>
      <c r="W20" s="356">
        <v>14</v>
      </c>
      <c r="X20" s="345"/>
      <c r="Y20" s="354"/>
      <c r="Z20" s="346"/>
      <c r="AA20" s="347"/>
      <c r="AB20" s="347"/>
      <c r="AC20" s="347"/>
      <c r="AD20" s="348">
        <f t="shared" si="2"/>
        <v>0</v>
      </c>
      <c r="AE20" s="349"/>
      <c r="AF20" s="349"/>
      <c r="AG20" s="349"/>
      <c r="AH20" s="349"/>
      <c r="AI20" s="349"/>
      <c r="AJ20" s="349"/>
      <c r="AK20" s="349"/>
      <c r="AL20" s="349"/>
      <c r="AM20" s="350">
        <f t="shared" si="3"/>
        <v>0</v>
      </c>
      <c r="AN20" s="349"/>
      <c r="AO20" s="351">
        <f t="shared" si="4"/>
        <v>14</v>
      </c>
      <c r="AP20" s="352"/>
      <c r="AQ20" s="306"/>
      <c r="AR20" s="353">
        <f t="shared" si="5"/>
        <v>560.01869999999997</v>
      </c>
      <c r="AS20" s="239"/>
      <c r="AT20" s="239"/>
      <c r="AU20" s="239"/>
    </row>
    <row r="21" spans="1:47" x14ac:dyDescent="0.35">
      <c r="A21" s="332">
        <v>46021</v>
      </c>
      <c r="B21" s="332" t="s">
        <v>24</v>
      </c>
      <c r="C21" s="333">
        <f>'ODOMETERS Tekrit'!J17</f>
        <v>201</v>
      </c>
      <c r="D21" s="334">
        <v>0.75590000000000002</v>
      </c>
      <c r="E21" s="335">
        <f>'Daily Tekrit'!$C21*'Daily Tekrit'!$D21</f>
        <v>151.9359</v>
      </c>
      <c r="F21" s="336">
        <f>'ODOMETERS Tekrit'!K17</f>
        <v>26</v>
      </c>
      <c r="G21" s="334">
        <v>0.75590000000000002</v>
      </c>
      <c r="H21" s="335">
        <f>'Daily Tekrit'!$F21*'Daily Tekrit'!$G21</f>
        <v>19.653400000000001</v>
      </c>
      <c r="I21" s="336">
        <f>'Daily Tekrit'!$C21+'Daily Tekrit'!$F21</f>
        <v>227</v>
      </c>
      <c r="J21" s="337">
        <f>'Daily Tekrit'!$E21+'Daily Tekrit'!$H21</f>
        <v>171.58930000000001</v>
      </c>
      <c r="K21" s="338">
        <f>'ODOMETERS Tekrit'!L17</f>
        <v>197</v>
      </c>
      <c r="L21" s="339">
        <v>0.70279999999999998</v>
      </c>
      <c r="M21" s="340">
        <f>'Daily Tekrit'!$K21*'Daily Tekrit'!$L21</f>
        <v>138.45159999999998</v>
      </c>
      <c r="N21" s="341"/>
      <c r="O21" s="341"/>
      <c r="P21" s="343"/>
      <c r="Q21" s="341"/>
      <c r="R21" s="343"/>
      <c r="S21" s="341"/>
      <c r="T21" s="341"/>
      <c r="U21" s="344">
        <f>'Daily Tekrit'!$J21+'Daily Tekrit'!$M21+SUM($N21:$T21)</f>
        <v>310.04089999999997</v>
      </c>
      <c r="V21" s="306"/>
      <c r="W21" s="356">
        <v>112.5</v>
      </c>
      <c r="X21" s="354"/>
      <c r="Y21" s="354"/>
      <c r="Z21" s="346"/>
      <c r="AA21" s="347"/>
      <c r="AB21" s="347"/>
      <c r="AC21" s="347"/>
      <c r="AD21" s="348">
        <f t="shared" si="2"/>
        <v>0</v>
      </c>
      <c r="AE21" s="349"/>
      <c r="AF21" s="349"/>
      <c r="AG21" s="349"/>
      <c r="AH21" s="349">
        <v>13.37</v>
      </c>
      <c r="AI21" s="349"/>
      <c r="AJ21" s="349"/>
      <c r="AK21" s="349"/>
      <c r="AL21" s="349"/>
      <c r="AM21" s="350">
        <f t="shared" si="3"/>
        <v>13.37</v>
      </c>
      <c r="AN21" s="349"/>
      <c r="AO21" s="351">
        <f t="shared" si="4"/>
        <v>125.87</v>
      </c>
      <c r="AP21" s="352"/>
      <c r="AQ21" s="306"/>
      <c r="AR21" s="353">
        <f t="shared" si="5"/>
        <v>184.17089999999996</v>
      </c>
      <c r="AS21" s="239"/>
      <c r="AT21" s="239"/>
      <c r="AU21" s="239"/>
    </row>
    <row r="22" spans="1:47" x14ac:dyDescent="0.35">
      <c r="A22" s="332">
        <v>46021</v>
      </c>
      <c r="B22" s="332" t="s">
        <v>25</v>
      </c>
      <c r="C22" s="333">
        <f>'ODOMETERS Tekrit'!J18</f>
        <v>145</v>
      </c>
      <c r="D22" s="334">
        <v>0.74860000000000004</v>
      </c>
      <c r="E22" s="335">
        <f>'Daily Tekrit'!$C22*'Daily Tekrit'!$D22</f>
        <v>108.54700000000001</v>
      </c>
      <c r="F22" s="336">
        <f>'ODOMETERS Tekrit'!K18</f>
        <v>91</v>
      </c>
      <c r="G22" s="334">
        <v>0.74860000000000004</v>
      </c>
      <c r="H22" s="335">
        <f>'Daily Tekrit'!$F22*'Daily Tekrit'!$G22</f>
        <v>68.122600000000006</v>
      </c>
      <c r="I22" s="336">
        <f>'Daily Tekrit'!$C22+'Daily Tekrit'!$F22</f>
        <v>236</v>
      </c>
      <c r="J22" s="337">
        <f>'Daily Tekrit'!$E22+'Daily Tekrit'!$H22</f>
        <v>176.6696</v>
      </c>
      <c r="K22" s="338">
        <f>'ODOMETERS Tekrit'!L18</f>
        <v>113</v>
      </c>
      <c r="L22" s="339">
        <v>0.69730000000000003</v>
      </c>
      <c r="M22" s="340">
        <f>'Daily Tekrit'!$K22*'Daily Tekrit'!$L22</f>
        <v>78.794899999999998</v>
      </c>
      <c r="N22" s="341"/>
      <c r="O22" s="341">
        <f>400/89.7</f>
        <v>4.4593088071348941</v>
      </c>
      <c r="P22" s="343"/>
      <c r="Q22" s="341"/>
      <c r="R22" s="343"/>
      <c r="S22" s="341"/>
      <c r="T22" s="341"/>
      <c r="U22" s="344">
        <f>'Daily Tekrit'!$J22+'Daily Tekrit'!$M22+SUM($N22:$T22)</f>
        <v>259.92380880713489</v>
      </c>
      <c r="V22" s="306"/>
      <c r="W22" s="356"/>
      <c r="X22" s="354"/>
      <c r="Y22" s="354"/>
      <c r="Z22" s="346"/>
      <c r="AA22" s="347"/>
      <c r="AB22" s="347"/>
      <c r="AC22" s="347"/>
      <c r="AD22" s="348">
        <f t="shared" si="2"/>
        <v>0</v>
      </c>
      <c r="AE22" s="349"/>
      <c r="AF22" s="349"/>
      <c r="AG22" s="349"/>
      <c r="AH22" s="349">
        <f>800/89.7</f>
        <v>8.9186176142697882</v>
      </c>
      <c r="AI22" s="349"/>
      <c r="AJ22" s="349">
        <f>300/89.7</f>
        <v>3.3444816053511706</v>
      </c>
      <c r="AK22" s="349"/>
      <c r="AL22" s="349"/>
      <c r="AM22" s="350">
        <f t="shared" si="3"/>
        <v>12.263099219620958</v>
      </c>
      <c r="AN22" s="349"/>
      <c r="AO22" s="351">
        <f t="shared" si="4"/>
        <v>12.263099219620958</v>
      </c>
      <c r="AP22" s="352"/>
      <c r="AQ22" s="306"/>
      <c r="AR22" s="353">
        <f t="shared" si="5"/>
        <v>247.66070958751394</v>
      </c>
      <c r="AS22" s="239"/>
      <c r="AT22" s="239"/>
      <c r="AU22" s="239"/>
    </row>
    <row r="23" spans="1:47" x14ac:dyDescent="0.35">
      <c r="A23" s="332">
        <v>46022</v>
      </c>
      <c r="B23" s="332"/>
      <c r="C23" s="333">
        <f>'ODOMETERS Tekrit'!J19</f>
        <v>568</v>
      </c>
      <c r="D23" s="334">
        <v>0.74860000000000004</v>
      </c>
      <c r="E23" s="335">
        <f>'Daily Tekrit'!$C23*'Daily Tekrit'!$D23</f>
        <v>425.20480000000003</v>
      </c>
      <c r="F23" s="336">
        <f>'ODOMETERS Tekrit'!K19</f>
        <v>72</v>
      </c>
      <c r="G23" s="334">
        <v>0.74860000000000004</v>
      </c>
      <c r="H23" s="335">
        <f>'Daily Tekrit'!$F23*'Daily Tekrit'!$G23</f>
        <v>53.8992</v>
      </c>
      <c r="I23" s="336">
        <f>'Daily Tekrit'!$C23+'Daily Tekrit'!$F23</f>
        <v>640</v>
      </c>
      <c r="J23" s="337">
        <f>'Daily Tekrit'!$E23+'Daily Tekrit'!$H23</f>
        <v>479.10400000000004</v>
      </c>
      <c r="K23" s="338">
        <f>'ODOMETERS Tekrit'!L19</f>
        <v>237</v>
      </c>
      <c r="L23" s="339">
        <v>0.69730000000000003</v>
      </c>
      <c r="M23" s="340">
        <f>'Daily Tekrit'!$K23*'Daily Tekrit'!$L23</f>
        <v>165.26009999999999</v>
      </c>
      <c r="N23" s="341"/>
      <c r="O23" s="341"/>
      <c r="P23" s="343"/>
      <c r="Q23" s="341"/>
      <c r="R23" s="343"/>
      <c r="S23" s="341"/>
      <c r="T23" s="341"/>
      <c r="U23" s="344">
        <f>'Daily Tekrit'!$J23+'Daily Tekrit'!$M23+SUM($N23:$T23)</f>
        <v>644.36410000000001</v>
      </c>
      <c r="V23" s="306"/>
      <c r="W23" s="356"/>
      <c r="X23" s="345">
        <f>9*0.7486</f>
        <v>6.7374000000000001</v>
      </c>
      <c r="Y23" s="354"/>
      <c r="Z23" s="346"/>
      <c r="AA23" s="347"/>
      <c r="AB23" s="347"/>
      <c r="AC23" s="347"/>
      <c r="AD23" s="348">
        <f t="shared" si="2"/>
        <v>0</v>
      </c>
      <c r="AE23" s="349"/>
      <c r="AF23" s="349"/>
      <c r="AG23" s="349"/>
      <c r="AH23" s="349">
        <f>5+700/89.7</f>
        <v>12.803790412486064</v>
      </c>
      <c r="AI23" s="349"/>
      <c r="AJ23" s="349">
        <f>300/89.7</f>
        <v>3.3444816053511706</v>
      </c>
      <c r="AK23" s="349"/>
      <c r="AL23" s="349"/>
      <c r="AM23" s="350">
        <f t="shared" si="3"/>
        <v>16.148272017837236</v>
      </c>
      <c r="AN23" s="349"/>
      <c r="AO23" s="351">
        <f t="shared" si="4"/>
        <v>22.885672017837237</v>
      </c>
      <c r="AP23" s="352"/>
      <c r="AQ23" s="306"/>
      <c r="AR23" s="353">
        <f t="shared" si="5"/>
        <v>621.47842798216277</v>
      </c>
      <c r="AS23" s="239"/>
      <c r="AT23" s="239"/>
      <c r="AU23" s="239"/>
    </row>
    <row r="24" spans="1:47" x14ac:dyDescent="0.35">
      <c r="A24" s="332">
        <v>46023</v>
      </c>
      <c r="B24" s="332"/>
      <c r="C24" s="333">
        <f>'ODOMETERS Tekrit'!J20</f>
        <v>221</v>
      </c>
      <c r="D24" s="334">
        <v>0.74860000000000004</v>
      </c>
      <c r="E24" s="335">
        <f>'Daily Tekrit'!$C24*'Daily Tekrit'!$D24</f>
        <v>165.44060000000002</v>
      </c>
      <c r="F24" s="336">
        <f>'ODOMETERS Tekrit'!K20</f>
        <v>243</v>
      </c>
      <c r="G24" s="334">
        <v>0.74860000000000004</v>
      </c>
      <c r="H24" s="335">
        <f>'Daily Tekrit'!$F24*'Daily Tekrit'!$G24</f>
        <v>181.90980000000002</v>
      </c>
      <c r="I24" s="336">
        <f>'Daily Tekrit'!$C24+'Daily Tekrit'!$F24</f>
        <v>464</v>
      </c>
      <c r="J24" s="337">
        <f>'Daily Tekrit'!$E24+'Daily Tekrit'!$H24</f>
        <v>347.35040000000004</v>
      </c>
      <c r="K24" s="338">
        <f>'ODOMETERS Tekrit'!L20</f>
        <v>385</v>
      </c>
      <c r="L24" s="339">
        <v>0.69730000000000003</v>
      </c>
      <c r="M24" s="340">
        <f>'Daily Tekrit'!$K24*'Daily Tekrit'!$L24</f>
        <v>268.46050000000002</v>
      </c>
      <c r="N24" s="341"/>
      <c r="O24" s="341"/>
      <c r="P24" s="343"/>
      <c r="Q24" s="341"/>
      <c r="R24" s="343"/>
      <c r="S24" s="341"/>
      <c r="T24" s="341">
        <f>75/89.7</f>
        <v>0.83612040133779264</v>
      </c>
      <c r="U24" s="344">
        <f>'Daily Tekrit'!$J24+'Daily Tekrit'!$M24+SUM($N24:$T24)</f>
        <v>616.64702040133784</v>
      </c>
      <c r="V24" s="306"/>
      <c r="W24" s="356"/>
      <c r="X24" s="345">
        <f>10*0.7486</f>
        <v>7.4860000000000007</v>
      </c>
      <c r="Y24" s="354"/>
      <c r="Z24" s="346"/>
      <c r="AA24" s="347"/>
      <c r="AB24" s="347"/>
      <c r="AC24" s="347"/>
      <c r="AD24" s="348">
        <f t="shared" si="2"/>
        <v>0</v>
      </c>
      <c r="AE24" s="349"/>
      <c r="AF24" s="349"/>
      <c r="AG24" s="349"/>
      <c r="AH24" s="349">
        <f>900/89.7</f>
        <v>10.033444816053512</v>
      </c>
      <c r="AI24" s="349"/>
      <c r="AJ24" s="349"/>
      <c r="AK24" s="349"/>
      <c r="AL24" s="349">
        <f>200/89.7+4</f>
        <v>6.229654403567447</v>
      </c>
      <c r="AM24" s="350">
        <f t="shared" si="3"/>
        <v>16.263099219620958</v>
      </c>
      <c r="AN24" s="349"/>
      <c r="AO24" s="351">
        <f t="shared" si="4"/>
        <v>23.749099219620959</v>
      </c>
      <c r="AP24" s="352"/>
      <c r="AQ24" s="306"/>
      <c r="AR24" s="353">
        <f t="shared" si="5"/>
        <v>592.89792118171692</v>
      </c>
      <c r="AS24" s="239"/>
      <c r="AT24" s="239"/>
      <c r="AU24" s="239"/>
    </row>
    <row r="25" spans="1:47" x14ac:dyDescent="0.35">
      <c r="A25" s="332">
        <v>46024</v>
      </c>
      <c r="B25" s="332"/>
      <c r="C25" s="333">
        <f>'ODOMETERS Tekrit'!J21</f>
        <v>15</v>
      </c>
      <c r="D25" s="334">
        <v>0.74860000000000004</v>
      </c>
      <c r="E25" s="335">
        <f>'Daily Tekrit'!$C25*'Daily Tekrit'!$D25</f>
        <v>11.229000000000001</v>
      </c>
      <c r="F25" s="336">
        <f>'ODOMETERS Tekrit'!K21</f>
        <v>928</v>
      </c>
      <c r="G25" s="334">
        <v>0.74860000000000004</v>
      </c>
      <c r="H25" s="335">
        <f>'Daily Tekrit'!$F25*'Daily Tekrit'!$G25</f>
        <v>694.70080000000007</v>
      </c>
      <c r="I25" s="336">
        <f>'Daily Tekrit'!$C25+'Daily Tekrit'!$F25</f>
        <v>943</v>
      </c>
      <c r="J25" s="337">
        <f>'Daily Tekrit'!$E25+'Daily Tekrit'!$H25</f>
        <v>705.92980000000011</v>
      </c>
      <c r="K25" s="338">
        <f>'ODOMETERS Tekrit'!L21</f>
        <v>623</v>
      </c>
      <c r="L25" s="339">
        <v>0.69730000000000003</v>
      </c>
      <c r="M25" s="340">
        <f>'Daily Tekrit'!$K25*'Daily Tekrit'!$L25</f>
        <v>434.41790000000003</v>
      </c>
      <c r="N25" s="341"/>
      <c r="O25" s="341"/>
      <c r="P25" s="343"/>
      <c r="Q25" s="341"/>
      <c r="R25" s="343"/>
      <c r="S25" s="341"/>
      <c r="T25" s="343"/>
      <c r="U25" s="344">
        <f>'Daily Tekrit'!$J25+'Daily Tekrit'!$M25+SUM($N25:$T25)</f>
        <v>1140.3477000000003</v>
      </c>
      <c r="V25" s="306"/>
      <c r="W25" s="356">
        <v>139</v>
      </c>
      <c r="X25" s="354"/>
      <c r="Y25" s="354"/>
      <c r="Z25" s="346"/>
      <c r="AA25" s="347"/>
      <c r="AB25" s="347"/>
      <c r="AC25" s="347"/>
      <c r="AD25" s="348">
        <f t="shared" si="2"/>
        <v>0</v>
      </c>
      <c r="AE25" s="349"/>
      <c r="AF25" s="349"/>
      <c r="AG25" s="349"/>
      <c r="AH25" s="349">
        <f>200/89.7</f>
        <v>2.229654403567447</v>
      </c>
      <c r="AI25" s="349"/>
      <c r="AJ25" s="349"/>
      <c r="AK25" s="349"/>
      <c r="AL25" s="349"/>
      <c r="AM25" s="350">
        <f t="shared" si="3"/>
        <v>2.229654403567447</v>
      </c>
      <c r="AN25" s="349"/>
      <c r="AO25" s="351">
        <f t="shared" si="4"/>
        <v>141.22965440356745</v>
      </c>
      <c r="AP25" s="352"/>
      <c r="AQ25" s="306"/>
      <c r="AR25" s="353">
        <f t="shared" si="5"/>
        <v>999.11804559643281</v>
      </c>
      <c r="AS25" s="239"/>
      <c r="AT25" s="239"/>
      <c r="AU25" s="239"/>
    </row>
    <row r="26" spans="1:47" x14ac:dyDescent="0.35">
      <c r="A26" s="332" t="s">
        <v>179</v>
      </c>
      <c r="B26" s="332"/>
      <c r="C26" s="333">
        <f>'ODOMETERS Tekrit'!J22</f>
        <v>26</v>
      </c>
      <c r="D26" s="334">
        <v>0.73580000000000001</v>
      </c>
      <c r="E26" s="335">
        <f>'Daily Tekrit'!$C26*'Daily Tekrit'!$D26</f>
        <v>19.130800000000001</v>
      </c>
      <c r="F26" s="336">
        <f>'ODOMETERS Tekrit'!K22</f>
        <v>1047</v>
      </c>
      <c r="G26" s="334">
        <v>0.73580000000000001</v>
      </c>
      <c r="H26" s="335">
        <f>'Daily Tekrit'!$F26*'Daily Tekrit'!$G26</f>
        <v>770.38260000000002</v>
      </c>
      <c r="I26" s="336">
        <f>'Daily Tekrit'!$C26+'Daily Tekrit'!$F26</f>
        <v>1073</v>
      </c>
      <c r="J26" s="337">
        <f>'Daily Tekrit'!$E26+'Daily Tekrit'!$H26</f>
        <v>789.51340000000005</v>
      </c>
      <c r="K26" s="338">
        <f>'ODOMETERS Tekrit'!L22</f>
        <v>391</v>
      </c>
      <c r="L26" s="339">
        <v>0.6895</v>
      </c>
      <c r="M26" s="340">
        <f>'Daily Tekrit'!$K26*'Daily Tekrit'!$L26</f>
        <v>269.59449999999998</v>
      </c>
      <c r="N26" s="341"/>
      <c r="O26" s="341"/>
      <c r="P26" s="343"/>
      <c r="Q26" s="341"/>
      <c r="R26" s="343"/>
      <c r="S26" s="341"/>
      <c r="T26" s="341"/>
      <c r="U26" s="344">
        <f>'Daily Tekrit'!$J26+'Daily Tekrit'!$M26+SUM($N26:$T26)</f>
        <v>1059.1079</v>
      </c>
      <c r="V26" s="306"/>
      <c r="W26" s="356">
        <v>5</v>
      </c>
      <c r="X26" s="345"/>
      <c r="Y26" s="354"/>
      <c r="Z26" s="346"/>
      <c r="AA26" s="347"/>
      <c r="AB26" s="347"/>
      <c r="AC26" s="347"/>
      <c r="AD26" s="348">
        <f t="shared" si="2"/>
        <v>0</v>
      </c>
      <c r="AE26" s="349"/>
      <c r="AF26" s="349"/>
      <c r="AG26" s="349"/>
      <c r="AH26" s="349"/>
      <c r="AI26" s="349"/>
      <c r="AJ26" s="349"/>
      <c r="AK26" s="349"/>
      <c r="AL26" s="349"/>
      <c r="AM26" s="350">
        <f t="shared" si="3"/>
        <v>0</v>
      </c>
      <c r="AN26" s="349"/>
      <c r="AO26" s="351">
        <f t="shared" si="4"/>
        <v>5</v>
      </c>
      <c r="AP26" s="352"/>
      <c r="AQ26" s="306"/>
      <c r="AR26" s="353">
        <f t="shared" si="5"/>
        <v>1054.1079</v>
      </c>
      <c r="AS26" s="239"/>
      <c r="AT26" s="239"/>
      <c r="AU26" s="239"/>
    </row>
    <row r="27" spans="1:47" x14ac:dyDescent="0.35">
      <c r="A27" s="332">
        <v>46027</v>
      </c>
      <c r="B27" s="332"/>
      <c r="C27" s="333">
        <f>'ODOMETERS Tekrit'!J23</f>
        <v>137</v>
      </c>
      <c r="D27" s="334">
        <v>0.73580000000000001</v>
      </c>
      <c r="E27" s="335">
        <f>'Daily Tekrit'!$C27*'Daily Tekrit'!$D27</f>
        <v>100.80460000000001</v>
      </c>
      <c r="F27" s="336">
        <f>'ODOMETERS Tekrit'!K23</f>
        <v>918</v>
      </c>
      <c r="G27" s="334">
        <v>0.73580000000000001</v>
      </c>
      <c r="H27" s="335">
        <f>'Daily Tekrit'!$F27*'Daily Tekrit'!$G27</f>
        <v>675.46439999999996</v>
      </c>
      <c r="I27" s="336">
        <f>'Daily Tekrit'!$C27+'Daily Tekrit'!$F27</f>
        <v>1055</v>
      </c>
      <c r="J27" s="337">
        <f>'Daily Tekrit'!$E27+'Daily Tekrit'!$H27</f>
        <v>776.26900000000001</v>
      </c>
      <c r="K27" s="338">
        <f>'ODOMETERS Tekrit'!L23</f>
        <v>321</v>
      </c>
      <c r="L27" s="339">
        <v>0.6895</v>
      </c>
      <c r="M27" s="340">
        <f>'Daily Tekrit'!$K27*'Daily Tekrit'!$L27</f>
        <v>221.3295</v>
      </c>
      <c r="N27" s="341"/>
      <c r="O27" s="341"/>
      <c r="P27" s="343"/>
      <c r="Q27" s="341"/>
      <c r="R27" s="343"/>
      <c r="S27" s="341"/>
      <c r="T27" s="341"/>
      <c r="U27" s="344">
        <f>'Daily Tekrit'!$J27+'Daily Tekrit'!$M27+SUM($N27:$T27)</f>
        <v>997.59850000000006</v>
      </c>
      <c r="V27" s="306"/>
      <c r="W27" s="356"/>
      <c r="X27" s="345"/>
      <c r="Y27" s="354"/>
      <c r="Z27" s="346"/>
      <c r="AA27" s="347"/>
      <c r="AB27" s="347"/>
      <c r="AC27" s="347"/>
      <c r="AD27" s="348">
        <f t="shared" si="2"/>
        <v>0</v>
      </c>
      <c r="AE27" s="349"/>
      <c r="AF27" s="349"/>
      <c r="AG27" s="349">
        <v>18.87</v>
      </c>
      <c r="AH27" s="349"/>
      <c r="AI27" s="349"/>
      <c r="AJ27" s="349">
        <v>6</v>
      </c>
      <c r="AK27" s="349"/>
      <c r="AL27" s="349"/>
      <c r="AM27" s="350">
        <f t="shared" si="3"/>
        <v>24.87</v>
      </c>
      <c r="AN27" s="349"/>
      <c r="AO27" s="351">
        <f t="shared" si="4"/>
        <v>24.87</v>
      </c>
      <c r="AP27" s="352" t="s">
        <v>180</v>
      </c>
      <c r="AQ27" s="306"/>
      <c r="AR27" s="353">
        <f t="shared" si="5"/>
        <v>972.72850000000005</v>
      </c>
      <c r="AS27" s="239"/>
      <c r="AT27" s="239"/>
      <c r="AU27" s="239"/>
    </row>
    <row r="28" spans="1:47" x14ac:dyDescent="0.35">
      <c r="A28" s="332">
        <v>46028</v>
      </c>
      <c r="B28" s="332"/>
      <c r="C28" s="333">
        <f>'ODOMETERS Tekrit'!J24</f>
        <v>269</v>
      </c>
      <c r="D28" s="334">
        <v>0.73580000000000001</v>
      </c>
      <c r="E28" s="335">
        <f>'Daily Tekrit'!$C28*'Daily Tekrit'!$D28</f>
        <v>197.93020000000001</v>
      </c>
      <c r="F28" s="336">
        <f>'ODOMETERS Tekrit'!K24</f>
        <v>383</v>
      </c>
      <c r="G28" s="334">
        <v>0.73580000000000001</v>
      </c>
      <c r="H28" s="335">
        <f>'Daily Tekrit'!$F28*'Daily Tekrit'!$G28</f>
        <v>281.81139999999999</v>
      </c>
      <c r="I28" s="336">
        <f>'Daily Tekrit'!$C28+'Daily Tekrit'!$F28</f>
        <v>652</v>
      </c>
      <c r="J28" s="337">
        <f>'Daily Tekrit'!$E28+'Daily Tekrit'!$H28</f>
        <v>479.74160000000001</v>
      </c>
      <c r="K28" s="338">
        <f>'ODOMETERS Tekrit'!L24</f>
        <v>214</v>
      </c>
      <c r="L28" s="339">
        <v>0.6895</v>
      </c>
      <c r="M28" s="340">
        <f>'Daily Tekrit'!$K28*'Daily Tekrit'!$L28</f>
        <v>147.553</v>
      </c>
      <c r="N28" s="341"/>
      <c r="O28" s="341"/>
      <c r="P28" s="343"/>
      <c r="Q28" s="341"/>
      <c r="R28" s="343"/>
      <c r="S28" s="341"/>
      <c r="T28" s="341"/>
      <c r="U28" s="344">
        <f>'Daily Tekrit'!$J28+'Daily Tekrit'!$M28+SUM($N28:$T28)</f>
        <v>627.29459999999995</v>
      </c>
      <c r="V28" s="306"/>
      <c r="W28" s="356"/>
      <c r="X28" s="345"/>
      <c r="Y28" s="354">
        <v>15</v>
      </c>
      <c r="Z28" s="346"/>
      <c r="AA28" s="347"/>
      <c r="AB28" s="347"/>
      <c r="AC28" s="347"/>
      <c r="AD28" s="348">
        <f t="shared" si="2"/>
        <v>0</v>
      </c>
      <c r="AE28" s="349"/>
      <c r="AF28" s="349"/>
      <c r="AG28" s="349"/>
      <c r="AH28" s="349">
        <v>9.5</v>
      </c>
      <c r="AI28" s="349"/>
      <c r="AJ28" s="349">
        <v>5</v>
      </c>
      <c r="AK28" s="349"/>
      <c r="AL28" s="349">
        <v>114</v>
      </c>
      <c r="AM28" s="350">
        <f t="shared" si="3"/>
        <v>128.5</v>
      </c>
      <c r="AN28" s="349"/>
      <c r="AO28" s="351">
        <f t="shared" si="4"/>
        <v>143.5</v>
      </c>
      <c r="AP28" s="352" t="s">
        <v>181</v>
      </c>
      <c r="AQ28" s="306"/>
      <c r="AR28" s="353">
        <f t="shared" si="5"/>
        <v>483.79459999999995</v>
      </c>
      <c r="AS28" s="239"/>
      <c r="AT28" s="239"/>
      <c r="AU28" s="239"/>
    </row>
    <row r="29" spans="1:47" x14ac:dyDescent="0.35">
      <c r="A29" s="332">
        <v>46029</v>
      </c>
      <c r="B29" s="332" t="s">
        <v>24</v>
      </c>
      <c r="C29" s="333">
        <f>'ODOMETERS Tekrit'!J25</f>
        <v>218</v>
      </c>
      <c r="D29" s="334">
        <v>0.73580000000000001</v>
      </c>
      <c r="E29" s="335">
        <f>'Daily Tekrit'!$C29*'Daily Tekrit'!$D29</f>
        <v>160.40440000000001</v>
      </c>
      <c r="F29" s="336">
        <f>'ODOMETERS Tekrit'!K25</f>
        <v>35</v>
      </c>
      <c r="G29" s="334">
        <v>0.73580000000000001</v>
      </c>
      <c r="H29" s="335">
        <f>'Daily Tekrit'!$F29*'Daily Tekrit'!$G29</f>
        <v>25.753</v>
      </c>
      <c r="I29" s="336">
        <f>'Daily Tekrit'!$C29+'Daily Tekrit'!$F29</f>
        <v>253</v>
      </c>
      <c r="J29" s="337">
        <f>'Daily Tekrit'!$E29+'Daily Tekrit'!$H29</f>
        <v>186.1574</v>
      </c>
      <c r="K29" s="338">
        <f>'ODOMETERS Tekrit'!L25</f>
        <v>115</v>
      </c>
      <c r="L29" s="339">
        <v>0.6895</v>
      </c>
      <c r="M29" s="340">
        <f>'Daily Tekrit'!$K29*'Daily Tekrit'!$L29</f>
        <v>79.292500000000004</v>
      </c>
      <c r="N29" s="341"/>
      <c r="O29" s="341"/>
      <c r="P29" s="343"/>
      <c r="Q29" s="341"/>
      <c r="R29" s="343"/>
      <c r="S29" s="341"/>
      <c r="T29" s="341"/>
      <c r="U29" s="344">
        <f>'Daily Tekrit'!$J29+'Daily Tekrit'!$M29+SUM($N29:$T29)</f>
        <v>265.44990000000001</v>
      </c>
      <c r="V29" s="306"/>
      <c r="W29" s="356"/>
      <c r="X29" s="345"/>
      <c r="Y29" s="354"/>
      <c r="Z29" s="346"/>
      <c r="AA29" s="347"/>
      <c r="AB29" s="347"/>
      <c r="AC29" s="347"/>
      <c r="AD29" s="348">
        <f t="shared" si="2"/>
        <v>0</v>
      </c>
      <c r="AE29" s="349"/>
      <c r="AF29" s="349"/>
      <c r="AG29" s="349"/>
      <c r="AH29" s="349"/>
      <c r="AI29" s="349"/>
      <c r="AJ29" s="349"/>
      <c r="AK29" s="349"/>
      <c r="AL29" s="349"/>
      <c r="AM29" s="350">
        <f t="shared" si="3"/>
        <v>0</v>
      </c>
      <c r="AN29" s="349"/>
      <c r="AO29" s="351">
        <f t="shared" si="4"/>
        <v>0</v>
      </c>
      <c r="AP29" s="352"/>
      <c r="AQ29" s="306"/>
      <c r="AR29" s="353">
        <f t="shared" si="5"/>
        <v>265.44990000000001</v>
      </c>
      <c r="AS29" s="239"/>
      <c r="AT29" s="239"/>
      <c r="AU29" s="239"/>
    </row>
    <row r="30" spans="1:47" x14ac:dyDescent="0.35">
      <c r="A30" s="332">
        <v>46030</v>
      </c>
      <c r="B30" s="332"/>
      <c r="C30" s="333">
        <f>'ODOMETERS Tekrit'!J26</f>
        <v>575</v>
      </c>
      <c r="D30" s="334">
        <v>0.72909999999999997</v>
      </c>
      <c r="E30" s="335">
        <f>'Daily Tekrit'!$C30*'Daily Tekrit'!$D30</f>
        <v>419.23249999999996</v>
      </c>
      <c r="F30" s="336">
        <f>'ODOMETERS Tekrit'!K26</f>
        <v>228</v>
      </c>
      <c r="G30" s="334">
        <v>0.72909999999999997</v>
      </c>
      <c r="H30" s="335">
        <f>'Daily Tekrit'!$F30*'Daily Tekrit'!$G30</f>
        <v>166.23480000000001</v>
      </c>
      <c r="I30" s="336">
        <f>'Daily Tekrit'!$C30+'Daily Tekrit'!$F30</f>
        <v>803</v>
      </c>
      <c r="J30" s="337">
        <f>'Daily Tekrit'!$E30+'Daily Tekrit'!$H30</f>
        <v>585.46730000000002</v>
      </c>
      <c r="K30" s="338">
        <f>'ODOMETERS Tekrit'!L26</f>
        <v>370</v>
      </c>
      <c r="L30" s="339">
        <v>0.68669999999999998</v>
      </c>
      <c r="M30" s="340">
        <f>'Daily Tekrit'!$K30*'Daily Tekrit'!$L30</f>
        <v>254.07899999999998</v>
      </c>
      <c r="N30" s="341"/>
      <c r="O30" s="341"/>
      <c r="P30" s="343"/>
      <c r="Q30" s="341"/>
      <c r="R30" s="343"/>
      <c r="S30" s="341">
        <v>95</v>
      </c>
      <c r="T30" s="341"/>
      <c r="U30" s="344">
        <f>'Daily Tekrit'!$J30+'Daily Tekrit'!$M30+SUM($N30:$T30)</f>
        <v>934.54629999999997</v>
      </c>
      <c r="V30" s="306"/>
      <c r="W30" s="356">
        <v>20</v>
      </c>
      <c r="X30" s="345"/>
      <c r="Y30" s="354"/>
      <c r="Z30" s="346"/>
      <c r="AA30" s="347"/>
      <c r="AB30" s="347"/>
      <c r="AC30" s="347"/>
      <c r="AD30" s="348">
        <f t="shared" si="2"/>
        <v>0</v>
      </c>
      <c r="AE30" s="349"/>
      <c r="AF30" s="349"/>
      <c r="AG30" s="349"/>
      <c r="AH30" s="349"/>
      <c r="AI30" s="349"/>
      <c r="AJ30" s="349"/>
      <c r="AK30" s="349"/>
      <c r="AL30" s="349"/>
      <c r="AM30" s="350">
        <f t="shared" si="3"/>
        <v>0</v>
      </c>
      <c r="AN30" s="349"/>
      <c r="AO30" s="351">
        <f t="shared" si="4"/>
        <v>20</v>
      </c>
      <c r="AP30" s="352"/>
      <c r="AQ30" s="306"/>
      <c r="AR30" s="353">
        <f t="shared" si="5"/>
        <v>914.54629999999997</v>
      </c>
      <c r="AS30" s="239"/>
      <c r="AT30" s="239"/>
      <c r="AU30" s="239"/>
    </row>
    <row r="31" spans="1:47" x14ac:dyDescent="0.35">
      <c r="A31" s="332">
        <v>46031</v>
      </c>
      <c r="B31" s="332" t="s">
        <v>24</v>
      </c>
      <c r="C31" s="333">
        <f>'ODOMETERS Tekrit'!J27</f>
        <v>154</v>
      </c>
      <c r="D31" s="334">
        <v>0.72909999999999997</v>
      </c>
      <c r="E31" s="335">
        <f>'Daily Tekrit'!$C31*'Daily Tekrit'!$D31</f>
        <v>112.28139999999999</v>
      </c>
      <c r="F31" s="336">
        <f>'ODOMETERS Tekrit'!K27</f>
        <v>256</v>
      </c>
      <c r="G31" s="334">
        <v>0.72909999999999997</v>
      </c>
      <c r="H31" s="335">
        <f>'Daily Tekrit'!$F31*'Daily Tekrit'!$G31</f>
        <v>186.64959999999999</v>
      </c>
      <c r="I31" s="336">
        <f>'Daily Tekrit'!$C31+'Daily Tekrit'!$F31</f>
        <v>410</v>
      </c>
      <c r="J31" s="337">
        <f>'Daily Tekrit'!$E31+'Daily Tekrit'!$H31</f>
        <v>298.93099999999998</v>
      </c>
      <c r="K31" s="338">
        <f>'ODOMETERS Tekrit'!L27</f>
        <v>269</v>
      </c>
      <c r="L31" s="339">
        <v>0.68669999999999998</v>
      </c>
      <c r="M31" s="340">
        <f>'Daily Tekrit'!$K31*'Daily Tekrit'!$L31</f>
        <v>184.72229999999999</v>
      </c>
      <c r="N31" s="341"/>
      <c r="O31" s="341"/>
      <c r="P31" s="343"/>
      <c r="Q31" s="341"/>
      <c r="R31" s="343"/>
      <c r="S31" s="341"/>
      <c r="T31" s="341"/>
      <c r="U31" s="344">
        <f>'Daily Tekrit'!$J31+'Daily Tekrit'!$M31+SUM($N31:$T31)</f>
        <v>483.65329999999994</v>
      </c>
      <c r="V31" s="306"/>
      <c r="W31" s="356">
        <f>1400/89.7</f>
        <v>15.607580824972128</v>
      </c>
      <c r="X31" s="345"/>
      <c r="Y31" s="354"/>
      <c r="Z31" s="346"/>
      <c r="AA31" s="347"/>
      <c r="AB31" s="347"/>
      <c r="AC31" s="347"/>
      <c r="AD31" s="348">
        <f t="shared" si="2"/>
        <v>0</v>
      </c>
      <c r="AE31" s="349"/>
      <c r="AF31" s="349"/>
      <c r="AG31" s="349"/>
      <c r="AH31" s="349">
        <f>850/89.7</f>
        <v>9.4760312151616493</v>
      </c>
      <c r="AI31" s="349"/>
      <c r="AJ31" s="349"/>
      <c r="AK31" s="349"/>
      <c r="AL31" s="349"/>
      <c r="AM31" s="350">
        <f t="shared" si="3"/>
        <v>9.4760312151616493</v>
      </c>
      <c r="AN31" s="349"/>
      <c r="AO31" s="351">
        <f t="shared" si="4"/>
        <v>25.083612040133779</v>
      </c>
      <c r="AP31" s="352"/>
      <c r="AQ31" s="306"/>
      <c r="AR31" s="353">
        <f t="shared" si="5"/>
        <v>458.56968795986614</v>
      </c>
      <c r="AS31" s="239"/>
      <c r="AT31" s="239"/>
      <c r="AU31" s="239"/>
    </row>
    <row r="32" spans="1:47" x14ac:dyDescent="0.35">
      <c r="A32" s="332">
        <v>46032</v>
      </c>
      <c r="B32" s="332"/>
      <c r="C32" s="333">
        <f>'ODOMETERS Tekrit'!J28</f>
        <v>234</v>
      </c>
      <c r="D32" s="334">
        <v>0.72799999999999998</v>
      </c>
      <c r="E32" s="335">
        <f>'Daily Tekrit'!$C32*'Daily Tekrit'!$D32</f>
        <v>170.352</v>
      </c>
      <c r="F32" s="336">
        <f>'ODOMETERS Tekrit'!K28</f>
        <v>564</v>
      </c>
      <c r="G32" s="334">
        <v>0.72799999999999998</v>
      </c>
      <c r="H32" s="335">
        <f>'Daily Tekrit'!$F32*'Daily Tekrit'!$G32</f>
        <v>410.59199999999998</v>
      </c>
      <c r="I32" s="336">
        <f>'Daily Tekrit'!$C32+'Daily Tekrit'!$F32</f>
        <v>798</v>
      </c>
      <c r="J32" s="337">
        <f>'Daily Tekrit'!$E32+'Daily Tekrit'!$H32</f>
        <v>580.94399999999996</v>
      </c>
      <c r="K32" s="338">
        <f>'ODOMETERS Tekrit'!L28</f>
        <v>1353</v>
      </c>
      <c r="L32" s="339">
        <v>0.68510000000000004</v>
      </c>
      <c r="M32" s="340">
        <f>'Daily Tekrit'!$K32*'Daily Tekrit'!$L32</f>
        <v>926.94030000000009</v>
      </c>
      <c r="N32" s="341"/>
      <c r="O32" s="341"/>
      <c r="P32" s="343"/>
      <c r="Q32" s="341"/>
      <c r="R32" s="343"/>
      <c r="S32" s="341"/>
      <c r="T32" s="341"/>
      <c r="U32" s="344">
        <f>'Daily Tekrit'!$J32+'Daily Tekrit'!$M32+SUM($N32:$T32)</f>
        <v>1507.8843000000002</v>
      </c>
      <c r="V32" s="306"/>
      <c r="W32" s="356">
        <f>5.57+500</f>
        <v>505.57</v>
      </c>
      <c r="X32" s="345"/>
      <c r="Y32" s="354">
        <v>1</v>
      </c>
      <c r="Z32" s="346"/>
      <c r="AA32" s="347"/>
      <c r="AB32" s="347"/>
      <c r="AC32" s="347"/>
      <c r="AD32" s="348">
        <f t="shared" si="2"/>
        <v>0</v>
      </c>
      <c r="AE32" s="349"/>
      <c r="AF32" s="349">
        <v>20</v>
      </c>
      <c r="AG32" s="349">
        <v>31.3</v>
      </c>
      <c r="AH32" s="349"/>
      <c r="AI32" s="349"/>
      <c r="AJ32" s="349"/>
      <c r="AK32" s="349"/>
      <c r="AL32" s="349"/>
      <c r="AM32" s="350">
        <f t="shared" si="3"/>
        <v>51.3</v>
      </c>
      <c r="AN32" s="349"/>
      <c r="AO32" s="351">
        <f t="shared" si="4"/>
        <v>557.87</v>
      </c>
      <c r="AP32" s="352"/>
      <c r="AQ32" s="306"/>
      <c r="AR32" s="353">
        <f t="shared" si="5"/>
        <v>950.01430000000016</v>
      </c>
      <c r="AS32" s="239"/>
      <c r="AT32" s="239"/>
      <c r="AU32" s="239"/>
    </row>
    <row r="33" spans="1:47" x14ac:dyDescent="0.35">
      <c r="A33" s="332">
        <v>46033</v>
      </c>
      <c r="B33" s="332"/>
      <c r="C33" s="333">
        <f>'ODOMETERS Tekrit'!J29</f>
        <v>77</v>
      </c>
      <c r="D33" s="334">
        <v>0.72799999999999998</v>
      </c>
      <c r="E33" s="335">
        <f>'Daily Tekrit'!$C33*'Daily Tekrit'!$D33</f>
        <v>56.055999999999997</v>
      </c>
      <c r="F33" s="336">
        <f>'ODOMETERS Tekrit'!K29</f>
        <v>320</v>
      </c>
      <c r="G33" s="334">
        <v>0.72799999999999998</v>
      </c>
      <c r="H33" s="335">
        <f>'Daily Tekrit'!$F33*'Daily Tekrit'!$G33</f>
        <v>232.95999999999998</v>
      </c>
      <c r="I33" s="336">
        <f>'Daily Tekrit'!$C33+'Daily Tekrit'!$F33</f>
        <v>397</v>
      </c>
      <c r="J33" s="337">
        <f>'Daily Tekrit'!$E33+'Daily Tekrit'!$H33</f>
        <v>289.01599999999996</v>
      </c>
      <c r="K33" s="338">
        <f>'ODOMETERS Tekrit'!L29</f>
        <v>182</v>
      </c>
      <c r="L33" s="339">
        <v>0.68510000000000004</v>
      </c>
      <c r="M33" s="340">
        <f>'Daily Tekrit'!$K33*'Daily Tekrit'!$L33</f>
        <v>124.68820000000001</v>
      </c>
      <c r="N33" s="341"/>
      <c r="O33" s="341"/>
      <c r="P33" s="343"/>
      <c r="Q33" s="341"/>
      <c r="R33" s="343"/>
      <c r="S33" s="341"/>
      <c r="T33" s="341"/>
      <c r="U33" s="344">
        <f>'Daily Tekrit'!$J33+'Daily Tekrit'!$M33+SUM($N33:$T33)</f>
        <v>413.70419999999996</v>
      </c>
      <c r="V33" s="306"/>
      <c r="W33" s="356"/>
      <c r="X33" s="345"/>
      <c r="Y33" s="354">
        <v>2</v>
      </c>
      <c r="Z33" s="346"/>
      <c r="AA33" s="347"/>
      <c r="AB33" s="347"/>
      <c r="AC33" s="347"/>
      <c r="AD33" s="348">
        <f t="shared" si="2"/>
        <v>0</v>
      </c>
      <c r="AE33" s="349"/>
      <c r="AF33" s="349"/>
      <c r="AG33" s="349"/>
      <c r="AH33" s="349">
        <f>950/89.7</f>
        <v>10.590858416945373</v>
      </c>
      <c r="AI33" s="349"/>
      <c r="AJ33" s="349"/>
      <c r="AK33" s="349"/>
      <c r="AL33" s="349"/>
      <c r="AM33" s="350">
        <f t="shared" si="3"/>
        <v>10.590858416945373</v>
      </c>
      <c r="AN33" s="349"/>
      <c r="AO33" s="351">
        <f t="shared" si="4"/>
        <v>12.590858416945373</v>
      </c>
      <c r="AP33" s="352"/>
      <c r="AQ33" s="306"/>
      <c r="AR33" s="353">
        <f t="shared" si="5"/>
        <v>401.11334158305459</v>
      </c>
      <c r="AS33" s="239"/>
      <c r="AT33" s="239"/>
      <c r="AU33" s="239"/>
    </row>
    <row r="34" spans="1:47" x14ac:dyDescent="0.35">
      <c r="A34" s="332">
        <v>46034</v>
      </c>
      <c r="B34" s="332"/>
      <c r="C34" s="333">
        <f>'ODOMETERS Tekrit'!J30</f>
        <v>73</v>
      </c>
      <c r="D34" s="334">
        <v>0.72799999999999998</v>
      </c>
      <c r="E34" s="335">
        <f>'Daily Tekrit'!$C34*'Daily Tekrit'!$D34</f>
        <v>53.143999999999998</v>
      </c>
      <c r="F34" s="336">
        <f>'ODOMETERS Tekrit'!K30</f>
        <v>521</v>
      </c>
      <c r="G34" s="334">
        <v>0.72799999999999998</v>
      </c>
      <c r="H34" s="335">
        <f>'Daily Tekrit'!$F34*'Daily Tekrit'!$G34</f>
        <v>379.28800000000001</v>
      </c>
      <c r="I34" s="336">
        <f>'Daily Tekrit'!$C34+'Daily Tekrit'!$F34</f>
        <v>594</v>
      </c>
      <c r="J34" s="337">
        <f>'Daily Tekrit'!$E34+'Daily Tekrit'!$H34</f>
        <v>432.43200000000002</v>
      </c>
      <c r="K34" s="338">
        <f>'ODOMETERS Tekrit'!L30</f>
        <v>517</v>
      </c>
      <c r="L34" s="339">
        <v>0.68510000000000004</v>
      </c>
      <c r="M34" s="340">
        <f>'Daily Tekrit'!$K34*'Daily Tekrit'!$L34</f>
        <v>354.19670000000002</v>
      </c>
      <c r="N34" s="341"/>
      <c r="O34" s="341"/>
      <c r="P34" s="343"/>
      <c r="Q34" s="341"/>
      <c r="R34" s="343"/>
      <c r="S34" s="341"/>
      <c r="T34" s="341"/>
      <c r="U34" s="344">
        <f>'Daily Tekrit'!$J34+'Daily Tekrit'!$M34+SUM($N34:$T34)</f>
        <v>786.62869999999998</v>
      </c>
      <c r="V34" s="306"/>
      <c r="W34" s="356">
        <v>102.87</v>
      </c>
      <c r="X34" s="345"/>
      <c r="Y34" s="354">
        <v>1</v>
      </c>
      <c r="Z34" s="346"/>
      <c r="AA34" s="347"/>
      <c r="AB34" s="347"/>
      <c r="AC34" s="347"/>
      <c r="AD34" s="348">
        <f t="shared" si="2"/>
        <v>0</v>
      </c>
      <c r="AE34" s="349"/>
      <c r="AF34" s="349"/>
      <c r="AG34" s="349"/>
      <c r="AH34" s="349">
        <v>14</v>
      </c>
      <c r="AI34" s="349"/>
      <c r="AJ34" s="349"/>
      <c r="AK34" s="349"/>
      <c r="AL34" s="349"/>
      <c r="AM34" s="350">
        <f t="shared" si="3"/>
        <v>14</v>
      </c>
      <c r="AN34" s="349"/>
      <c r="AO34" s="351">
        <f t="shared" si="4"/>
        <v>117.87</v>
      </c>
      <c r="AP34" s="352"/>
      <c r="AQ34" s="306"/>
      <c r="AR34" s="353">
        <f t="shared" si="5"/>
        <v>668.75869999999998</v>
      </c>
      <c r="AS34" s="239"/>
      <c r="AT34" s="239"/>
      <c r="AU34" s="239"/>
    </row>
    <row r="35" spans="1:47" x14ac:dyDescent="0.35">
      <c r="A35" s="332">
        <v>46035</v>
      </c>
      <c r="B35" s="332" t="s">
        <v>24</v>
      </c>
      <c r="C35" s="333">
        <f>'ODOMETERS Tekrit'!J31</f>
        <v>3</v>
      </c>
      <c r="D35" s="334">
        <v>0.72799999999999998</v>
      </c>
      <c r="E35" s="335">
        <f>'Daily Tekrit'!$C35*'Daily Tekrit'!$D35</f>
        <v>2.1840000000000002</v>
      </c>
      <c r="F35" s="336">
        <f>'ODOMETERS Tekrit'!K31</f>
        <v>301</v>
      </c>
      <c r="G35" s="334">
        <v>0.72799999999999998</v>
      </c>
      <c r="H35" s="335">
        <f>'Daily Tekrit'!$F35*'Daily Tekrit'!$G35</f>
        <v>219.12799999999999</v>
      </c>
      <c r="I35" s="336">
        <f>'Daily Tekrit'!$C35+'Daily Tekrit'!$F35</f>
        <v>304</v>
      </c>
      <c r="J35" s="337">
        <f>'Daily Tekrit'!$E35+'Daily Tekrit'!$H35</f>
        <v>221.31199999999998</v>
      </c>
      <c r="K35" s="338">
        <f>'ODOMETERS Tekrit'!L31</f>
        <v>173</v>
      </c>
      <c r="L35" s="339">
        <v>0.68510000000000004</v>
      </c>
      <c r="M35" s="340">
        <f>'Daily Tekrit'!$K35*'Daily Tekrit'!$L35</f>
        <v>118.5223</v>
      </c>
      <c r="N35" s="341"/>
      <c r="O35" s="341"/>
      <c r="P35" s="343"/>
      <c r="Q35" s="341"/>
      <c r="R35" s="343"/>
      <c r="S35" s="341"/>
      <c r="T35" s="341"/>
      <c r="U35" s="344">
        <f>'Daily Tekrit'!$J35+'Daily Tekrit'!$M35+SUM($N35:$T35)</f>
        <v>339.83429999999998</v>
      </c>
      <c r="V35" s="306"/>
      <c r="W35" s="356">
        <v>6</v>
      </c>
      <c r="X35" s="345"/>
      <c r="Y35" s="354"/>
      <c r="Z35" s="346"/>
      <c r="AA35" s="347"/>
      <c r="AB35" s="347"/>
      <c r="AC35" s="347"/>
      <c r="AD35" s="348">
        <f t="shared" si="2"/>
        <v>0</v>
      </c>
      <c r="AE35" s="349"/>
      <c r="AF35" s="349"/>
      <c r="AG35" s="349"/>
      <c r="AH35" s="349">
        <f>400/89.7</f>
        <v>4.4593088071348941</v>
      </c>
      <c r="AI35" s="349"/>
      <c r="AJ35" s="349"/>
      <c r="AK35" s="349"/>
      <c r="AL35" s="349"/>
      <c r="AM35" s="350">
        <f t="shared" si="3"/>
        <v>4.4593088071348941</v>
      </c>
      <c r="AN35" s="349"/>
      <c r="AO35" s="351">
        <f t="shared" si="4"/>
        <v>10.459308807134894</v>
      </c>
      <c r="AP35" s="352"/>
      <c r="AQ35" s="306"/>
      <c r="AR35" s="353">
        <f t="shared" si="5"/>
        <v>329.37499119286508</v>
      </c>
      <c r="AS35" s="239"/>
      <c r="AT35" s="239"/>
      <c r="AU35" s="239"/>
    </row>
    <row r="36" spans="1:47" x14ac:dyDescent="0.35">
      <c r="A36" s="332">
        <v>46035</v>
      </c>
      <c r="B36" s="332" t="s">
        <v>25</v>
      </c>
      <c r="C36" s="333">
        <f>'ODOMETERS Tekrit'!J32</f>
        <v>21</v>
      </c>
      <c r="D36" s="334">
        <v>0.73129999999999995</v>
      </c>
      <c r="E36" s="335">
        <f>'Daily Tekrit'!$C36*'Daily Tekrit'!$D36</f>
        <v>15.357299999999999</v>
      </c>
      <c r="F36" s="336">
        <f>'ODOMETERS Tekrit'!K32</f>
        <v>296</v>
      </c>
      <c r="G36" s="334">
        <v>0.73129999999999995</v>
      </c>
      <c r="H36" s="335">
        <f>'Daily Tekrit'!$F36*'Daily Tekrit'!$G36</f>
        <v>216.4648</v>
      </c>
      <c r="I36" s="336">
        <f>'Daily Tekrit'!$C36+'Daily Tekrit'!$F36</f>
        <v>317</v>
      </c>
      <c r="J36" s="337">
        <f>'Daily Tekrit'!$E36+'Daily Tekrit'!$H36</f>
        <v>231.82210000000001</v>
      </c>
      <c r="K36" s="338">
        <f>'ODOMETERS Tekrit'!L32</f>
        <v>225</v>
      </c>
      <c r="L36" s="339">
        <v>0.68669999999999998</v>
      </c>
      <c r="M36" s="340">
        <f>'Daily Tekrit'!$K36*'Daily Tekrit'!$L36</f>
        <v>154.50749999999999</v>
      </c>
      <c r="N36" s="341"/>
      <c r="O36" s="341"/>
      <c r="P36" s="343"/>
      <c r="Q36" s="341"/>
      <c r="R36" s="343"/>
      <c r="S36" s="341"/>
      <c r="T36" s="341"/>
      <c r="U36" s="344">
        <f>'Daily Tekrit'!$J36+'Daily Tekrit'!$M36+SUM($N36:$T36)</f>
        <v>386.32960000000003</v>
      </c>
      <c r="V36" s="306"/>
      <c r="W36" s="356">
        <f>1800/89.7</f>
        <v>20.066889632107024</v>
      </c>
      <c r="X36" s="345"/>
      <c r="Y36" s="354"/>
      <c r="Z36" s="346"/>
      <c r="AA36" s="347"/>
      <c r="AB36" s="347"/>
      <c r="AC36" s="347"/>
      <c r="AD36" s="348">
        <f t="shared" si="2"/>
        <v>0</v>
      </c>
      <c r="AE36" s="349"/>
      <c r="AF36" s="349"/>
      <c r="AG36" s="349"/>
      <c r="AH36" s="349">
        <f>500/89.7</f>
        <v>5.5741360089186172</v>
      </c>
      <c r="AI36" s="349"/>
      <c r="AJ36" s="349">
        <f>300/89.7</f>
        <v>3.3444816053511706</v>
      </c>
      <c r="AK36" s="349"/>
      <c r="AL36" s="349"/>
      <c r="AM36" s="350">
        <f t="shared" si="3"/>
        <v>8.9186176142697882</v>
      </c>
      <c r="AN36" s="349"/>
      <c r="AO36" s="351">
        <f t="shared" si="4"/>
        <v>28.985507246376812</v>
      </c>
      <c r="AP36" s="352"/>
      <c r="AQ36" s="306"/>
      <c r="AR36" s="353">
        <f t="shared" si="5"/>
        <v>357.34409275362322</v>
      </c>
      <c r="AS36" s="239"/>
      <c r="AT36" s="239"/>
      <c r="AU36" s="239"/>
    </row>
    <row r="37" spans="1:47" x14ac:dyDescent="0.35">
      <c r="A37" s="332">
        <v>46036</v>
      </c>
      <c r="B37" s="332"/>
      <c r="C37" s="333">
        <f>'ODOMETERS Tekrit'!J33</f>
        <v>574</v>
      </c>
      <c r="D37" s="334">
        <v>0.73129999999999995</v>
      </c>
      <c r="E37" s="335">
        <f>'Daily Tekrit'!$C37*'Daily Tekrit'!$D37</f>
        <v>419.76619999999997</v>
      </c>
      <c r="F37" s="336">
        <f>'ODOMETERS Tekrit'!K33</f>
        <v>135</v>
      </c>
      <c r="G37" s="334">
        <v>0.73129999999999995</v>
      </c>
      <c r="H37" s="335">
        <f>'Daily Tekrit'!$F37*'Daily Tekrit'!$G37</f>
        <v>98.725499999999997</v>
      </c>
      <c r="I37" s="336">
        <f>'Daily Tekrit'!$C37+'Daily Tekrit'!$F37</f>
        <v>709</v>
      </c>
      <c r="J37" s="337">
        <f>'Daily Tekrit'!$E37+'Daily Tekrit'!$H37</f>
        <v>518.49169999999992</v>
      </c>
      <c r="K37" s="338">
        <f>'ODOMETERS Tekrit'!L33</f>
        <v>389</v>
      </c>
      <c r="L37" s="339">
        <v>0.68669999999999998</v>
      </c>
      <c r="M37" s="340">
        <f>'Daily Tekrit'!$K37*'Daily Tekrit'!$L37</f>
        <v>267.12630000000001</v>
      </c>
      <c r="N37" s="341"/>
      <c r="O37" s="341"/>
      <c r="P37" s="343"/>
      <c r="Q37" s="341"/>
      <c r="R37" s="343"/>
      <c r="S37" s="341">
        <v>5</v>
      </c>
      <c r="T37" s="341"/>
      <c r="U37" s="344">
        <f>'Daily Tekrit'!$J37+'Daily Tekrit'!$M37+SUM($N37:$T37)</f>
        <v>790.61799999999994</v>
      </c>
      <c r="V37" s="306"/>
      <c r="W37" s="356">
        <v>26</v>
      </c>
      <c r="X37" s="345"/>
      <c r="Y37" s="354"/>
      <c r="Z37" s="346"/>
      <c r="AA37" s="347"/>
      <c r="AB37" s="347"/>
      <c r="AC37" s="347"/>
      <c r="AD37" s="348">
        <f t="shared" si="2"/>
        <v>0</v>
      </c>
      <c r="AE37" s="349"/>
      <c r="AF37" s="349"/>
      <c r="AG37" s="349"/>
      <c r="AH37" s="349"/>
      <c r="AI37" s="349"/>
      <c r="AJ37" s="349"/>
      <c r="AK37" s="349"/>
      <c r="AL37" s="349"/>
      <c r="AM37" s="350">
        <f t="shared" si="3"/>
        <v>0</v>
      </c>
      <c r="AN37" s="349"/>
      <c r="AO37" s="351">
        <f t="shared" si="4"/>
        <v>26</v>
      </c>
      <c r="AP37" s="352"/>
      <c r="AQ37" s="306"/>
      <c r="AR37" s="353">
        <f t="shared" si="5"/>
        <v>764.61799999999994</v>
      </c>
      <c r="AS37" s="239"/>
      <c r="AT37" s="239"/>
      <c r="AU37" s="239"/>
    </row>
    <row r="38" spans="1:47" x14ac:dyDescent="0.35">
      <c r="A38" s="332">
        <v>46037</v>
      </c>
      <c r="B38" s="332"/>
      <c r="C38" s="333">
        <f>'ODOMETERS Tekrit'!J34</f>
        <v>352</v>
      </c>
      <c r="D38" s="334">
        <v>0.73129999999999995</v>
      </c>
      <c r="E38" s="335">
        <f>'Daily Tekrit'!$C38*'Daily Tekrit'!$D38</f>
        <v>257.41759999999999</v>
      </c>
      <c r="F38" s="336">
        <f>'ODOMETERS Tekrit'!K34</f>
        <v>51</v>
      </c>
      <c r="G38" s="334">
        <v>0.73129999999999995</v>
      </c>
      <c r="H38" s="335">
        <f>'Daily Tekrit'!$F38*'Daily Tekrit'!$G38</f>
        <v>37.296299999999995</v>
      </c>
      <c r="I38" s="336">
        <f>'Daily Tekrit'!$C38+'Daily Tekrit'!$F38</f>
        <v>403</v>
      </c>
      <c r="J38" s="337">
        <f>'Daily Tekrit'!$E38+'Daily Tekrit'!$H38</f>
        <v>294.71389999999997</v>
      </c>
      <c r="K38" s="338">
        <f>'ODOMETERS Tekrit'!L34</f>
        <v>243</v>
      </c>
      <c r="L38" s="339">
        <v>0.68669999999999998</v>
      </c>
      <c r="M38" s="340">
        <f>'Daily Tekrit'!$K38*'Daily Tekrit'!$L38</f>
        <v>166.8681</v>
      </c>
      <c r="N38" s="341"/>
      <c r="O38" s="341"/>
      <c r="P38" s="343"/>
      <c r="Q38" s="341"/>
      <c r="R38" s="343"/>
      <c r="S38" s="341"/>
      <c r="T38" s="341"/>
      <c r="U38" s="344">
        <f>'Daily Tekrit'!$J38+'Daily Tekrit'!$M38+SUM($N38:$T38)</f>
        <v>461.58199999999999</v>
      </c>
      <c r="V38" s="306"/>
      <c r="W38" s="356">
        <v>33.369999999999997</v>
      </c>
      <c r="X38" s="345"/>
      <c r="Y38" s="354">
        <v>5</v>
      </c>
      <c r="Z38" s="346"/>
      <c r="AA38" s="347"/>
      <c r="AB38" s="347"/>
      <c r="AC38" s="347"/>
      <c r="AD38" s="348">
        <f t="shared" si="2"/>
        <v>0</v>
      </c>
      <c r="AE38" s="349"/>
      <c r="AF38" s="349"/>
      <c r="AG38" s="349">
        <v>2</v>
      </c>
      <c r="AH38" s="349"/>
      <c r="AI38" s="349"/>
      <c r="AJ38" s="349"/>
      <c r="AK38" s="349"/>
      <c r="AL38" s="349"/>
      <c r="AM38" s="350">
        <f t="shared" si="3"/>
        <v>2</v>
      </c>
      <c r="AN38" s="349"/>
      <c r="AO38" s="351">
        <f t="shared" si="4"/>
        <v>40.369999999999997</v>
      </c>
      <c r="AP38" s="352"/>
      <c r="AQ38" s="306"/>
      <c r="AR38" s="353">
        <f t="shared" si="5"/>
        <v>421.21199999999999</v>
      </c>
      <c r="AS38" s="239"/>
      <c r="AT38" s="239"/>
      <c r="AU38" s="239"/>
    </row>
    <row r="39" spans="1:47" x14ac:dyDescent="0.35">
      <c r="A39" s="332">
        <v>46038</v>
      </c>
      <c r="B39" s="332" t="s">
        <v>24</v>
      </c>
      <c r="C39" s="333">
        <f>'ODOMETERS Tekrit'!J35</f>
        <v>84</v>
      </c>
      <c r="D39" s="334">
        <v>0.73129999999999995</v>
      </c>
      <c r="E39" s="335">
        <f>'Daily Tekrit'!$C39*'Daily Tekrit'!$D39</f>
        <v>61.429199999999994</v>
      </c>
      <c r="F39" s="336">
        <f>'ODOMETERS Tekrit'!K35</f>
        <v>106</v>
      </c>
      <c r="G39" s="334">
        <v>0.73129999999999995</v>
      </c>
      <c r="H39" s="335">
        <f>'Daily Tekrit'!$F39*'Daily Tekrit'!$G39</f>
        <v>77.517799999999994</v>
      </c>
      <c r="I39" s="336">
        <f>'Daily Tekrit'!$C39+'Daily Tekrit'!$F39</f>
        <v>190</v>
      </c>
      <c r="J39" s="337">
        <f>'Daily Tekrit'!$E39+'Daily Tekrit'!$H39</f>
        <v>138.947</v>
      </c>
      <c r="K39" s="338">
        <f>'ODOMETERS Tekrit'!L35</f>
        <v>92</v>
      </c>
      <c r="L39" s="339">
        <v>0.68669999999999998</v>
      </c>
      <c r="M39" s="340">
        <f>'Daily Tekrit'!$K39*'Daily Tekrit'!$L39</f>
        <v>63.176400000000001</v>
      </c>
      <c r="N39" s="341"/>
      <c r="O39" s="341"/>
      <c r="P39" s="343"/>
      <c r="Q39" s="341"/>
      <c r="R39" s="343"/>
      <c r="S39" s="341"/>
      <c r="T39" s="341"/>
      <c r="U39" s="344">
        <f>'Daily Tekrit'!$J39+'Daily Tekrit'!$M39+SUM($N39:$T39)</f>
        <v>202.1234</v>
      </c>
      <c r="V39" s="306"/>
      <c r="W39" s="356">
        <f>500/89.7</f>
        <v>5.5741360089186172</v>
      </c>
      <c r="X39" s="345"/>
      <c r="Y39" s="354"/>
      <c r="Z39" s="346"/>
      <c r="AA39" s="347"/>
      <c r="AB39" s="347"/>
      <c r="AC39" s="347"/>
      <c r="AD39" s="348">
        <f t="shared" si="2"/>
        <v>0</v>
      </c>
      <c r="AE39" s="349"/>
      <c r="AF39" s="349"/>
      <c r="AG39" s="349"/>
      <c r="AH39" s="349"/>
      <c r="AI39" s="349"/>
      <c r="AJ39" s="349"/>
      <c r="AK39" s="349"/>
      <c r="AL39" s="349"/>
      <c r="AM39" s="350">
        <f t="shared" si="3"/>
        <v>0</v>
      </c>
      <c r="AN39" s="349"/>
      <c r="AO39" s="351">
        <f t="shared" si="4"/>
        <v>5.5741360089186172</v>
      </c>
      <c r="AP39" s="352"/>
      <c r="AQ39" s="306"/>
      <c r="AR39" s="353">
        <f t="shared" si="5"/>
        <v>196.54926399108138</v>
      </c>
      <c r="AS39" s="239"/>
      <c r="AT39" s="239"/>
      <c r="AU39" s="239"/>
    </row>
    <row r="40" spans="1:47" x14ac:dyDescent="0.35">
      <c r="A40" s="332">
        <v>46038</v>
      </c>
      <c r="B40" s="332" t="s">
        <v>25</v>
      </c>
      <c r="C40" s="333">
        <f>'ODOMETERS Tekrit'!J36</f>
        <v>145</v>
      </c>
      <c r="D40" s="334">
        <v>0.73799999999999999</v>
      </c>
      <c r="E40" s="335">
        <f>'Daily Tekrit'!$C40*'Daily Tekrit'!$D40</f>
        <v>107.01</v>
      </c>
      <c r="F40" s="336">
        <f>'ODOMETERS Tekrit'!K36</f>
        <v>92</v>
      </c>
      <c r="G40" s="334">
        <v>0.73799999999999999</v>
      </c>
      <c r="H40" s="335">
        <f>'Daily Tekrit'!$F40*'Daily Tekrit'!$G40</f>
        <v>67.896000000000001</v>
      </c>
      <c r="I40" s="336">
        <f>'Daily Tekrit'!$C40+'Daily Tekrit'!$F40</f>
        <v>237</v>
      </c>
      <c r="J40" s="337">
        <f>'Daily Tekrit'!$E40+'Daily Tekrit'!$H40</f>
        <v>174.90600000000001</v>
      </c>
      <c r="K40" s="338">
        <f>'ODOMETERS Tekrit'!L36</f>
        <v>297</v>
      </c>
      <c r="L40" s="339">
        <v>0.69230000000000003</v>
      </c>
      <c r="M40" s="340">
        <f>'Daily Tekrit'!$K40*'Daily Tekrit'!$L40</f>
        <v>205.6131</v>
      </c>
      <c r="N40" s="341"/>
      <c r="O40" s="341"/>
      <c r="P40" s="343"/>
      <c r="Q40" s="341"/>
      <c r="R40" s="343"/>
      <c r="S40" s="341"/>
      <c r="T40" s="341"/>
      <c r="U40" s="344">
        <f>'Daily Tekrit'!$J40+'Daily Tekrit'!$M40+SUM($N40:$T40)</f>
        <v>380.51909999999998</v>
      </c>
      <c r="V40" s="306"/>
      <c r="W40" s="356"/>
      <c r="X40" s="345"/>
      <c r="Y40" s="354"/>
      <c r="Z40" s="346"/>
      <c r="AA40" s="347"/>
      <c r="AB40" s="347"/>
      <c r="AC40" s="347"/>
      <c r="AD40" s="348">
        <f t="shared" si="2"/>
        <v>0</v>
      </c>
      <c r="AE40" s="349"/>
      <c r="AF40" s="349"/>
      <c r="AG40" s="349"/>
      <c r="AH40" s="349"/>
      <c r="AI40" s="349"/>
      <c r="AJ40" s="349"/>
      <c r="AK40" s="349"/>
      <c r="AL40" s="349"/>
      <c r="AM40" s="350">
        <f t="shared" si="3"/>
        <v>0</v>
      </c>
      <c r="AN40" s="349"/>
      <c r="AO40" s="351">
        <f t="shared" si="4"/>
        <v>0</v>
      </c>
      <c r="AP40" s="352"/>
      <c r="AQ40" s="306"/>
      <c r="AR40" s="353">
        <f t="shared" si="5"/>
        <v>380.51909999999998</v>
      </c>
      <c r="AS40" s="239"/>
      <c r="AT40" s="239"/>
      <c r="AU40" s="239"/>
    </row>
    <row r="41" spans="1:47" x14ac:dyDescent="0.35">
      <c r="A41" s="332">
        <v>46039</v>
      </c>
      <c r="B41" s="332"/>
      <c r="C41" s="333">
        <f>'ODOMETERS Tekrit'!J37</f>
        <v>292</v>
      </c>
      <c r="D41" s="334">
        <v>0.73799999999999999</v>
      </c>
      <c r="E41" s="335">
        <f>'Daily Tekrit'!$C41*'Daily Tekrit'!$D41</f>
        <v>215.49600000000001</v>
      </c>
      <c r="F41" s="336">
        <f>'ODOMETERS Tekrit'!K37</f>
        <v>258</v>
      </c>
      <c r="G41" s="334">
        <v>0.73799999999999999</v>
      </c>
      <c r="H41" s="335">
        <f>'Daily Tekrit'!$F41*'Daily Tekrit'!$G41</f>
        <v>190.404</v>
      </c>
      <c r="I41" s="336">
        <f>'Daily Tekrit'!$C41+'Daily Tekrit'!$F41</f>
        <v>550</v>
      </c>
      <c r="J41" s="337">
        <f>'Daily Tekrit'!$E41+'Daily Tekrit'!$H41</f>
        <v>405.9</v>
      </c>
      <c r="K41" s="338">
        <f>'ODOMETERS Tekrit'!L37</f>
        <v>408</v>
      </c>
      <c r="L41" s="339">
        <v>0.69230000000000003</v>
      </c>
      <c r="M41" s="340">
        <f>'Daily Tekrit'!$K41*'Daily Tekrit'!$L41</f>
        <v>282.45839999999998</v>
      </c>
      <c r="N41" s="341"/>
      <c r="O41" s="341"/>
      <c r="P41" s="343"/>
      <c r="Q41" s="341"/>
      <c r="R41" s="343"/>
      <c r="S41" s="341"/>
      <c r="T41" s="341"/>
      <c r="U41" s="344">
        <f>'Daily Tekrit'!$J41+'Daily Tekrit'!$M41+SUM($N41:$T41)</f>
        <v>688.35839999999996</v>
      </c>
      <c r="V41" s="306"/>
      <c r="W41" s="356">
        <f>1400/89.7</f>
        <v>15.607580824972128</v>
      </c>
      <c r="X41" s="345"/>
      <c r="Y41" s="354"/>
      <c r="Z41" s="346"/>
      <c r="AA41" s="347"/>
      <c r="AB41" s="347"/>
      <c r="AC41" s="347"/>
      <c r="AD41" s="348">
        <f t="shared" si="2"/>
        <v>0</v>
      </c>
      <c r="AE41" s="349"/>
      <c r="AF41" s="349"/>
      <c r="AG41" s="349"/>
      <c r="AH41" s="349">
        <f>500/89.7+15</f>
        <v>20.574136008918618</v>
      </c>
      <c r="AI41" s="349"/>
      <c r="AJ41" s="349"/>
      <c r="AK41" s="349"/>
      <c r="AL41" s="349"/>
      <c r="AM41" s="350">
        <f t="shared" si="3"/>
        <v>20.574136008918618</v>
      </c>
      <c r="AN41" s="349"/>
      <c r="AO41" s="351">
        <f t="shared" si="4"/>
        <v>36.181716833890746</v>
      </c>
      <c r="AP41" s="352"/>
      <c r="AQ41" s="306"/>
      <c r="AR41" s="353">
        <f t="shared" si="5"/>
        <v>652.17668316610923</v>
      </c>
      <c r="AS41" s="239"/>
      <c r="AT41" s="239"/>
      <c r="AU41" s="239"/>
    </row>
    <row r="42" spans="1:47" x14ac:dyDescent="0.35">
      <c r="A42" s="332">
        <v>46040</v>
      </c>
      <c r="B42" s="332"/>
      <c r="C42" s="333">
        <f>'ODOMETERS Tekrit'!J38</f>
        <v>327</v>
      </c>
      <c r="D42" s="334">
        <v>0.73799999999999999</v>
      </c>
      <c r="E42" s="335">
        <f>'Daily Tekrit'!$C42*'Daily Tekrit'!$D42</f>
        <v>241.32599999999999</v>
      </c>
      <c r="F42" s="336">
        <f>'ODOMETERS Tekrit'!K38</f>
        <v>289</v>
      </c>
      <c r="G42" s="334">
        <v>0.73799999999999999</v>
      </c>
      <c r="H42" s="335">
        <f>'Daily Tekrit'!$F42*'Daily Tekrit'!$G42</f>
        <v>213.28200000000001</v>
      </c>
      <c r="I42" s="336">
        <f>'Daily Tekrit'!$C42+'Daily Tekrit'!$F42</f>
        <v>616</v>
      </c>
      <c r="J42" s="337">
        <f>'Daily Tekrit'!$E42+'Daily Tekrit'!$H42</f>
        <v>454.608</v>
      </c>
      <c r="K42" s="338">
        <f>'ODOMETERS Tekrit'!L38</f>
        <v>430</v>
      </c>
      <c r="L42" s="339">
        <v>0.69230000000000003</v>
      </c>
      <c r="M42" s="340">
        <f>'Daily Tekrit'!$K42*'Daily Tekrit'!$L42</f>
        <v>297.68900000000002</v>
      </c>
      <c r="N42" s="341"/>
      <c r="O42" s="341"/>
      <c r="P42" s="343"/>
      <c r="Q42" s="341"/>
      <c r="R42" s="343"/>
      <c r="S42" s="341"/>
      <c r="T42" s="341"/>
      <c r="U42" s="344">
        <f>'Daily Tekrit'!$J42+'Daily Tekrit'!$M42+SUM($N42:$T42)</f>
        <v>752.29700000000003</v>
      </c>
      <c r="V42" s="306"/>
      <c r="W42" s="356">
        <v>3</v>
      </c>
      <c r="X42" s="345"/>
      <c r="Y42" s="354"/>
      <c r="Z42" s="346"/>
      <c r="AA42" s="347"/>
      <c r="AB42" s="347"/>
      <c r="AC42" s="347"/>
      <c r="AD42" s="348">
        <f t="shared" si="2"/>
        <v>0</v>
      </c>
      <c r="AE42" s="349"/>
      <c r="AF42" s="349">
        <v>5</v>
      </c>
      <c r="AG42" s="349"/>
      <c r="AH42" s="349"/>
      <c r="AI42" s="349"/>
      <c r="AJ42" s="349"/>
      <c r="AK42" s="349"/>
      <c r="AL42" s="349"/>
      <c r="AM42" s="350">
        <f t="shared" si="3"/>
        <v>5</v>
      </c>
      <c r="AN42" s="349"/>
      <c r="AO42" s="351">
        <f t="shared" si="4"/>
        <v>8</v>
      </c>
      <c r="AP42" s="352"/>
      <c r="AQ42" s="306"/>
      <c r="AR42" s="353">
        <f t="shared" si="5"/>
        <v>744.29700000000003</v>
      </c>
      <c r="AS42" s="239"/>
      <c r="AT42" s="239"/>
      <c r="AU42" s="239"/>
    </row>
    <row r="43" spans="1:47" x14ac:dyDescent="0.35">
      <c r="A43" s="332">
        <v>46041</v>
      </c>
      <c r="B43" s="332"/>
      <c r="C43" s="333">
        <f>'ODOMETERS Tekrit'!J39</f>
        <v>270</v>
      </c>
      <c r="D43" s="334">
        <v>0.73799999999999999</v>
      </c>
      <c r="E43" s="335">
        <f>'Daily Tekrit'!$C43*'Daily Tekrit'!$D43</f>
        <v>199.26</v>
      </c>
      <c r="F43" s="336">
        <f>'ODOMETERS Tekrit'!K39</f>
        <v>179</v>
      </c>
      <c r="G43" s="334">
        <v>0.73799999999999999</v>
      </c>
      <c r="H43" s="335">
        <f>'Daily Tekrit'!$F43*'Daily Tekrit'!$G43</f>
        <v>132.102</v>
      </c>
      <c r="I43" s="336">
        <f>'Daily Tekrit'!$C43+'Daily Tekrit'!$F43</f>
        <v>449</v>
      </c>
      <c r="J43" s="337">
        <f>'Daily Tekrit'!$E43+'Daily Tekrit'!$H43</f>
        <v>331.36199999999997</v>
      </c>
      <c r="K43" s="338">
        <f>'ODOMETERS Tekrit'!L39</f>
        <v>258</v>
      </c>
      <c r="L43" s="339">
        <v>0.69230000000000003</v>
      </c>
      <c r="M43" s="340">
        <f>'Daily Tekrit'!$K43*'Daily Tekrit'!$L43</f>
        <v>178.61340000000001</v>
      </c>
      <c r="N43" s="341"/>
      <c r="O43" s="341"/>
      <c r="P43" s="343"/>
      <c r="Q43" s="341"/>
      <c r="R43" s="343"/>
      <c r="S43" s="341"/>
      <c r="T43" s="341"/>
      <c r="U43" s="344">
        <f>'Daily Tekrit'!$J43+'Daily Tekrit'!$M43+SUM($N43:$T43)</f>
        <v>509.97539999999998</v>
      </c>
      <c r="V43" s="306"/>
      <c r="W43" s="356">
        <f>20*0.6923</f>
        <v>13.846</v>
      </c>
      <c r="X43" s="345"/>
      <c r="Y43" s="354"/>
      <c r="Z43" s="346"/>
      <c r="AA43" s="347"/>
      <c r="AB43" s="347"/>
      <c r="AC43" s="347"/>
      <c r="AD43" s="348">
        <f t="shared" si="2"/>
        <v>0</v>
      </c>
      <c r="AE43" s="349"/>
      <c r="AF43" s="349"/>
      <c r="AG43" s="349"/>
      <c r="AH43" s="349">
        <f>500/89.7</f>
        <v>5.5741360089186172</v>
      </c>
      <c r="AI43" s="349"/>
      <c r="AJ43" s="349"/>
      <c r="AK43" s="349"/>
      <c r="AL43" s="349"/>
      <c r="AM43" s="350">
        <f t="shared" si="3"/>
        <v>5.5741360089186172</v>
      </c>
      <c r="AN43" s="349"/>
      <c r="AO43" s="351">
        <f t="shared" si="4"/>
        <v>19.420136008918618</v>
      </c>
      <c r="AP43" s="352"/>
      <c r="AQ43" s="306"/>
      <c r="AR43" s="353">
        <f t="shared" si="5"/>
        <v>490.55526399108135</v>
      </c>
      <c r="AS43" s="239"/>
      <c r="AT43" s="239"/>
      <c r="AU43" s="239"/>
    </row>
    <row r="44" spans="1:47" x14ac:dyDescent="0.35">
      <c r="A44" s="332">
        <v>46042</v>
      </c>
      <c r="B44" s="332" t="s">
        <v>24</v>
      </c>
      <c r="C44" s="333">
        <f>'ODOMETERS Tekrit'!J40</f>
        <v>144</v>
      </c>
      <c r="D44" s="334">
        <v>0.73799999999999999</v>
      </c>
      <c r="E44" s="335">
        <f>'Daily Tekrit'!$C44*'Daily Tekrit'!$D44</f>
        <v>106.27199999999999</v>
      </c>
      <c r="F44" s="336">
        <f>'ODOMETERS Tekrit'!K40</f>
        <v>140</v>
      </c>
      <c r="G44" s="334">
        <v>0.73799999999999999</v>
      </c>
      <c r="H44" s="335">
        <f>'Daily Tekrit'!$F44*'Daily Tekrit'!$G44</f>
        <v>103.32</v>
      </c>
      <c r="I44" s="336">
        <f>'Daily Tekrit'!$C44+'Daily Tekrit'!$F44</f>
        <v>284</v>
      </c>
      <c r="J44" s="337">
        <f>'Daily Tekrit'!$E44+'Daily Tekrit'!$H44</f>
        <v>209.59199999999998</v>
      </c>
      <c r="K44" s="338">
        <f>'ODOMETERS Tekrit'!L40</f>
        <v>157</v>
      </c>
      <c r="L44" s="339">
        <v>0.69230000000000003</v>
      </c>
      <c r="M44" s="340">
        <f>'Daily Tekrit'!$K44*'Daily Tekrit'!$L44</f>
        <v>108.69110000000001</v>
      </c>
      <c r="N44" s="341"/>
      <c r="O44" s="341"/>
      <c r="P44" s="343"/>
      <c r="Q44" s="341"/>
      <c r="R44" s="343"/>
      <c r="S44" s="341"/>
      <c r="T44" s="341"/>
      <c r="U44" s="344">
        <f>'Daily Tekrit'!$J44+'Daily Tekrit'!$M44+SUM($N44:$T44)</f>
        <v>318.28309999999999</v>
      </c>
      <c r="V44" s="306"/>
      <c r="W44" s="356"/>
      <c r="X44" s="345"/>
      <c r="Y44" s="354"/>
      <c r="Z44" s="358"/>
      <c r="AA44" s="359"/>
      <c r="AB44" s="359"/>
      <c r="AC44" s="359"/>
      <c r="AD44" s="348">
        <f t="shared" si="2"/>
        <v>0</v>
      </c>
      <c r="AE44" s="360"/>
      <c r="AF44" s="360"/>
      <c r="AG44" s="360"/>
      <c r="AH44" s="360"/>
      <c r="AI44" s="360"/>
      <c r="AJ44" s="360"/>
      <c r="AK44" s="360"/>
      <c r="AL44" s="360"/>
      <c r="AM44" s="350">
        <f t="shared" si="3"/>
        <v>0</v>
      </c>
      <c r="AN44" s="360"/>
      <c r="AO44" s="351">
        <f t="shared" si="4"/>
        <v>0</v>
      </c>
      <c r="AP44" s="361"/>
      <c r="AQ44" s="306"/>
      <c r="AR44" s="353">
        <f t="shared" si="5"/>
        <v>318.28309999999999</v>
      </c>
      <c r="AS44" s="239"/>
      <c r="AT44" s="239"/>
      <c r="AU44" s="239"/>
    </row>
    <row r="45" spans="1:47" x14ac:dyDescent="0.35">
      <c r="A45" s="332">
        <v>46042</v>
      </c>
      <c r="B45" s="332" t="s">
        <v>25</v>
      </c>
      <c r="C45" s="333">
        <f>'ODOMETERS Tekrit'!J41</f>
        <v>243</v>
      </c>
      <c r="D45" s="334">
        <v>0.73909999999999998</v>
      </c>
      <c r="E45" s="335">
        <f>'Daily Tekrit'!$C45*'Daily Tekrit'!$D45</f>
        <v>179.60130000000001</v>
      </c>
      <c r="F45" s="336">
        <f>'ODOMETERS Tekrit'!K41</f>
        <v>93</v>
      </c>
      <c r="G45" s="334">
        <v>0.73909999999999998</v>
      </c>
      <c r="H45" s="335">
        <f>'Daily Tekrit'!$F45*'Daily Tekrit'!$G45</f>
        <v>68.7363</v>
      </c>
      <c r="I45" s="336">
        <f>'Daily Tekrit'!$C45+'Daily Tekrit'!$F45</f>
        <v>336</v>
      </c>
      <c r="J45" s="337">
        <f>'Daily Tekrit'!$E45+'Daily Tekrit'!$H45</f>
        <v>248.33760000000001</v>
      </c>
      <c r="K45" s="338">
        <f>'ODOMETERS Tekrit'!L41</f>
        <v>306</v>
      </c>
      <c r="L45" s="339">
        <v>0.69569999999999999</v>
      </c>
      <c r="M45" s="340">
        <f>'Daily Tekrit'!$K45*'Daily Tekrit'!$L45</f>
        <v>212.88419999999999</v>
      </c>
      <c r="N45" s="341"/>
      <c r="O45" s="341"/>
      <c r="P45" s="343"/>
      <c r="Q45" s="341"/>
      <c r="R45" s="343"/>
      <c r="S45" s="341"/>
      <c r="T45" s="341"/>
      <c r="U45" s="344">
        <f>'Daily Tekrit'!$J45+'Daily Tekrit'!$M45+SUM($N45:$T45)</f>
        <v>461.22180000000003</v>
      </c>
      <c r="V45" s="306"/>
      <c r="W45" s="356">
        <f>500/89.7</f>
        <v>5.5741360089186172</v>
      </c>
      <c r="X45" s="345"/>
      <c r="Y45" s="354"/>
      <c r="Z45" s="346"/>
      <c r="AA45" s="347"/>
      <c r="AB45" s="347"/>
      <c r="AC45" s="347"/>
      <c r="AD45" s="348">
        <f t="shared" si="2"/>
        <v>0</v>
      </c>
      <c r="AE45" s="349"/>
      <c r="AF45" s="349"/>
      <c r="AG45" s="349"/>
      <c r="AH45" s="349"/>
      <c r="AI45" s="349"/>
      <c r="AJ45" s="349">
        <f>300/89.7</f>
        <v>3.3444816053511706</v>
      </c>
      <c r="AK45" s="349"/>
      <c r="AL45" s="349"/>
      <c r="AM45" s="350">
        <f t="shared" si="3"/>
        <v>3.3444816053511706</v>
      </c>
      <c r="AN45" s="349"/>
      <c r="AO45" s="351">
        <f t="shared" si="4"/>
        <v>8.9186176142697882</v>
      </c>
      <c r="AP45" s="352"/>
      <c r="AQ45" s="306"/>
      <c r="AR45" s="353">
        <f t="shared" si="5"/>
        <v>452.30318238573022</v>
      </c>
      <c r="AS45" s="239"/>
      <c r="AT45" s="239"/>
      <c r="AU45" s="239"/>
    </row>
    <row r="46" spans="1:47" x14ac:dyDescent="0.35">
      <c r="A46" s="332">
        <v>46043</v>
      </c>
      <c r="B46" s="332"/>
      <c r="C46" s="333">
        <f>'ODOMETERS Tekrit'!J42</f>
        <v>254</v>
      </c>
      <c r="D46" s="334">
        <v>0.73909999999999998</v>
      </c>
      <c r="E46" s="335">
        <f>'Daily Tekrit'!$C46*'Daily Tekrit'!$D46</f>
        <v>187.73140000000001</v>
      </c>
      <c r="F46" s="336">
        <f>'ODOMETERS Tekrit'!K42</f>
        <v>234</v>
      </c>
      <c r="G46" s="334">
        <v>0.73909999999999998</v>
      </c>
      <c r="H46" s="335">
        <f>'Daily Tekrit'!$F46*'Daily Tekrit'!$G46</f>
        <v>172.9494</v>
      </c>
      <c r="I46" s="336">
        <f>'Daily Tekrit'!$C46+'Daily Tekrit'!$F46</f>
        <v>488</v>
      </c>
      <c r="J46" s="337">
        <f>'Daily Tekrit'!$E46+'Daily Tekrit'!$H46</f>
        <v>360.68079999999998</v>
      </c>
      <c r="K46" s="338">
        <f>'ODOMETERS Tekrit'!L42</f>
        <v>660</v>
      </c>
      <c r="L46" s="339">
        <v>0.69569999999999999</v>
      </c>
      <c r="M46" s="340">
        <f>'Daily Tekrit'!$K46*'Daily Tekrit'!$L46</f>
        <v>459.16199999999998</v>
      </c>
      <c r="N46" s="341"/>
      <c r="O46" s="341"/>
      <c r="P46" s="343"/>
      <c r="Q46" s="341"/>
      <c r="R46" s="343"/>
      <c r="S46" s="341"/>
      <c r="T46" s="341"/>
      <c r="U46" s="344">
        <f>'Daily Tekrit'!$J46+'Daily Tekrit'!$M46+SUM($N46:$T46)</f>
        <v>819.8427999999999</v>
      </c>
      <c r="V46" s="306"/>
      <c r="W46" s="356">
        <f>26</f>
        <v>26</v>
      </c>
      <c r="X46" s="345"/>
      <c r="Y46" s="354"/>
      <c r="Z46" s="346"/>
      <c r="AA46" s="347"/>
      <c r="AB46" s="347"/>
      <c r="AC46" s="347"/>
      <c r="AD46" s="348">
        <f t="shared" si="2"/>
        <v>0</v>
      </c>
      <c r="AE46" s="349"/>
      <c r="AF46" s="349">
        <v>10</v>
      </c>
      <c r="AG46" s="349"/>
      <c r="AH46" s="349">
        <f>500/89.7+3</f>
        <v>8.574136008918618</v>
      </c>
      <c r="AI46" s="349"/>
      <c r="AJ46" s="349"/>
      <c r="AK46" s="349"/>
      <c r="AL46" s="349"/>
      <c r="AM46" s="350">
        <f t="shared" si="3"/>
        <v>18.574136008918618</v>
      </c>
      <c r="AN46" s="349"/>
      <c r="AO46" s="351">
        <f t="shared" si="4"/>
        <v>44.574136008918614</v>
      </c>
      <c r="AP46" s="352"/>
      <c r="AQ46" s="306"/>
      <c r="AR46" s="353">
        <f t="shared" si="5"/>
        <v>775.26866399108133</v>
      </c>
      <c r="AS46" s="239"/>
      <c r="AT46" s="239"/>
      <c r="AU46" s="243"/>
    </row>
    <row r="47" spans="1:47" x14ac:dyDescent="0.35">
      <c r="A47" s="332">
        <v>46044</v>
      </c>
      <c r="B47" s="332"/>
      <c r="C47" s="333">
        <f>'ODOMETERS Tekrit'!J43</f>
        <v>400</v>
      </c>
      <c r="D47" s="334">
        <v>0.73909999999999998</v>
      </c>
      <c r="E47" s="335">
        <f>'Daily Tekrit'!$C47*'Daily Tekrit'!$D47</f>
        <v>295.64</v>
      </c>
      <c r="F47" s="336">
        <f>'ODOMETERS Tekrit'!K43</f>
        <v>185</v>
      </c>
      <c r="G47" s="334">
        <v>0.73909999999999998</v>
      </c>
      <c r="H47" s="335">
        <f>'Daily Tekrit'!$F47*'Daily Tekrit'!$G47</f>
        <v>136.73349999999999</v>
      </c>
      <c r="I47" s="336">
        <f>'Daily Tekrit'!$C47+'Daily Tekrit'!$F47</f>
        <v>585</v>
      </c>
      <c r="J47" s="337">
        <f>'Daily Tekrit'!$E47+'Daily Tekrit'!$H47</f>
        <v>432.37349999999998</v>
      </c>
      <c r="K47" s="338">
        <f>'ODOMETERS Tekrit'!L43</f>
        <v>367</v>
      </c>
      <c r="L47" s="339">
        <v>0.69569999999999999</v>
      </c>
      <c r="M47" s="340">
        <f>'Daily Tekrit'!$K47*'Daily Tekrit'!$L47</f>
        <v>255.3219</v>
      </c>
      <c r="N47" s="341"/>
      <c r="O47" s="341"/>
      <c r="P47" s="343"/>
      <c r="Q47" s="341"/>
      <c r="R47" s="343"/>
      <c r="S47" s="341">
        <v>10</v>
      </c>
      <c r="T47" s="341"/>
      <c r="U47" s="344">
        <f>'Daily Tekrit'!$J47+'Daily Tekrit'!$M47+SUM($N47:$T47)</f>
        <v>697.69539999999995</v>
      </c>
      <c r="V47" s="306"/>
      <c r="W47" s="356">
        <f>1000000/89700</f>
        <v>11.148272017837236</v>
      </c>
      <c r="X47" s="345"/>
      <c r="Y47" s="354"/>
      <c r="Z47" s="346"/>
      <c r="AA47" s="347"/>
      <c r="AB47" s="347"/>
      <c r="AC47" s="347"/>
      <c r="AD47" s="348">
        <f t="shared" si="2"/>
        <v>0</v>
      </c>
      <c r="AE47" s="349"/>
      <c r="AF47" s="349"/>
      <c r="AG47" s="349"/>
      <c r="AH47" s="349"/>
      <c r="AI47" s="349"/>
      <c r="AJ47" s="349"/>
      <c r="AK47" s="349"/>
      <c r="AL47" s="349"/>
      <c r="AM47" s="350">
        <f t="shared" si="3"/>
        <v>0</v>
      </c>
      <c r="AN47" s="349"/>
      <c r="AO47" s="351">
        <f t="shared" si="4"/>
        <v>11.148272017837236</v>
      </c>
      <c r="AP47" s="352"/>
      <c r="AQ47" s="306"/>
      <c r="AR47" s="353">
        <f t="shared" si="5"/>
        <v>686.54712798216269</v>
      </c>
      <c r="AS47" s="239"/>
      <c r="AT47" s="239"/>
      <c r="AU47" s="239"/>
    </row>
    <row r="48" spans="1:47" x14ac:dyDescent="0.35">
      <c r="A48" s="332">
        <v>46045</v>
      </c>
      <c r="B48" s="332" t="s">
        <v>24</v>
      </c>
      <c r="C48" s="333">
        <f>'ODOMETERS Tekrit'!J44</f>
        <v>141</v>
      </c>
      <c r="D48" s="334">
        <v>0.73909999999999998</v>
      </c>
      <c r="E48" s="335">
        <f>'Daily Tekrit'!$C48*'Daily Tekrit'!$D48</f>
        <v>104.2131</v>
      </c>
      <c r="F48" s="336">
        <f>'ODOMETERS Tekrit'!K44</f>
        <v>189</v>
      </c>
      <c r="G48" s="334">
        <v>0.73909999999999998</v>
      </c>
      <c r="H48" s="335">
        <f>'Daily Tekrit'!$F48*'Daily Tekrit'!$G48</f>
        <v>139.68989999999999</v>
      </c>
      <c r="I48" s="336">
        <f>'Daily Tekrit'!$C48+'Daily Tekrit'!$F48</f>
        <v>330</v>
      </c>
      <c r="J48" s="337">
        <f>'Daily Tekrit'!$E48+'Daily Tekrit'!$H48</f>
        <v>243.90299999999999</v>
      </c>
      <c r="K48" s="338">
        <f>'ODOMETERS Tekrit'!L44</f>
        <v>136</v>
      </c>
      <c r="L48" s="339">
        <v>0.69569999999999999</v>
      </c>
      <c r="M48" s="340">
        <f>'Daily Tekrit'!$K48*'Daily Tekrit'!$L48</f>
        <v>94.615200000000002</v>
      </c>
      <c r="N48" s="341"/>
      <c r="O48" s="341"/>
      <c r="P48" s="343"/>
      <c r="Q48" s="341"/>
      <c r="R48" s="343"/>
      <c r="S48" s="341"/>
      <c r="T48" s="341"/>
      <c r="U48" s="344">
        <f>'Daily Tekrit'!$J48+'Daily Tekrit'!$M48+SUM($N48:$T48)</f>
        <v>338.51819999999998</v>
      </c>
      <c r="V48" s="306"/>
      <c r="W48" s="356"/>
      <c r="X48" s="345"/>
      <c r="Y48" s="354"/>
      <c r="Z48" s="346"/>
      <c r="AA48" s="347"/>
      <c r="AB48" s="347"/>
      <c r="AC48" s="347"/>
      <c r="AD48" s="348">
        <f t="shared" si="2"/>
        <v>0</v>
      </c>
      <c r="AE48" s="349"/>
      <c r="AF48" s="349"/>
      <c r="AG48" s="349"/>
      <c r="AH48" s="349">
        <f>500/89.7</f>
        <v>5.5741360089186172</v>
      </c>
      <c r="AI48" s="349"/>
      <c r="AJ48" s="349"/>
      <c r="AK48" s="349"/>
      <c r="AL48" s="349"/>
      <c r="AM48" s="350">
        <f t="shared" si="3"/>
        <v>5.5741360089186172</v>
      </c>
      <c r="AN48" s="349"/>
      <c r="AO48" s="351">
        <f t="shared" si="4"/>
        <v>5.5741360089186172</v>
      </c>
      <c r="AP48" s="352"/>
      <c r="AQ48" s="306"/>
      <c r="AR48" s="353">
        <f t="shared" si="5"/>
        <v>332.94406399108135</v>
      </c>
      <c r="AS48" s="239"/>
      <c r="AT48" s="239"/>
      <c r="AU48" s="239"/>
    </row>
    <row r="49" spans="1:47" x14ac:dyDescent="0.35">
      <c r="A49" s="332">
        <v>46045</v>
      </c>
      <c r="B49" s="332" t="s">
        <v>25</v>
      </c>
      <c r="C49" s="333">
        <f>'ODOMETERS Tekrit'!J45</f>
        <v>99</v>
      </c>
      <c r="D49" s="334">
        <v>0.74409999999999998</v>
      </c>
      <c r="E49" s="335">
        <f>'Daily Tekrit'!$C49*'Daily Tekrit'!$D49</f>
        <v>73.665899999999993</v>
      </c>
      <c r="F49" s="336">
        <f>'ODOMETERS Tekrit'!K45</f>
        <v>137</v>
      </c>
      <c r="G49" s="334">
        <v>0.74409999999999998</v>
      </c>
      <c r="H49" s="335">
        <f>'Daily Tekrit'!$F49*'Daily Tekrit'!$G49</f>
        <v>101.9417</v>
      </c>
      <c r="I49" s="336">
        <f>'Daily Tekrit'!$C49+'Daily Tekrit'!$F49</f>
        <v>236</v>
      </c>
      <c r="J49" s="337">
        <f>'Daily Tekrit'!$E49+'Daily Tekrit'!$H49</f>
        <v>175.60759999999999</v>
      </c>
      <c r="K49" s="338">
        <f>'ODOMETERS Tekrit'!L45</f>
        <v>215</v>
      </c>
      <c r="L49" s="339">
        <v>0.70350000000000001</v>
      </c>
      <c r="M49" s="340">
        <f>'Daily Tekrit'!$K49*'Daily Tekrit'!$L49</f>
        <v>151.2525</v>
      </c>
      <c r="N49" s="341"/>
      <c r="O49" s="341"/>
      <c r="P49" s="343"/>
      <c r="Q49" s="341"/>
      <c r="R49" s="343"/>
      <c r="S49" s="341"/>
      <c r="T49" s="341"/>
      <c r="U49" s="344">
        <f>'Daily Tekrit'!$J49+'Daily Tekrit'!$M49+SUM($N49:$T49)</f>
        <v>326.86009999999999</v>
      </c>
      <c r="V49" s="306"/>
      <c r="W49" s="356"/>
      <c r="X49" s="345"/>
      <c r="Y49" s="354"/>
      <c r="Z49" s="346"/>
      <c r="AA49" s="347"/>
      <c r="AB49" s="347"/>
      <c r="AC49" s="347"/>
      <c r="AD49" s="348">
        <f t="shared" si="2"/>
        <v>0</v>
      </c>
      <c r="AE49" s="349"/>
      <c r="AF49" s="349"/>
      <c r="AG49" s="349"/>
      <c r="AH49" s="349"/>
      <c r="AI49" s="349"/>
      <c r="AJ49" s="349">
        <v>3</v>
      </c>
      <c r="AK49" s="349"/>
      <c r="AL49" s="349"/>
      <c r="AM49" s="350">
        <f t="shared" si="3"/>
        <v>3</v>
      </c>
      <c r="AN49" s="349"/>
      <c r="AO49" s="351">
        <f t="shared" si="4"/>
        <v>3</v>
      </c>
      <c r="AP49" s="352"/>
      <c r="AQ49" s="306"/>
      <c r="AR49" s="353">
        <f t="shared" si="5"/>
        <v>323.86009999999999</v>
      </c>
      <c r="AS49" s="239"/>
      <c r="AT49" s="239"/>
      <c r="AU49" s="239"/>
    </row>
    <row r="50" spans="1:47" x14ac:dyDescent="0.35">
      <c r="A50" s="332">
        <v>46046</v>
      </c>
      <c r="B50" s="332"/>
      <c r="C50" s="333">
        <f>'ODOMETERS Tekrit'!J46</f>
        <v>254</v>
      </c>
      <c r="D50" s="334">
        <v>0.74409999999999998</v>
      </c>
      <c r="E50" s="335">
        <f>'Daily Tekrit'!$C50*'Daily Tekrit'!$D50</f>
        <v>189.00139999999999</v>
      </c>
      <c r="F50" s="336">
        <f>'ODOMETERS Tekrit'!K46</f>
        <v>212</v>
      </c>
      <c r="G50" s="334">
        <v>0.74409999999999998</v>
      </c>
      <c r="H50" s="335">
        <f>'Daily Tekrit'!$F50*'Daily Tekrit'!$G50</f>
        <v>157.7492</v>
      </c>
      <c r="I50" s="336">
        <f>'Daily Tekrit'!$C50+'Daily Tekrit'!$F50</f>
        <v>466</v>
      </c>
      <c r="J50" s="337">
        <f>'Daily Tekrit'!$E50+'Daily Tekrit'!$H50</f>
        <v>346.75059999999996</v>
      </c>
      <c r="K50" s="338">
        <f>'ODOMETERS Tekrit'!L46</f>
        <v>327</v>
      </c>
      <c r="L50" s="339">
        <v>0.70350000000000001</v>
      </c>
      <c r="M50" s="340">
        <f>'Daily Tekrit'!$K50*'Daily Tekrit'!$L50</f>
        <v>230.0445</v>
      </c>
      <c r="N50" s="341">
        <f>900/89.7</f>
        <v>10.033444816053512</v>
      </c>
      <c r="O50" s="341"/>
      <c r="P50" s="343"/>
      <c r="Q50" s="341"/>
      <c r="R50" s="343"/>
      <c r="S50" s="341">
        <v>14</v>
      </c>
      <c r="T50" s="341"/>
      <c r="U50" s="344">
        <f>'Daily Tekrit'!$J50+'Daily Tekrit'!$M50+SUM($N50:$T50)</f>
        <v>600.82854481605341</v>
      </c>
      <c r="V50" s="306"/>
      <c r="W50" s="356">
        <f>690/89.7</f>
        <v>7.6923076923076916</v>
      </c>
      <c r="X50" s="345"/>
      <c r="Y50" s="354"/>
      <c r="Z50" s="346"/>
      <c r="AA50" s="347"/>
      <c r="AB50" s="347"/>
      <c r="AC50" s="347"/>
      <c r="AD50" s="348">
        <f t="shared" si="2"/>
        <v>0</v>
      </c>
      <c r="AE50" s="349"/>
      <c r="AF50" s="349"/>
      <c r="AG50" s="349"/>
      <c r="AH50" s="349">
        <v>6</v>
      </c>
      <c r="AI50" s="349"/>
      <c r="AJ50" s="349"/>
      <c r="AK50" s="349"/>
      <c r="AL50" s="349"/>
      <c r="AM50" s="350">
        <f t="shared" si="3"/>
        <v>6</v>
      </c>
      <c r="AN50" s="349"/>
      <c r="AO50" s="351">
        <f t="shared" si="4"/>
        <v>13.692307692307692</v>
      </c>
      <c r="AP50" s="352"/>
      <c r="AQ50" s="306"/>
      <c r="AR50" s="353">
        <f t="shared" si="5"/>
        <v>587.13623712374567</v>
      </c>
      <c r="AS50" s="239"/>
      <c r="AT50" s="239"/>
      <c r="AU50" s="239"/>
    </row>
    <row r="51" spans="1:47" x14ac:dyDescent="0.35">
      <c r="A51" s="332">
        <v>46047</v>
      </c>
      <c r="B51" s="332"/>
      <c r="C51" s="333">
        <f>'ODOMETERS Tekrit'!J47</f>
        <v>354</v>
      </c>
      <c r="D51" s="334">
        <v>0.74409999999999998</v>
      </c>
      <c r="E51" s="335">
        <f>'Daily Tekrit'!$C51*'Daily Tekrit'!$D51</f>
        <v>263.41140000000001</v>
      </c>
      <c r="F51" s="336">
        <f>'ODOMETERS Tekrit'!K47</f>
        <v>152</v>
      </c>
      <c r="G51" s="334">
        <v>0.74409999999999998</v>
      </c>
      <c r="H51" s="335">
        <f>'Daily Tekrit'!$F51*'Daily Tekrit'!$G51</f>
        <v>113.1032</v>
      </c>
      <c r="I51" s="336">
        <f>'Daily Tekrit'!$C51+'Daily Tekrit'!$F51</f>
        <v>506</v>
      </c>
      <c r="J51" s="337">
        <f>'Daily Tekrit'!$E51+'Daily Tekrit'!$H51</f>
        <v>376.51460000000003</v>
      </c>
      <c r="K51" s="338">
        <f>'ODOMETERS Tekrit'!L47</f>
        <v>458</v>
      </c>
      <c r="L51" s="339">
        <v>0.70350000000000001</v>
      </c>
      <c r="M51" s="340">
        <f>'Daily Tekrit'!$K51*'Daily Tekrit'!$L51</f>
        <v>322.20300000000003</v>
      </c>
      <c r="N51" s="341">
        <f>300/89.7</f>
        <v>3.3444816053511706</v>
      </c>
      <c r="O51" s="341"/>
      <c r="P51" s="343"/>
      <c r="Q51" s="341"/>
      <c r="R51" s="343"/>
      <c r="S51" s="341"/>
      <c r="T51" s="341">
        <f>70/89.7</f>
        <v>0.78037904124860646</v>
      </c>
      <c r="U51" s="344">
        <f>'Daily Tekrit'!$J51+'Daily Tekrit'!$M51+SUM($N51:$T51)</f>
        <v>702.84246064659987</v>
      </c>
      <c r="V51" s="306"/>
      <c r="W51" s="356">
        <f>1000/89.7</f>
        <v>11.148272017837234</v>
      </c>
      <c r="X51" s="345">
        <f>10*0.7441</f>
        <v>7.4409999999999998</v>
      </c>
      <c r="Y51" s="354">
        <v>-3</v>
      </c>
      <c r="Z51" s="346"/>
      <c r="AA51" s="347"/>
      <c r="AB51" s="347"/>
      <c r="AC51" s="347"/>
      <c r="AD51" s="348">
        <f t="shared" si="2"/>
        <v>0</v>
      </c>
      <c r="AE51" s="349"/>
      <c r="AF51" s="349"/>
      <c r="AG51" s="349"/>
      <c r="AH51" s="349"/>
      <c r="AI51" s="349"/>
      <c r="AJ51" s="349"/>
      <c r="AK51" s="349"/>
      <c r="AL51" s="349"/>
      <c r="AM51" s="350">
        <f t="shared" si="3"/>
        <v>0</v>
      </c>
      <c r="AN51" s="349"/>
      <c r="AO51" s="351">
        <f t="shared" si="4"/>
        <v>15.589272017837235</v>
      </c>
      <c r="AP51" s="352"/>
      <c r="AQ51" s="306"/>
      <c r="AR51" s="353">
        <f t="shared" si="5"/>
        <v>687.25318862876259</v>
      </c>
      <c r="AS51" s="239"/>
      <c r="AT51" s="239"/>
      <c r="AU51" s="239"/>
    </row>
    <row r="52" spans="1:47" x14ac:dyDescent="0.35">
      <c r="A52" s="332">
        <v>46048</v>
      </c>
      <c r="B52" s="332"/>
      <c r="C52" s="333">
        <f>'ODOMETERS Tekrit'!J48</f>
        <v>417</v>
      </c>
      <c r="D52" s="334">
        <v>0.74409999999999998</v>
      </c>
      <c r="E52" s="335">
        <f>'Daily Tekrit'!$C52*'Daily Tekrit'!$D52</f>
        <v>310.28969999999998</v>
      </c>
      <c r="F52" s="336">
        <f>'ODOMETERS Tekrit'!K48</f>
        <v>188</v>
      </c>
      <c r="G52" s="334">
        <v>0.74409999999999998</v>
      </c>
      <c r="H52" s="335">
        <f>'Daily Tekrit'!$F52*'Daily Tekrit'!$G52</f>
        <v>139.89079999999998</v>
      </c>
      <c r="I52" s="336">
        <f>'Daily Tekrit'!$C52+'Daily Tekrit'!$F52</f>
        <v>605</v>
      </c>
      <c r="J52" s="337">
        <f>'Daily Tekrit'!$E52+'Daily Tekrit'!$H52</f>
        <v>450.18049999999994</v>
      </c>
      <c r="K52" s="338">
        <f>'ODOMETERS Tekrit'!L48</f>
        <v>366</v>
      </c>
      <c r="L52" s="339">
        <v>0.70350000000000001</v>
      </c>
      <c r="M52" s="340">
        <f>'Daily Tekrit'!$K52*'Daily Tekrit'!$L52</f>
        <v>257.48099999999999</v>
      </c>
      <c r="N52" s="341"/>
      <c r="O52" s="341"/>
      <c r="P52" s="343"/>
      <c r="Q52" s="341"/>
      <c r="R52" s="343"/>
      <c r="S52" s="341">
        <f>500/89.7</f>
        <v>5.5741360089186172</v>
      </c>
      <c r="T52" s="341"/>
      <c r="U52" s="344">
        <f>'Daily Tekrit'!$J52+'Daily Tekrit'!$M52+SUM($N52:$T52)</f>
        <v>713.2356360089185</v>
      </c>
      <c r="V52" s="306"/>
      <c r="W52" s="356">
        <f>400/89.7</f>
        <v>4.4593088071348941</v>
      </c>
      <c r="X52" s="345"/>
      <c r="Y52" s="354">
        <v>8</v>
      </c>
      <c r="Z52" s="346"/>
      <c r="AA52" s="347"/>
      <c r="AB52" s="347"/>
      <c r="AC52" s="347"/>
      <c r="AD52" s="348">
        <f t="shared" si="2"/>
        <v>0</v>
      </c>
      <c r="AE52" s="349"/>
      <c r="AF52" s="349"/>
      <c r="AG52" s="349"/>
      <c r="AH52" s="349"/>
      <c r="AI52" s="349"/>
      <c r="AJ52" s="349">
        <f>300/89.7</f>
        <v>3.3444816053511706</v>
      </c>
      <c r="AK52" s="349"/>
      <c r="AL52" s="349"/>
      <c r="AM52" s="350">
        <f t="shared" si="3"/>
        <v>3.3444816053511706</v>
      </c>
      <c r="AN52" s="349"/>
      <c r="AO52" s="351">
        <f t="shared" si="4"/>
        <v>15.803790412486064</v>
      </c>
      <c r="AP52" s="352"/>
      <c r="AQ52" s="306"/>
      <c r="AR52" s="353">
        <f t="shared" si="5"/>
        <v>697.43184559643248</v>
      </c>
      <c r="AS52" s="239"/>
      <c r="AT52" s="239"/>
      <c r="AU52" s="243"/>
    </row>
    <row r="53" spans="1:47" x14ac:dyDescent="0.35">
      <c r="A53" s="332">
        <v>46049</v>
      </c>
      <c r="B53" s="332" t="s">
        <v>24</v>
      </c>
      <c r="C53" s="333">
        <f>'ODOMETERS Tekrit'!J49</f>
        <v>318</v>
      </c>
      <c r="D53" s="334">
        <v>0.74409999999999998</v>
      </c>
      <c r="E53" s="335">
        <f>'Daily Tekrit'!$C53*'Daily Tekrit'!$D53</f>
        <v>236.62379999999999</v>
      </c>
      <c r="F53" s="336">
        <f>'ODOMETERS Tekrit'!K49</f>
        <v>112</v>
      </c>
      <c r="G53" s="334">
        <v>0.74409999999999998</v>
      </c>
      <c r="H53" s="335">
        <f>'Daily Tekrit'!$F53*'Daily Tekrit'!$G53</f>
        <v>83.339200000000005</v>
      </c>
      <c r="I53" s="336">
        <f>'Daily Tekrit'!$C53+'Daily Tekrit'!$F53</f>
        <v>430</v>
      </c>
      <c r="J53" s="337">
        <f>'Daily Tekrit'!$E53+'Daily Tekrit'!$H53</f>
        <v>319.96299999999997</v>
      </c>
      <c r="K53" s="338">
        <f>'ODOMETERS Tekrit'!L49</f>
        <v>115</v>
      </c>
      <c r="L53" s="339">
        <v>0.70350000000000001</v>
      </c>
      <c r="M53" s="340">
        <f>'Daily Tekrit'!$K53*'Daily Tekrit'!$L53</f>
        <v>80.902500000000003</v>
      </c>
      <c r="N53" s="341"/>
      <c r="O53" s="341"/>
      <c r="P53" s="343"/>
      <c r="Q53" s="341"/>
      <c r="R53" s="343"/>
      <c r="S53" s="341">
        <f>1000/89.7</f>
        <v>11.148272017837234</v>
      </c>
      <c r="T53" s="341"/>
      <c r="U53" s="344">
        <f>'Daily Tekrit'!$J53+'Daily Tekrit'!$M53+SUM($N53:$T53)</f>
        <v>412.01377201783725</v>
      </c>
      <c r="V53" s="306"/>
      <c r="W53" s="356"/>
      <c r="X53" s="345"/>
      <c r="Y53" s="354"/>
      <c r="Z53" s="346"/>
      <c r="AA53" s="347"/>
      <c r="AB53" s="347"/>
      <c r="AC53" s="347"/>
      <c r="AD53" s="348">
        <f t="shared" si="2"/>
        <v>0</v>
      </c>
      <c r="AE53" s="349"/>
      <c r="AF53" s="349"/>
      <c r="AG53" s="349"/>
      <c r="AH53" s="349">
        <f>560/89.7</f>
        <v>6.2430323299888517</v>
      </c>
      <c r="AI53" s="349"/>
      <c r="AJ53" s="349"/>
      <c r="AK53" s="349"/>
      <c r="AL53" s="349"/>
      <c r="AM53" s="350">
        <f t="shared" si="3"/>
        <v>6.2430323299888517</v>
      </c>
      <c r="AN53" s="349"/>
      <c r="AO53" s="351">
        <f t="shared" si="4"/>
        <v>6.2430323299888517</v>
      </c>
      <c r="AP53" s="352"/>
      <c r="AQ53" s="306"/>
      <c r="AR53" s="353">
        <f t="shared" si="5"/>
        <v>405.77073968784839</v>
      </c>
      <c r="AS53" s="239"/>
      <c r="AT53" s="239"/>
      <c r="AU53" s="239"/>
    </row>
    <row r="54" spans="1:47" x14ac:dyDescent="0.35">
      <c r="A54" s="332">
        <v>46049</v>
      </c>
      <c r="B54" s="332" t="s">
        <v>25</v>
      </c>
      <c r="C54" s="333">
        <f>'ODOMETERS Tekrit'!J50</f>
        <v>173</v>
      </c>
      <c r="D54" s="334">
        <v>0.748</v>
      </c>
      <c r="E54" s="335">
        <f>'Daily Tekrit'!$C54*'Daily Tekrit'!$D54</f>
        <v>129.404</v>
      </c>
      <c r="F54" s="336">
        <f>'ODOMETERS Tekrit'!K50</f>
        <v>41</v>
      </c>
      <c r="G54" s="334">
        <v>0.748</v>
      </c>
      <c r="H54" s="335">
        <f>'Daily Tekrit'!$F54*'Daily Tekrit'!$G54</f>
        <v>30.667999999999999</v>
      </c>
      <c r="I54" s="336">
        <f>'Daily Tekrit'!$C54+'Daily Tekrit'!$F54</f>
        <v>214</v>
      </c>
      <c r="J54" s="337">
        <f>'Daily Tekrit'!$E54+'Daily Tekrit'!$H54</f>
        <v>160.072</v>
      </c>
      <c r="K54" s="338">
        <f>'ODOMETERS Tekrit'!L50</f>
        <v>271</v>
      </c>
      <c r="L54" s="339">
        <v>0.70850000000000002</v>
      </c>
      <c r="M54" s="340">
        <f>'Daily Tekrit'!$K54*'Daily Tekrit'!$L54</f>
        <v>192.0035</v>
      </c>
      <c r="N54" s="341"/>
      <c r="O54" s="341"/>
      <c r="P54" s="343"/>
      <c r="Q54" s="341"/>
      <c r="R54" s="343"/>
      <c r="S54" s="341"/>
      <c r="T54" s="341"/>
      <c r="U54" s="344">
        <f>'Daily Tekrit'!$J54+'Daily Tekrit'!$M54+SUM($N54:$T54)</f>
        <v>352.07550000000003</v>
      </c>
      <c r="V54" s="306"/>
      <c r="W54" s="356"/>
      <c r="X54" s="345"/>
      <c r="Y54" s="354"/>
      <c r="Z54" s="346"/>
      <c r="AA54" s="347"/>
      <c r="AB54" s="347"/>
      <c r="AC54" s="347"/>
      <c r="AD54" s="348">
        <f t="shared" si="2"/>
        <v>0</v>
      </c>
      <c r="AE54" s="349"/>
      <c r="AF54" s="349"/>
      <c r="AG54" s="349"/>
      <c r="AH54" s="349"/>
      <c r="AI54" s="349"/>
      <c r="AJ54" s="349"/>
      <c r="AK54" s="349"/>
      <c r="AL54" s="349"/>
      <c r="AM54" s="350">
        <f t="shared" si="3"/>
        <v>0</v>
      </c>
      <c r="AN54" s="349"/>
      <c r="AO54" s="351">
        <f t="shared" si="4"/>
        <v>0</v>
      </c>
      <c r="AP54" s="352"/>
      <c r="AQ54" s="306"/>
      <c r="AR54" s="353">
        <f t="shared" si="5"/>
        <v>352.07550000000003</v>
      </c>
      <c r="AS54" s="239"/>
      <c r="AT54" s="239"/>
      <c r="AU54" s="239"/>
    </row>
    <row r="55" spans="1:47" x14ac:dyDescent="0.35">
      <c r="A55" s="332">
        <v>46050</v>
      </c>
      <c r="B55" s="332"/>
      <c r="C55" s="333">
        <f>'ODOMETERS Tekrit'!J51</f>
        <v>399</v>
      </c>
      <c r="D55" s="334">
        <v>0.748</v>
      </c>
      <c r="E55" s="335">
        <f>'Daily Tekrit'!$C55*'Daily Tekrit'!$D55</f>
        <v>298.452</v>
      </c>
      <c r="F55" s="336">
        <f>'ODOMETERS Tekrit'!K51</f>
        <v>107</v>
      </c>
      <c r="G55" s="334">
        <v>0.748</v>
      </c>
      <c r="H55" s="335">
        <f>'Daily Tekrit'!$F55*'Daily Tekrit'!$G55</f>
        <v>80.036000000000001</v>
      </c>
      <c r="I55" s="336">
        <f>'Daily Tekrit'!$C55+'Daily Tekrit'!$F55</f>
        <v>506</v>
      </c>
      <c r="J55" s="337">
        <f>'Daily Tekrit'!$E55+'Daily Tekrit'!$H55</f>
        <v>378.488</v>
      </c>
      <c r="K55" s="338">
        <f>'ODOMETERS Tekrit'!L51</f>
        <v>441</v>
      </c>
      <c r="L55" s="339">
        <v>0.70850000000000002</v>
      </c>
      <c r="M55" s="340">
        <f>'Daily Tekrit'!$K55*'Daily Tekrit'!$L55</f>
        <v>312.44850000000002</v>
      </c>
      <c r="N55" s="341">
        <f>300/89.7</f>
        <v>3.3444816053511706</v>
      </c>
      <c r="O55" s="341"/>
      <c r="P55" s="343"/>
      <c r="Q55" s="341"/>
      <c r="R55" s="343"/>
      <c r="S55" s="341"/>
      <c r="T55" s="341"/>
      <c r="U55" s="344">
        <f>'Daily Tekrit'!$J55+'Daily Tekrit'!$M55+SUM($N55:$T55)</f>
        <v>694.28098160535114</v>
      </c>
      <c r="V55" s="306"/>
      <c r="W55" s="356">
        <f>5+500/89.7</f>
        <v>10.574136008918618</v>
      </c>
      <c r="X55" s="345">
        <f>180*0.7085</f>
        <v>127.53</v>
      </c>
      <c r="Y55" s="354"/>
      <c r="Z55" s="346"/>
      <c r="AA55" s="347"/>
      <c r="AB55" s="347"/>
      <c r="AC55" s="347"/>
      <c r="AD55" s="348">
        <f t="shared" si="2"/>
        <v>0</v>
      </c>
      <c r="AE55" s="349"/>
      <c r="AF55" s="349"/>
      <c r="AG55" s="349"/>
      <c r="AH55" s="349"/>
      <c r="AI55" s="349"/>
      <c r="AJ55" s="349">
        <f>2000/89.7</f>
        <v>22.296544035674469</v>
      </c>
      <c r="AK55" s="349"/>
      <c r="AL55" s="349"/>
      <c r="AM55" s="350">
        <f t="shared" si="3"/>
        <v>22.296544035674469</v>
      </c>
      <c r="AN55" s="349"/>
      <c r="AO55" s="351">
        <f t="shared" si="4"/>
        <v>160.40068004459309</v>
      </c>
      <c r="AP55" s="352"/>
      <c r="AQ55" s="306"/>
      <c r="AR55" s="353">
        <f t="shared" si="5"/>
        <v>533.88030156075808</v>
      </c>
      <c r="AS55" s="239"/>
      <c r="AT55" s="239"/>
      <c r="AU55" s="239"/>
    </row>
    <row r="56" spans="1:47" x14ac:dyDescent="0.35">
      <c r="A56" s="332">
        <v>46051</v>
      </c>
      <c r="B56" s="332"/>
      <c r="C56" s="333">
        <f>'ODOMETERS Tekrit'!J52</f>
        <v>388</v>
      </c>
      <c r="D56" s="334">
        <v>0.748</v>
      </c>
      <c r="E56" s="335">
        <f>'Daily Tekrit'!$C56*'Daily Tekrit'!$D56</f>
        <v>290.22399999999999</v>
      </c>
      <c r="F56" s="336">
        <f>'ODOMETERS Tekrit'!K52</f>
        <v>219</v>
      </c>
      <c r="G56" s="334">
        <v>0.748</v>
      </c>
      <c r="H56" s="335">
        <f>'Daily Tekrit'!$F56*'Daily Tekrit'!$G56</f>
        <v>163.81200000000001</v>
      </c>
      <c r="I56" s="336">
        <f>'Daily Tekrit'!$C56+'Daily Tekrit'!$F56</f>
        <v>607</v>
      </c>
      <c r="J56" s="337">
        <f>'Daily Tekrit'!$E56+'Daily Tekrit'!$H56</f>
        <v>454.036</v>
      </c>
      <c r="K56" s="338">
        <f>'ODOMETERS Tekrit'!L52</f>
        <v>327</v>
      </c>
      <c r="L56" s="339">
        <v>0.70850000000000002</v>
      </c>
      <c r="M56" s="340">
        <f>'Daily Tekrit'!$K56*'Daily Tekrit'!$L56</f>
        <v>231.67950000000002</v>
      </c>
      <c r="N56" s="341"/>
      <c r="O56" s="341"/>
      <c r="P56" s="343"/>
      <c r="Q56" s="341"/>
      <c r="R56" s="343"/>
      <c r="S56" s="341"/>
      <c r="T56" s="341"/>
      <c r="U56" s="344">
        <f>'Daily Tekrit'!$J56+'Daily Tekrit'!$M56+SUM($N56:$T56)</f>
        <v>685.71550000000002</v>
      </c>
      <c r="V56" s="306"/>
      <c r="W56" s="356">
        <f>11+10</f>
        <v>21</v>
      </c>
      <c r="X56" s="345"/>
      <c r="Y56" s="354">
        <v>1</v>
      </c>
      <c r="Z56" s="346"/>
      <c r="AA56" s="347"/>
      <c r="AB56" s="347"/>
      <c r="AC56" s="347"/>
      <c r="AD56" s="348">
        <f t="shared" si="2"/>
        <v>0</v>
      </c>
      <c r="AE56" s="349"/>
      <c r="AF56" s="349"/>
      <c r="AG56" s="349"/>
      <c r="AH56" s="349"/>
      <c r="AI56" s="349"/>
      <c r="AJ56" s="349"/>
      <c r="AK56" s="349"/>
      <c r="AL56" s="349">
        <f>200/89.7+3</f>
        <v>5.229654403567447</v>
      </c>
      <c r="AM56" s="350">
        <f t="shared" si="3"/>
        <v>5.229654403567447</v>
      </c>
      <c r="AN56" s="349"/>
      <c r="AO56" s="351">
        <f t="shared" si="4"/>
        <v>27.229654403567448</v>
      </c>
      <c r="AP56" s="352"/>
      <c r="AQ56" s="306"/>
      <c r="AR56" s="353">
        <f t="shared" si="5"/>
        <v>658.48584559643257</v>
      </c>
      <c r="AS56" s="239"/>
      <c r="AT56" s="239"/>
      <c r="AU56" s="243"/>
    </row>
    <row r="57" spans="1:47" x14ac:dyDescent="0.35">
      <c r="A57" s="332">
        <v>46052</v>
      </c>
      <c r="B57" s="362" t="s">
        <v>24</v>
      </c>
      <c r="C57" s="333">
        <f>'ODOMETERS Tekrit'!J53</f>
        <v>213</v>
      </c>
      <c r="D57" s="334">
        <v>0.748</v>
      </c>
      <c r="E57" s="335">
        <f>'Daily Tekrit'!$C57*'Daily Tekrit'!$D57</f>
        <v>159.32400000000001</v>
      </c>
      <c r="F57" s="336">
        <f>'ODOMETERS Tekrit'!K53</f>
        <v>194</v>
      </c>
      <c r="G57" s="334">
        <v>0.748</v>
      </c>
      <c r="H57" s="335">
        <f>'Daily Tekrit'!$F57*'Daily Tekrit'!$G57</f>
        <v>145.11199999999999</v>
      </c>
      <c r="I57" s="336">
        <f>'Daily Tekrit'!$C57+'Daily Tekrit'!$F57</f>
        <v>407</v>
      </c>
      <c r="J57" s="337">
        <f>'Daily Tekrit'!$E57+'Daily Tekrit'!$H57</f>
        <v>304.43600000000004</v>
      </c>
      <c r="K57" s="338">
        <f>'ODOMETERS Tekrit'!L53</f>
        <v>538</v>
      </c>
      <c r="L57" s="339">
        <v>0.70850000000000002</v>
      </c>
      <c r="M57" s="340">
        <f>'Daily Tekrit'!$K57*'Daily Tekrit'!$L57</f>
        <v>381.173</v>
      </c>
      <c r="N57" s="363"/>
      <c r="O57" s="363"/>
      <c r="P57" s="364"/>
      <c r="Q57" s="363"/>
      <c r="R57" s="364"/>
      <c r="S57" s="363"/>
      <c r="T57" s="363">
        <f>33+10</f>
        <v>43</v>
      </c>
      <c r="U57" s="344">
        <f>'Daily Tekrit'!$J57+'Daily Tekrit'!$M57+SUM($N57:$T57)</f>
        <v>728.60900000000004</v>
      </c>
      <c r="V57" s="365"/>
      <c r="W57" s="366">
        <f>1000/89.7</f>
        <v>11.148272017837234</v>
      </c>
      <c r="X57" s="367">
        <f>400*0.7085+45*0.748</f>
        <v>317.06000000000006</v>
      </c>
      <c r="Y57" s="367"/>
      <c r="Z57" s="346"/>
      <c r="AA57" s="347"/>
      <c r="AB57" s="347"/>
      <c r="AC57" s="347"/>
      <c r="AD57" s="348">
        <f>SUM(Z57:AC57)</f>
        <v>0</v>
      </c>
      <c r="AE57" s="349"/>
      <c r="AF57" s="349"/>
      <c r="AG57" s="349"/>
      <c r="AH57" s="349"/>
      <c r="AI57" s="349"/>
      <c r="AJ57" s="349"/>
      <c r="AK57" s="349"/>
      <c r="AL57" s="349"/>
      <c r="AM57" s="350">
        <f t="shared" si="3"/>
        <v>0</v>
      </c>
      <c r="AN57" s="349"/>
      <c r="AO57" s="368">
        <f t="shared" si="4"/>
        <v>328.20827201783732</v>
      </c>
      <c r="AP57" s="352"/>
      <c r="AQ57" s="369"/>
      <c r="AR57" s="370">
        <f t="shared" si="5"/>
        <v>400.40072798216272</v>
      </c>
      <c r="AS57" s="239"/>
      <c r="AT57" s="239"/>
      <c r="AU57" s="239"/>
    </row>
    <row r="58" spans="1:47" x14ac:dyDescent="0.35">
      <c r="A58" s="332">
        <v>46052</v>
      </c>
      <c r="B58" s="371" t="s">
        <v>25</v>
      </c>
      <c r="C58" s="333">
        <f>'ODOMETERS Tekrit'!J54</f>
        <v>157</v>
      </c>
      <c r="D58" s="334">
        <v>0.76980000000000004</v>
      </c>
      <c r="E58" s="335">
        <f>'Daily Tekrit'!$C58*'Daily Tekrit'!$D58</f>
        <v>120.85860000000001</v>
      </c>
      <c r="F58" s="336">
        <f>'ODOMETERS Tekrit'!K54</f>
        <v>150</v>
      </c>
      <c r="G58" s="334">
        <v>0.76980000000000004</v>
      </c>
      <c r="H58" s="335">
        <f>'Daily Tekrit'!$F58*'Daily Tekrit'!$G58</f>
        <v>115.47</v>
      </c>
      <c r="I58" s="336">
        <f>'Daily Tekrit'!$C58+'Daily Tekrit'!$F58</f>
        <v>307</v>
      </c>
      <c r="J58" s="337">
        <f>'Daily Tekrit'!$E58+'Daily Tekrit'!$H58</f>
        <v>236.32859999999999</v>
      </c>
      <c r="K58" s="338">
        <f>'ODOMETERS Tekrit'!L54</f>
        <v>209</v>
      </c>
      <c r="L58" s="339">
        <v>0.72019999999999995</v>
      </c>
      <c r="M58" s="340">
        <f>'Daily Tekrit'!$K58*'Daily Tekrit'!$L58</f>
        <v>150.52179999999998</v>
      </c>
      <c r="N58" s="341"/>
      <c r="O58" s="341"/>
      <c r="P58" s="343"/>
      <c r="Q58" s="341"/>
      <c r="R58" s="343"/>
      <c r="S58" s="341"/>
      <c r="T58" s="341">
        <v>1</v>
      </c>
      <c r="U58" s="344">
        <f>'Daily Tekrit'!$J58+'Daily Tekrit'!$M58+SUM($N58:$T58)</f>
        <v>387.85039999999998</v>
      </c>
      <c r="V58" s="306"/>
      <c r="W58" s="356">
        <v>20</v>
      </c>
      <c r="X58" s="345">
        <v>7.7</v>
      </c>
      <c r="Y58" s="354">
        <v>-1</v>
      </c>
      <c r="Z58" s="346"/>
      <c r="AA58" s="347"/>
      <c r="AB58" s="347"/>
      <c r="AC58" s="347"/>
      <c r="AD58" s="348">
        <f t="shared" si="2"/>
        <v>0</v>
      </c>
      <c r="AE58" s="349"/>
      <c r="AF58" s="349"/>
      <c r="AG58" s="349"/>
      <c r="AH58" s="349">
        <v>1</v>
      </c>
      <c r="AI58" s="349"/>
      <c r="AJ58" s="349">
        <v>3</v>
      </c>
      <c r="AK58" s="349"/>
      <c r="AL58" s="349"/>
      <c r="AM58" s="350">
        <f t="shared" si="3"/>
        <v>4</v>
      </c>
      <c r="AN58" s="349"/>
      <c r="AO58" s="351">
        <f t="shared" si="4"/>
        <v>30.7</v>
      </c>
      <c r="AP58" s="352"/>
      <c r="AQ58" s="306"/>
      <c r="AR58" s="353">
        <f t="shared" si="5"/>
        <v>357.15039999999999</v>
      </c>
      <c r="AS58" s="239"/>
      <c r="AT58" s="239"/>
      <c r="AU58" s="239"/>
    </row>
    <row r="59" spans="1:47" x14ac:dyDescent="0.35">
      <c r="A59" s="332">
        <v>46053</v>
      </c>
      <c r="B59" s="371"/>
      <c r="C59" s="372">
        <f>'ODOMETERS Tekrit'!J55</f>
        <v>386</v>
      </c>
      <c r="D59" s="334">
        <v>0.76980000000000004</v>
      </c>
      <c r="E59" s="335">
        <f>'Daily Tekrit'!$C59*'Daily Tekrit'!$D59</f>
        <v>297.14280000000002</v>
      </c>
      <c r="F59" s="336">
        <f>'ODOMETERS Tekrit'!K55</f>
        <v>407</v>
      </c>
      <c r="G59" s="334">
        <v>0.76980000000000004</v>
      </c>
      <c r="H59" s="335">
        <f>'Daily Tekrit'!$F59*'Daily Tekrit'!$G59</f>
        <v>313.30860000000001</v>
      </c>
      <c r="I59" s="336">
        <f>'Daily Tekrit'!$C59+'Daily Tekrit'!$F59</f>
        <v>793</v>
      </c>
      <c r="J59" s="337">
        <f>'Daily Tekrit'!$E59+'Daily Tekrit'!$H59</f>
        <v>610.45140000000004</v>
      </c>
      <c r="K59" s="338">
        <f>'ODOMETERS Tekrit'!L55</f>
        <v>423</v>
      </c>
      <c r="L59" s="339">
        <v>0.72019999999999995</v>
      </c>
      <c r="M59" s="340">
        <f>'Daily Tekrit'!$K59*'Daily Tekrit'!$L59</f>
        <v>304.64459999999997</v>
      </c>
      <c r="N59" s="341">
        <f>300/89.7</f>
        <v>3.3444816053511706</v>
      </c>
      <c r="O59" s="341"/>
      <c r="P59" s="343"/>
      <c r="Q59" s="341"/>
      <c r="R59" s="343"/>
      <c r="S59" s="341">
        <v>42</v>
      </c>
      <c r="T59" s="341">
        <v>20</v>
      </c>
      <c r="U59" s="344">
        <f>'Daily Tekrit'!$J59+'Daily Tekrit'!$M59+SUM($N59:$T59)</f>
        <v>980.44048160535112</v>
      </c>
      <c r="V59" s="306"/>
      <c r="W59" s="356"/>
      <c r="X59" s="345">
        <f>180*0.7202+20*0.7202</f>
        <v>144.04</v>
      </c>
      <c r="Y59" s="354"/>
      <c r="Z59" s="346"/>
      <c r="AA59" s="347"/>
      <c r="AB59" s="347"/>
      <c r="AC59" s="347"/>
      <c r="AD59" s="348">
        <f t="shared" si="2"/>
        <v>0</v>
      </c>
      <c r="AE59" s="349"/>
      <c r="AF59" s="349"/>
      <c r="AG59" s="349"/>
      <c r="AH59" s="349">
        <f>300/89.7</f>
        <v>3.3444816053511706</v>
      </c>
      <c r="AI59" s="349"/>
      <c r="AJ59" s="349"/>
      <c r="AK59" s="349"/>
      <c r="AL59" s="349"/>
      <c r="AM59" s="350">
        <f t="shared" si="3"/>
        <v>3.3444816053511706</v>
      </c>
      <c r="AN59" s="349"/>
      <c r="AO59" s="351">
        <f t="shared" si="4"/>
        <v>147.38448160535117</v>
      </c>
      <c r="AP59" s="352"/>
      <c r="AQ59" s="306"/>
      <c r="AR59" s="353">
        <f t="shared" si="5"/>
        <v>833.05599999999993</v>
      </c>
      <c r="AS59" s="239"/>
      <c r="AT59" s="239"/>
      <c r="AU59" s="239"/>
    </row>
    <row r="60" spans="1:47" x14ac:dyDescent="0.35">
      <c r="A60" s="332">
        <v>46054</v>
      </c>
      <c r="B60" s="371"/>
      <c r="C60" s="372">
        <f>'ODOMETERS Tekrit'!J56</f>
        <v>265</v>
      </c>
      <c r="D60" s="334">
        <v>0.76980000000000004</v>
      </c>
      <c r="E60" s="335">
        <f>'Daily Tekrit'!$C60*'Daily Tekrit'!$D60</f>
        <v>203.99700000000001</v>
      </c>
      <c r="F60" s="336">
        <f>'ODOMETERS Tekrit'!K56</f>
        <v>192</v>
      </c>
      <c r="G60" s="334">
        <v>0.76980000000000004</v>
      </c>
      <c r="H60" s="335">
        <f>'Daily Tekrit'!$F60*'Daily Tekrit'!$G60</f>
        <v>147.80160000000001</v>
      </c>
      <c r="I60" s="336">
        <f>'Daily Tekrit'!$C60+'Daily Tekrit'!$F60</f>
        <v>457</v>
      </c>
      <c r="J60" s="337">
        <f>'Daily Tekrit'!$E60+'Daily Tekrit'!$H60</f>
        <v>351.79860000000002</v>
      </c>
      <c r="K60" s="338">
        <f>'ODOMETERS Tekrit'!L56</f>
        <v>441</v>
      </c>
      <c r="L60" s="339">
        <v>0.72019999999999995</v>
      </c>
      <c r="M60" s="340">
        <f>'Daily Tekrit'!$K60*'Daily Tekrit'!$L60</f>
        <v>317.60819999999995</v>
      </c>
      <c r="N60" s="341">
        <f>300/89.7</f>
        <v>3.3444816053511706</v>
      </c>
      <c r="O60" s="341"/>
      <c r="P60" s="343"/>
      <c r="Q60" s="341"/>
      <c r="R60" s="343"/>
      <c r="S60" s="341">
        <v>46</v>
      </c>
      <c r="T60" s="341">
        <f>650/89.7</f>
        <v>7.2463768115942031</v>
      </c>
      <c r="U60" s="344">
        <f>'Daily Tekrit'!$J60+'Daily Tekrit'!$M60+SUM($N60:$T60)</f>
        <v>725.99765841694534</v>
      </c>
      <c r="V60" s="306"/>
      <c r="W60" s="356">
        <f>500/89.7</f>
        <v>5.5741360089186172</v>
      </c>
      <c r="X60" s="345">
        <f>97.5*0.7202</f>
        <v>70.219499999999996</v>
      </c>
      <c r="Y60" s="354"/>
      <c r="Z60" s="346"/>
      <c r="AA60" s="347"/>
      <c r="AB60" s="347"/>
      <c r="AC60" s="347"/>
      <c r="AD60" s="348">
        <f t="shared" si="2"/>
        <v>0</v>
      </c>
      <c r="AE60" s="349"/>
      <c r="AF60" s="349"/>
      <c r="AG60" s="349"/>
      <c r="AH60" s="341">
        <f>300/89.7</f>
        <v>3.3444816053511706</v>
      </c>
      <c r="AI60" s="349"/>
      <c r="AJ60" s="349"/>
      <c r="AK60" s="349"/>
      <c r="AL60" s="349"/>
      <c r="AM60" s="350">
        <f t="shared" si="3"/>
        <v>3.3444816053511706</v>
      </c>
      <c r="AN60" s="349"/>
      <c r="AO60" s="351">
        <f t="shared" si="4"/>
        <v>79.138117614269788</v>
      </c>
      <c r="AP60" s="352"/>
      <c r="AQ60" s="306"/>
      <c r="AR60" s="353">
        <f t="shared" si="5"/>
        <v>646.85954080267561</v>
      </c>
      <c r="AS60" s="239"/>
      <c r="AT60" s="239"/>
      <c r="AU60" s="239"/>
    </row>
    <row r="61" spans="1:47" x14ac:dyDescent="0.35">
      <c r="A61" s="332">
        <v>46055</v>
      </c>
      <c r="B61" s="371"/>
      <c r="C61" s="372">
        <f>'ODOMETERS Tekrit'!J57</f>
        <v>643</v>
      </c>
      <c r="D61" s="334">
        <v>0.76980000000000004</v>
      </c>
      <c r="E61" s="335">
        <f>'Daily Tekrit'!$C61*'Daily Tekrit'!$D61</f>
        <v>494.98140000000001</v>
      </c>
      <c r="F61" s="336">
        <f>'ODOMETERS Tekrit'!K57</f>
        <v>324</v>
      </c>
      <c r="G61" s="334">
        <v>0.76980000000000004</v>
      </c>
      <c r="H61" s="335">
        <f>'Daily Tekrit'!$F61*'Daily Tekrit'!$G61</f>
        <v>249.41520000000003</v>
      </c>
      <c r="I61" s="336">
        <f>'Daily Tekrit'!$C61+'Daily Tekrit'!$F61</f>
        <v>967</v>
      </c>
      <c r="J61" s="337">
        <f>'Daily Tekrit'!$E61+'Daily Tekrit'!$H61</f>
        <v>744.39660000000003</v>
      </c>
      <c r="K61" s="338">
        <f>'ODOMETERS Tekrit'!L57</f>
        <v>504</v>
      </c>
      <c r="L61" s="339">
        <v>0.72019999999999995</v>
      </c>
      <c r="M61" s="340">
        <f>'Daily Tekrit'!$K61*'Daily Tekrit'!$L61</f>
        <v>362.98079999999999</v>
      </c>
      <c r="N61" s="341"/>
      <c r="O61" s="341"/>
      <c r="P61" s="343"/>
      <c r="Q61" s="341"/>
      <c r="R61" s="343"/>
      <c r="S61" s="341"/>
      <c r="T61" s="341"/>
      <c r="U61" s="344">
        <f>'Daily Tekrit'!$J61+'Daily Tekrit'!$M61+SUM($N61:$T61)</f>
        <v>1107.3774000000001</v>
      </c>
      <c r="V61" s="306"/>
      <c r="W61" s="356">
        <f>20+145+7.7+1500/89.7+500/89.7</f>
        <v>194.99654403567448</v>
      </c>
      <c r="X61" s="345"/>
      <c r="Y61" s="354"/>
      <c r="Z61" s="346"/>
      <c r="AA61" s="347"/>
      <c r="AB61" s="347"/>
      <c r="AC61" s="347"/>
      <c r="AD61" s="348">
        <f t="shared" si="2"/>
        <v>0</v>
      </c>
      <c r="AE61" s="349"/>
      <c r="AF61" s="349"/>
      <c r="AG61" s="349"/>
      <c r="AH61" s="349">
        <f>5+150/89.7</f>
        <v>6.6722408026755851</v>
      </c>
      <c r="AI61" s="349"/>
      <c r="AJ61" s="349"/>
      <c r="AK61" s="349"/>
      <c r="AL61" s="349"/>
      <c r="AM61" s="350">
        <f t="shared" si="3"/>
        <v>6.6722408026755851</v>
      </c>
      <c r="AN61" s="349"/>
      <c r="AO61" s="351">
        <f t="shared" si="4"/>
        <v>201.66878483835006</v>
      </c>
      <c r="AP61" s="352"/>
      <c r="AQ61" s="306"/>
      <c r="AR61" s="353">
        <f t="shared" si="5"/>
        <v>905.70861516164996</v>
      </c>
      <c r="AS61" s="239"/>
      <c r="AT61" s="239"/>
      <c r="AU61" s="239"/>
    </row>
    <row r="62" spans="1:47" x14ac:dyDescent="0.35">
      <c r="A62" s="332">
        <v>46056</v>
      </c>
      <c r="B62" s="371" t="s">
        <v>24</v>
      </c>
      <c r="C62" s="372">
        <f>'ODOMETERS Tekrit'!J58</f>
        <v>292</v>
      </c>
      <c r="D62" s="334">
        <v>0.76980000000000004</v>
      </c>
      <c r="E62" s="335">
        <f>'Daily Tekrit'!$C62*'Daily Tekrit'!$D62</f>
        <v>224.78160000000003</v>
      </c>
      <c r="F62" s="336">
        <f>'ODOMETERS Tekrit'!K58</f>
        <v>161</v>
      </c>
      <c r="G62" s="334">
        <v>0.76980000000000004</v>
      </c>
      <c r="H62" s="335">
        <f>'Daily Tekrit'!$F62*'Daily Tekrit'!$G62</f>
        <v>123.93780000000001</v>
      </c>
      <c r="I62" s="336">
        <f>'Daily Tekrit'!$C62+'Daily Tekrit'!$F62</f>
        <v>453</v>
      </c>
      <c r="J62" s="337">
        <f>'Daily Tekrit'!$E62+'Daily Tekrit'!$H62</f>
        <v>348.71940000000006</v>
      </c>
      <c r="K62" s="338">
        <f>'ODOMETERS Tekrit'!L58</f>
        <v>65</v>
      </c>
      <c r="L62" s="339">
        <v>0.72019999999999995</v>
      </c>
      <c r="M62" s="340">
        <f>'Daily Tekrit'!$K62*'Daily Tekrit'!$L62</f>
        <v>46.812999999999995</v>
      </c>
      <c r="N62" s="373"/>
      <c r="O62" s="373"/>
      <c r="P62" s="343"/>
      <c r="Q62" s="373"/>
      <c r="R62" s="343"/>
      <c r="S62" s="341">
        <v>5.5</v>
      </c>
      <c r="T62" s="373"/>
      <c r="U62" s="344">
        <f>'Daily Tekrit'!$J62+'Daily Tekrit'!$M62+SUM($N62:$T62)</f>
        <v>401.03240000000005</v>
      </c>
      <c r="V62" s="306"/>
      <c r="W62" s="356">
        <f>36.7</f>
        <v>36.700000000000003</v>
      </c>
      <c r="X62" s="345"/>
      <c r="Y62" s="354">
        <v>-1</v>
      </c>
      <c r="Z62" s="346"/>
      <c r="AA62" s="347"/>
      <c r="AB62" s="347"/>
      <c r="AC62" s="347"/>
      <c r="AD62" s="348">
        <f t="shared" si="2"/>
        <v>0</v>
      </c>
      <c r="AE62" s="349"/>
      <c r="AF62" s="349"/>
      <c r="AG62" s="349"/>
      <c r="AH62" s="349"/>
      <c r="AI62" s="349"/>
      <c r="AJ62" s="349"/>
      <c r="AK62" s="349"/>
      <c r="AL62" s="349"/>
      <c r="AM62" s="350">
        <f t="shared" si="3"/>
        <v>0</v>
      </c>
      <c r="AN62" s="349"/>
      <c r="AO62" s="351">
        <f t="shared" si="4"/>
        <v>35.700000000000003</v>
      </c>
      <c r="AP62" s="352"/>
      <c r="AQ62" s="306"/>
      <c r="AR62" s="353">
        <f t="shared" si="5"/>
        <v>365.33240000000006</v>
      </c>
      <c r="AS62" s="239"/>
      <c r="AT62" s="239"/>
      <c r="AU62" s="239"/>
    </row>
    <row r="63" spans="1:47" x14ac:dyDescent="0.35">
      <c r="A63" s="332">
        <v>46056</v>
      </c>
      <c r="B63" s="371" t="s">
        <v>25</v>
      </c>
      <c r="C63" s="372">
        <f>'ODOMETERS Tekrit'!J59</f>
        <v>191</v>
      </c>
      <c r="D63" s="334">
        <v>0.77539999999999998</v>
      </c>
      <c r="E63" s="335">
        <f>'Daily Tekrit'!$C63*'Daily Tekrit'!$D63</f>
        <v>148.10139999999998</v>
      </c>
      <c r="F63" s="336">
        <f>'ODOMETERS Tekrit'!K59</f>
        <v>80</v>
      </c>
      <c r="G63" s="334">
        <v>0.77539999999999998</v>
      </c>
      <c r="H63" s="335">
        <f>'Daily Tekrit'!$F63*'Daily Tekrit'!$G63</f>
        <v>62.031999999999996</v>
      </c>
      <c r="I63" s="336">
        <f>'Daily Tekrit'!$C63+'Daily Tekrit'!$F63</f>
        <v>271</v>
      </c>
      <c r="J63" s="337">
        <f>'Daily Tekrit'!$E63+'Daily Tekrit'!$H63</f>
        <v>210.13339999999999</v>
      </c>
      <c r="K63" s="338">
        <f>'ODOMETERS Tekrit'!L59</f>
        <v>579</v>
      </c>
      <c r="L63" s="339">
        <v>0.73240000000000005</v>
      </c>
      <c r="M63" s="340">
        <f>'Daily Tekrit'!$K63*'Daily Tekrit'!$L63</f>
        <v>424.05960000000005</v>
      </c>
      <c r="N63" s="343"/>
      <c r="O63" s="343"/>
      <c r="P63" s="343"/>
      <c r="Q63" s="343"/>
      <c r="R63" s="343"/>
      <c r="S63" s="343">
        <f>16.7*2+5.5</f>
        <v>38.9</v>
      </c>
      <c r="T63" s="343"/>
      <c r="U63" s="344">
        <f>'Daily Tekrit'!$J63+'Daily Tekrit'!$M63+SUM($N63:$T63)</f>
        <v>673.09299999999996</v>
      </c>
      <c r="V63" s="306"/>
      <c r="W63" s="356">
        <v>17.8</v>
      </c>
      <c r="X63" s="345">
        <v>400</v>
      </c>
      <c r="Y63" s="354"/>
      <c r="Z63" s="346"/>
      <c r="AA63" s="347">
        <v>149</v>
      </c>
      <c r="AB63" s="347"/>
      <c r="AC63" s="347"/>
      <c r="AD63" s="348">
        <f t="shared" si="2"/>
        <v>149</v>
      </c>
      <c r="AE63" s="349"/>
      <c r="AF63" s="349"/>
      <c r="AG63" s="349"/>
      <c r="AH63" s="349"/>
      <c r="AI63" s="349"/>
      <c r="AJ63" s="349"/>
      <c r="AK63" s="349"/>
      <c r="AL63" s="349"/>
      <c r="AM63" s="350">
        <f t="shared" si="3"/>
        <v>0</v>
      </c>
      <c r="AN63" s="349"/>
      <c r="AO63" s="351">
        <f t="shared" si="4"/>
        <v>566.79999999999995</v>
      </c>
      <c r="AP63" s="352"/>
      <c r="AQ63" s="306"/>
      <c r="AR63" s="353">
        <f t="shared" si="5"/>
        <v>106.29300000000001</v>
      </c>
      <c r="AS63" s="239"/>
      <c r="AT63" s="239"/>
      <c r="AU63" s="239"/>
    </row>
    <row r="64" spans="1:47" x14ac:dyDescent="0.35">
      <c r="A64" s="332">
        <v>46057</v>
      </c>
      <c r="B64" s="371"/>
      <c r="C64" s="372">
        <f>'ODOMETERS Tekrit'!J60</f>
        <v>338</v>
      </c>
      <c r="D64" s="334">
        <v>0.77539999999999998</v>
      </c>
      <c r="E64" s="335">
        <f>'Daily Tekrit'!$C64*'Daily Tekrit'!$D64</f>
        <v>262.08519999999999</v>
      </c>
      <c r="F64" s="336">
        <f>'ODOMETERS Tekrit'!K60</f>
        <v>216</v>
      </c>
      <c r="G64" s="334">
        <v>0.77539999999999998</v>
      </c>
      <c r="H64" s="335">
        <f>'Daily Tekrit'!$F64*'Daily Tekrit'!$G64</f>
        <v>167.4864</v>
      </c>
      <c r="I64" s="336">
        <f>'Daily Tekrit'!$C64+'Daily Tekrit'!$F64</f>
        <v>554</v>
      </c>
      <c r="J64" s="337">
        <f>'Daily Tekrit'!$E64+'Daily Tekrit'!$H64</f>
        <v>429.57159999999999</v>
      </c>
      <c r="K64" s="338">
        <f>'ODOMETERS Tekrit'!L60</f>
        <v>332</v>
      </c>
      <c r="L64" s="339">
        <v>0.73240000000000005</v>
      </c>
      <c r="M64" s="340">
        <f>'Daily Tekrit'!$K64*'Daily Tekrit'!$L64</f>
        <v>243.1568</v>
      </c>
      <c r="N64" s="373"/>
      <c r="O64" s="343"/>
      <c r="P64" s="343"/>
      <c r="Q64" s="373"/>
      <c r="R64" s="343"/>
      <c r="S64" s="373"/>
      <c r="T64" s="373"/>
      <c r="U64" s="344">
        <f>'Daily Tekrit'!$J64+'Daily Tekrit'!$M64+SUM($N64:$T64)</f>
        <v>672.72839999999997</v>
      </c>
      <c r="V64" s="306"/>
      <c r="W64" s="374">
        <v>25</v>
      </c>
      <c r="X64" s="354">
        <v>65.900000000000006</v>
      </c>
      <c r="Y64" s="354">
        <v>1</v>
      </c>
      <c r="Z64" s="346"/>
      <c r="AA64" s="347">
        <v>136</v>
      </c>
      <c r="AB64" s="347"/>
      <c r="AC64" s="347"/>
      <c r="AD64" s="348">
        <f t="shared" si="2"/>
        <v>136</v>
      </c>
      <c r="AE64" s="349"/>
      <c r="AF64" s="349"/>
      <c r="AG64" s="349"/>
      <c r="AH64" s="349">
        <v>20</v>
      </c>
      <c r="AI64" s="349"/>
      <c r="AJ64" s="349"/>
      <c r="AK64" s="349"/>
      <c r="AL64" s="349"/>
      <c r="AM64" s="350">
        <f t="shared" si="3"/>
        <v>20</v>
      </c>
      <c r="AN64" s="349"/>
      <c r="AO64" s="351">
        <f>SUM(W64:Y64,AD64,AM64,AN64)</f>
        <v>247.9</v>
      </c>
      <c r="AP64" s="375"/>
      <c r="AQ64" s="306"/>
      <c r="AR64" s="353">
        <f t="shared" si="5"/>
        <v>424.82839999999999</v>
      </c>
      <c r="AS64" s="239"/>
      <c r="AT64" s="239"/>
      <c r="AU64" s="239"/>
    </row>
    <row r="65" spans="1:47" x14ac:dyDescent="0.35">
      <c r="A65" s="332">
        <v>46058</v>
      </c>
      <c r="B65" s="371"/>
      <c r="C65" s="372">
        <f>'ODOMETERS Tekrit'!J61</f>
        <v>484</v>
      </c>
      <c r="D65" s="334">
        <v>0.77539999999999998</v>
      </c>
      <c r="E65" s="335">
        <f>'Daily Tekrit'!$C65*'Daily Tekrit'!$D65</f>
        <v>375.29359999999997</v>
      </c>
      <c r="F65" s="336">
        <f>'ODOMETERS Tekrit'!K61</f>
        <v>188</v>
      </c>
      <c r="G65" s="334">
        <v>0.77539999999999998</v>
      </c>
      <c r="H65" s="335">
        <f>'Daily Tekrit'!$F65*'Daily Tekrit'!$G65</f>
        <v>145.77519999999998</v>
      </c>
      <c r="I65" s="336">
        <f>'Daily Tekrit'!$C65+'Daily Tekrit'!$F65</f>
        <v>672</v>
      </c>
      <c r="J65" s="337">
        <f>'Daily Tekrit'!$E65+'Daily Tekrit'!$H65</f>
        <v>521.06880000000001</v>
      </c>
      <c r="K65" s="338">
        <f>'ODOMETERS Tekrit'!L61</f>
        <v>272</v>
      </c>
      <c r="L65" s="339">
        <v>0.73240000000000005</v>
      </c>
      <c r="M65" s="340">
        <f>'Daily Tekrit'!$K65*'Daily Tekrit'!$L65</f>
        <v>199.21280000000002</v>
      </c>
      <c r="N65" s="343"/>
      <c r="O65" s="343"/>
      <c r="P65" s="343"/>
      <c r="Q65" s="341"/>
      <c r="R65" s="343"/>
      <c r="S65" s="343"/>
      <c r="T65" s="341"/>
      <c r="U65" s="344">
        <f>'Daily Tekrit'!$J65+'Daily Tekrit'!$M65+SUM($N65:$T65)</f>
        <v>720.28160000000003</v>
      </c>
      <c r="V65" s="306"/>
      <c r="W65" s="374">
        <v>11</v>
      </c>
      <c r="X65" s="354"/>
      <c r="Y65" s="354"/>
      <c r="Z65" s="346"/>
      <c r="AA65" s="347">
        <v>110</v>
      </c>
      <c r="AB65" s="347"/>
      <c r="AC65" s="347"/>
      <c r="AD65" s="348">
        <f t="shared" si="2"/>
        <v>110</v>
      </c>
      <c r="AE65" s="349"/>
      <c r="AF65" s="349"/>
      <c r="AG65" s="349"/>
      <c r="AH65" s="349"/>
      <c r="AI65" s="349"/>
      <c r="AJ65" s="349"/>
      <c r="AK65" s="349"/>
      <c r="AL65" s="349"/>
      <c r="AM65" s="350">
        <f t="shared" si="3"/>
        <v>0</v>
      </c>
      <c r="AN65" s="349"/>
      <c r="AO65" s="351">
        <f>SUM(W65:Y65,AD65,AM65,AN65)</f>
        <v>121</v>
      </c>
      <c r="AP65" s="352"/>
      <c r="AQ65" s="306"/>
      <c r="AR65" s="353">
        <f t="shared" si="5"/>
        <v>599.28160000000003</v>
      </c>
      <c r="AS65" s="239"/>
      <c r="AT65" s="239"/>
      <c r="AU65" s="239"/>
    </row>
    <row r="66" spans="1:47" x14ac:dyDescent="0.35">
      <c r="A66" s="332">
        <v>46059</v>
      </c>
      <c r="B66" s="371" t="s">
        <v>24</v>
      </c>
      <c r="C66" s="372">
        <f>'ODOMETERS Tekrit'!J62</f>
        <v>162</v>
      </c>
      <c r="D66" s="334">
        <v>0.77539999999999998</v>
      </c>
      <c r="E66" s="335">
        <f>'Daily Tekrit'!$C66*'Daily Tekrit'!$D66</f>
        <v>125.6148</v>
      </c>
      <c r="F66" s="336">
        <f>'ODOMETERS Tekrit'!K62</f>
        <v>106</v>
      </c>
      <c r="G66" s="334">
        <v>0.77539999999999998</v>
      </c>
      <c r="H66" s="335">
        <f>'Daily Tekrit'!$F66*'Daily Tekrit'!$G66</f>
        <v>82.192399999999992</v>
      </c>
      <c r="I66" s="336">
        <f>'Daily Tekrit'!$C66+'Daily Tekrit'!$F66</f>
        <v>268</v>
      </c>
      <c r="J66" s="337">
        <f>'Daily Tekrit'!$E66+'Daily Tekrit'!$H66</f>
        <v>207.80719999999999</v>
      </c>
      <c r="K66" s="338">
        <f>'ODOMETERS Tekrit'!L62</f>
        <v>255</v>
      </c>
      <c r="L66" s="339">
        <v>0.73240000000000005</v>
      </c>
      <c r="M66" s="340">
        <f>'Daily Tekrit'!$K66*'Daily Tekrit'!$L66</f>
        <v>186.762</v>
      </c>
      <c r="N66" s="343"/>
      <c r="O66" s="343"/>
      <c r="P66" s="343"/>
      <c r="Q66" s="343"/>
      <c r="R66" s="343"/>
      <c r="S66" s="343"/>
      <c r="T66" s="343"/>
      <c r="U66" s="344">
        <f>'Daily Tekrit'!$J66+'Daily Tekrit'!$M66+SUM($N66:$T66)</f>
        <v>394.56920000000002</v>
      </c>
      <c r="V66" s="306"/>
      <c r="W66" s="374"/>
      <c r="X66" s="354">
        <f>180*0.7324</f>
        <v>131.83200000000002</v>
      </c>
      <c r="Y66" s="354"/>
      <c r="Z66" s="346"/>
      <c r="AA66" s="347">
        <v>50</v>
      </c>
      <c r="AB66" s="347"/>
      <c r="AC66" s="347"/>
      <c r="AD66" s="348">
        <f t="shared" si="2"/>
        <v>50</v>
      </c>
      <c r="AE66" s="349"/>
      <c r="AF66" s="349"/>
      <c r="AG66" s="349"/>
      <c r="AH66" s="349"/>
      <c r="AI66" s="349"/>
      <c r="AJ66" s="349"/>
      <c r="AK66" s="349"/>
      <c r="AL66" s="349"/>
      <c r="AM66" s="350">
        <f t="shared" si="3"/>
        <v>0</v>
      </c>
      <c r="AN66" s="349"/>
      <c r="AO66" s="351">
        <f>SUM(W66:Y66,AD66,AM66,AN66)</f>
        <v>181.83200000000002</v>
      </c>
      <c r="AP66" s="352"/>
      <c r="AQ66" s="306"/>
      <c r="AR66" s="353">
        <f t="shared" si="5"/>
        <v>212.7372</v>
      </c>
      <c r="AS66" s="239"/>
      <c r="AT66" s="239"/>
      <c r="AU66" s="239"/>
    </row>
    <row r="67" spans="1:47" x14ac:dyDescent="0.35">
      <c r="A67" s="332">
        <v>46059</v>
      </c>
      <c r="B67" s="371" t="s">
        <v>25</v>
      </c>
      <c r="C67" s="372">
        <f>'ODOMETERS Tekrit'!J63</f>
        <v>140</v>
      </c>
      <c r="D67" s="334">
        <v>0.78210000000000002</v>
      </c>
      <c r="E67" s="335">
        <f>'Daily Tekrit'!$C67*'Daily Tekrit'!$D67</f>
        <v>109.494</v>
      </c>
      <c r="F67" s="336">
        <f>'ODOMETERS Tekrit'!K63</f>
        <v>173</v>
      </c>
      <c r="G67" s="334">
        <v>0.78210000000000002</v>
      </c>
      <c r="H67" s="335">
        <f>'Daily Tekrit'!$F67*'Daily Tekrit'!$G67</f>
        <v>135.30330000000001</v>
      </c>
      <c r="I67" s="336">
        <f>'Daily Tekrit'!$C67+'Daily Tekrit'!$F67</f>
        <v>313</v>
      </c>
      <c r="J67" s="337">
        <f>'Daily Tekrit'!$E67+'Daily Tekrit'!$H67</f>
        <v>244.79730000000001</v>
      </c>
      <c r="K67" s="338">
        <f>'ODOMETERS Tekrit'!L63</f>
        <v>222</v>
      </c>
      <c r="L67" s="339">
        <v>0.74529999999999996</v>
      </c>
      <c r="M67" s="340">
        <f>'Daily Tekrit'!$K67*'Daily Tekrit'!$L67</f>
        <v>165.45659999999998</v>
      </c>
      <c r="N67" s="343"/>
      <c r="O67" s="343"/>
      <c r="P67" s="343"/>
      <c r="Q67" s="343"/>
      <c r="R67" s="343"/>
      <c r="S67" s="343"/>
      <c r="T67" s="343">
        <f>750/89.7</f>
        <v>8.3612040133779253</v>
      </c>
      <c r="U67" s="344">
        <f>'Daily Tekrit'!$J67+'Daily Tekrit'!$M67+SUM($N67:$T67)</f>
        <v>418.6151040133779</v>
      </c>
      <c r="V67" s="306"/>
      <c r="W67" s="374">
        <f>17</f>
        <v>17</v>
      </c>
      <c r="X67" s="354">
        <f>60+100*0.7453</f>
        <v>134.53</v>
      </c>
      <c r="Y67" s="354"/>
      <c r="Z67" s="346"/>
      <c r="AA67" s="347"/>
      <c r="AB67" s="347"/>
      <c r="AC67" s="347"/>
      <c r="AD67" s="348">
        <f t="shared" si="2"/>
        <v>0</v>
      </c>
      <c r="AE67" s="349"/>
      <c r="AF67" s="349"/>
      <c r="AG67" s="349"/>
      <c r="AH67" s="349"/>
      <c r="AI67" s="349"/>
      <c r="AJ67" s="349"/>
      <c r="AK67" s="349"/>
      <c r="AL67" s="349"/>
      <c r="AM67" s="350">
        <f t="shared" si="3"/>
        <v>0</v>
      </c>
      <c r="AN67" s="349"/>
      <c r="AO67" s="351">
        <f>SUM(W67:Y67,AD67,AM67,AN67)</f>
        <v>151.53</v>
      </c>
      <c r="AP67" s="352"/>
      <c r="AQ67" s="306"/>
      <c r="AR67" s="353">
        <f t="shared" si="5"/>
        <v>267.08510401337787</v>
      </c>
      <c r="AS67" s="239"/>
      <c r="AT67" s="239"/>
      <c r="AU67" s="239"/>
    </row>
    <row r="68" spans="1:47" x14ac:dyDescent="0.35">
      <c r="A68" s="332">
        <v>46060</v>
      </c>
      <c r="B68" s="371"/>
      <c r="C68" s="372">
        <f>'ODOMETERS Tekrit'!J64</f>
        <v>344</v>
      </c>
      <c r="D68" s="334">
        <v>0.78210000000000002</v>
      </c>
      <c r="E68" s="335">
        <f>'Daily Tekrit'!$C68*'Daily Tekrit'!$D68</f>
        <v>269.04239999999999</v>
      </c>
      <c r="F68" s="336">
        <f>'ODOMETERS Tekrit'!K64</f>
        <v>148</v>
      </c>
      <c r="G68" s="334">
        <v>0.78210000000000002</v>
      </c>
      <c r="H68" s="335">
        <f>'Daily Tekrit'!$F68*'Daily Tekrit'!$G68</f>
        <v>115.7508</v>
      </c>
      <c r="I68" s="336">
        <f>'Daily Tekrit'!$C68+'Daily Tekrit'!$F68</f>
        <v>492</v>
      </c>
      <c r="J68" s="337">
        <f>'Daily Tekrit'!$E68+'Daily Tekrit'!$H68</f>
        <v>384.79319999999996</v>
      </c>
      <c r="K68" s="338">
        <f>'ODOMETERS Tekrit'!L64</f>
        <v>245</v>
      </c>
      <c r="L68" s="339">
        <v>0.74529999999999996</v>
      </c>
      <c r="M68" s="340">
        <f>'Daily Tekrit'!$K68*'Daily Tekrit'!$L68</f>
        <v>182.5985</v>
      </c>
      <c r="N68" s="343">
        <v>8</v>
      </c>
      <c r="O68" s="343"/>
      <c r="P68" s="343"/>
      <c r="Q68" s="343"/>
      <c r="R68" s="343"/>
      <c r="S68" s="343">
        <v>17</v>
      </c>
      <c r="T68" s="343"/>
      <c r="U68" s="344">
        <f>'Daily Tekrit'!$J68+'Daily Tekrit'!$M68+SUM($N68:$T68)</f>
        <v>592.3916999999999</v>
      </c>
      <c r="V68" s="306"/>
      <c r="W68" s="374"/>
      <c r="X68" s="354"/>
      <c r="Y68" s="354"/>
      <c r="Z68" s="346"/>
      <c r="AA68" s="347"/>
      <c r="AB68" s="347"/>
      <c r="AC68" s="347"/>
      <c r="AD68" s="348">
        <f t="shared" si="2"/>
        <v>0</v>
      </c>
      <c r="AE68" s="349"/>
      <c r="AF68" s="349"/>
      <c r="AG68" s="349"/>
      <c r="AH68" s="349"/>
      <c r="AI68" s="349"/>
      <c r="AJ68" s="349"/>
      <c r="AK68" s="349"/>
      <c r="AL68" s="349"/>
      <c r="AM68" s="350">
        <f t="shared" si="3"/>
        <v>0</v>
      </c>
      <c r="AN68" s="349"/>
      <c r="AO68" s="351">
        <f t="shared" ref="AO68:AO131" si="6">SUM(W68:Y68,AD68,AM68,AN68)</f>
        <v>0</v>
      </c>
      <c r="AP68" s="352"/>
      <c r="AQ68" s="306"/>
      <c r="AR68" s="353">
        <f t="shared" si="5"/>
        <v>592.3916999999999</v>
      </c>
      <c r="AS68" s="239"/>
      <c r="AT68" s="239"/>
      <c r="AU68" s="239"/>
    </row>
    <row r="69" spans="1:47" x14ac:dyDescent="0.35">
      <c r="A69" s="332">
        <v>46061</v>
      </c>
      <c r="B69" s="371"/>
      <c r="C69" s="372">
        <f>'ODOMETERS Tekrit'!J65</f>
        <v>447</v>
      </c>
      <c r="D69" s="334">
        <v>0.78210000000000002</v>
      </c>
      <c r="E69" s="335">
        <f>'Daily Tekrit'!$C69*'Daily Tekrit'!$D69</f>
        <v>349.59870000000001</v>
      </c>
      <c r="F69" s="336">
        <f>'ODOMETERS Tekrit'!K65</f>
        <v>424</v>
      </c>
      <c r="G69" s="334">
        <v>0.78210000000000002</v>
      </c>
      <c r="H69" s="335">
        <f>'Daily Tekrit'!$F69*'Daily Tekrit'!$G69</f>
        <v>331.61040000000003</v>
      </c>
      <c r="I69" s="336">
        <f>'Daily Tekrit'!$C69+'Daily Tekrit'!$F69</f>
        <v>871</v>
      </c>
      <c r="J69" s="337">
        <f>'Daily Tekrit'!$E69+'Daily Tekrit'!$H69</f>
        <v>681.20910000000003</v>
      </c>
      <c r="K69" s="338">
        <f>'ODOMETERS Tekrit'!L65</f>
        <v>234</v>
      </c>
      <c r="L69" s="339">
        <v>0.74529999999999996</v>
      </c>
      <c r="M69" s="340">
        <f>'Daily Tekrit'!$K69*'Daily Tekrit'!$L69</f>
        <v>174.40019999999998</v>
      </c>
      <c r="N69" s="343">
        <f>600/89.7</f>
        <v>6.6889632107023411</v>
      </c>
      <c r="O69" s="343"/>
      <c r="P69" s="343"/>
      <c r="Q69" s="343"/>
      <c r="R69" s="343"/>
      <c r="S69" s="343"/>
      <c r="T69" s="343"/>
      <c r="U69" s="344">
        <f>'Daily Tekrit'!$J69+'Daily Tekrit'!$M69+SUM($N69:$T69)</f>
        <v>862.29826321070243</v>
      </c>
      <c r="V69" s="306"/>
      <c r="W69" s="374"/>
      <c r="X69" s="354"/>
      <c r="Y69" s="354">
        <v>-3</v>
      </c>
      <c r="Z69" s="346"/>
      <c r="AA69" s="347"/>
      <c r="AB69" s="347"/>
      <c r="AC69" s="347"/>
      <c r="AD69" s="348">
        <f t="shared" si="2"/>
        <v>0</v>
      </c>
      <c r="AE69" s="349"/>
      <c r="AF69" s="349"/>
      <c r="AG69" s="349"/>
      <c r="AH69" s="349"/>
      <c r="AI69" s="349"/>
      <c r="AJ69" s="349"/>
      <c r="AK69" s="349"/>
      <c r="AL69" s="349"/>
      <c r="AM69" s="350">
        <f t="shared" si="3"/>
        <v>0</v>
      </c>
      <c r="AN69" s="349"/>
      <c r="AO69" s="351">
        <f t="shared" si="6"/>
        <v>-3</v>
      </c>
      <c r="AP69" s="352"/>
      <c r="AQ69" s="306"/>
      <c r="AR69" s="353">
        <f t="shared" si="5"/>
        <v>865.29826321070243</v>
      </c>
      <c r="AS69" s="239"/>
      <c r="AT69" s="239"/>
      <c r="AU69" s="239"/>
    </row>
    <row r="70" spans="1:47" x14ac:dyDescent="0.35">
      <c r="A70" s="332">
        <v>46062</v>
      </c>
      <c r="B70" s="371"/>
      <c r="C70" s="372">
        <f>'ODOMETERS Tekrit'!J66</f>
        <v>268</v>
      </c>
      <c r="D70" s="334">
        <v>0.78210000000000002</v>
      </c>
      <c r="E70" s="335">
        <f>'Daily Tekrit'!$C70*'Daily Tekrit'!$D70</f>
        <v>209.6028</v>
      </c>
      <c r="F70" s="336">
        <f>'ODOMETERS Tekrit'!K66</f>
        <v>251</v>
      </c>
      <c r="G70" s="334">
        <v>0.78210000000000002</v>
      </c>
      <c r="H70" s="335">
        <f>'Daily Tekrit'!$F70*'Daily Tekrit'!$G70</f>
        <v>196.30709999999999</v>
      </c>
      <c r="I70" s="336">
        <f>'Daily Tekrit'!$C70+'Daily Tekrit'!$F70</f>
        <v>519</v>
      </c>
      <c r="J70" s="337">
        <f>'Daily Tekrit'!$E70+'Daily Tekrit'!$H70</f>
        <v>405.90989999999999</v>
      </c>
      <c r="K70" s="338">
        <f>'ODOMETERS Tekrit'!L66</f>
        <v>329</v>
      </c>
      <c r="L70" s="339">
        <v>0.74529999999999996</v>
      </c>
      <c r="M70" s="340">
        <f>'Daily Tekrit'!$K70*'Daily Tekrit'!$L70</f>
        <v>245.2037</v>
      </c>
      <c r="N70" s="343">
        <v>6.68</v>
      </c>
      <c r="O70" s="343"/>
      <c r="P70" s="343"/>
      <c r="Q70" s="343"/>
      <c r="R70" s="343"/>
      <c r="S70" s="343"/>
      <c r="T70" s="343">
        <v>1.5</v>
      </c>
      <c r="U70" s="344">
        <f>'Daily Tekrit'!$J70+'Daily Tekrit'!$M70+SUM($N70:$T70)</f>
        <v>659.29359999999997</v>
      </c>
      <c r="V70" s="306"/>
      <c r="W70" s="374">
        <v>20</v>
      </c>
      <c r="X70" s="354">
        <v>67.069999999999993</v>
      </c>
      <c r="Y70" s="354"/>
      <c r="Z70" s="346"/>
      <c r="AA70" s="347"/>
      <c r="AB70" s="347"/>
      <c r="AC70" s="347"/>
      <c r="AD70" s="348">
        <f t="shared" si="2"/>
        <v>0</v>
      </c>
      <c r="AE70" s="349"/>
      <c r="AF70" s="349"/>
      <c r="AG70" s="349"/>
      <c r="AH70" s="349">
        <v>14</v>
      </c>
      <c r="AI70" s="349"/>
      <c r="AJ70" s="349"/>
      <c r="AK70" s="349"/>
      <c r="AL70" s="349"/>
      <c r="AM70" s="350">
        <f t="shared" si="3"/>
        <v>14</v>
      </c>
      <c r="AN70" s="349"/>
      <c r="AO70" s="351">
        <f t="shared" si="6"/>
        <v>101.07</v>
      </c>
      <c r="AP70" s="352"/>
      <c r="AQ70" s="306"/>
      <c r="AR70" s="353">
        <f t="shared" si="5"/>
        <v>558.22360000000003</v>
      </c>
      <c r="AS70" s="239"/>
      <c r="AT70" s="239"/>
      <c r="AU70" s="239"/>
    </row>
    <row r="71" spans="1:47" x14ac:dyDescent="0.35">
      <c r="A71" s="332">
        <v>46063</v>
      </c>
      <c r="B71" s="371" t="s">
        <v>24</v>
      </c>
      <c r="C71" s="372">
        <f>'ODOMETERS Tekrit'!J67</f>
        <v>220</v>
      </c>
      <c r="D71" s="334">
        <v>0.78210000000000002</v>
      </c>
      <c r="E71" s="335">
        <f>'Daily Tekrit'!$C71*'Daily Tekrit'!$D71</f>
        <v>172.06200000000001</v>
      </c>
      <c r="F71" s="336">
        <f>'ODOMETERS Tekrit'!K67</f>
        <v>153</v>
      </c>
      <c r="G71" s="334">
        <v>0.78210000000000002</v>
      </c>
      <c r="H71" s="335">
        <f>'Daily Tekrit'!$F71*'Daily Tekrit'!$G71</f>
        <v>119.6613</v>
      </c>
      <c r="I71" s="336">
        <f>'Daily Tekrit'!$C71+'Daily Tekrit'!$F71</f>
        <v>373</v>
      </c>
      <c r="J71" s="337">
        <f>'Daily Tekrit'!$E71+'Daily Tekrit'!$H71</f>
        <v>291.72329999999999</v>
      </c>
      <c r="K71" s="338">
        <f>'ODOMETERS Tekrit'!L67</f>
        <v>110</v>
      </c>
      <c r="L71" s="339">
        <v>0.74529999999999996</v>
      </c>
      <c r="M71" s="340">
        <f>'Daily Tekrit'!$K71*'Daily Tekrit'!$L71</f>
        <v>81.98299999999999</v>
      </c>
      <c r="N71" s="343"/>
      <c r="O71" s="343"/>
      <c r="P71" s="343"/>
      <c r="Q71" s="343"/>
      <c r="R71" s="343"/>
      <c r="S71" s="343"/>
      <c r="T71" s="343"/>
      <c r="U71" s="344">
        <f>'Daily Tekrit'!$J71+'Daily Tekrit'!$M71+SUM($N71:$T71)</f>
        <v>373.7063</v>
      </c>
      <c r="V71" s="306"/>
      <c r="W71" s="374"/>
      <c r="X71" s="354"/>
      <c r="Y71" s="354"/>
      <c r="Z71" s="346"/>
      <c r="AA71" s="347"/>
      <c r="AB71" s="347"/>
      <c r="AC71" s="347"/>
      <c r="AD71" s="348">
        <f t="shared" si="2"/>
        <v>0</v>
      </c>
      <c r="AE71" s="349"/>
      <c r="AF71" s="349"/>
      <c r="AG71" s="349"/>
      <c r="AH71" s="349"/>
      <c r="AI71" s="349"/>
      <c r="AJ71" s="349"/>
      <c r="AK71" s="349"/>
      <c r="AL71" s="349"/>
      <c r="AM71" s="350">
        <f t="shared" si="3"/>
        <v>0</v>
      </c>
      <c r="AN71" s="349"/>
      <c r="AO71" s="351">
        <f t="shared" si="6"/>
        <v>0</v>
      </c>
      <c r="AP71" s="352"/>
      <c r="AQ71" s="306"/>
      <c r="AR71" s="353">
        <f t="shared" si="5"/>
        <v>373.7063</v>
      </c>
      <c r="AS71" s="239"/>
      <c r="AT71" s="239"/>
      <c r="AU71" s="239"/>
    </row>
    <row r="72" spans="1:47" x14ac:dyDescent="0.35">
      <c r="A72" s="332">
        <v>46063</v>
      </c>
      <c r="B72" s="371" t="s">
        <v>25</v>
      </c>
      <c r="C72" s="372">
        <f>'ODOMETERS Tekrit'!J68</f>
        <v>241</v>
      </c>
      <c r="D72" s="334">
        <v>0.78600000000000003</v>
      </c>
      <c r="E72" s="335">
        <f>'Daily Tekrit'!$C72*'Daily Tekrit'!$D72</f>
        <v>189.42600000000002</v>
      </c>
      <c r="F72" s="336">
        <f>'ODOMETERS Tekrit'!K68</f>
        <v>112</v>
      </c>
      <c r="G72" s="334">
        <v>0.78600000000000003</v>
      </c>
      <c r="H72" s="335">
        <f>'Daily Tekrit'!$F72*'Daily Tekrit'!$G72</f>
        <v>88.032000000000011</v>
      </c>
      <c r="I72" s="336">
        <f>'Daily Tekrit'!$C72+'Daily Tekrit'!$F72</f>
        <v>353</v>
      </c>
      <c r="J72" s="337">
        <f>'Daily Tekrit'!$E72+'Daily Tekrit'!$H72</f>
        <v>277.45800000000003</v>
      </c>
      <c r="K72" s="338">
        <f>'ODOMETERS Tekrit'!L68</f>
        <v>222</v>
      </c>
      <c r="L72" s="339">
        <v>0.74970000000000003</v>
      </c>
      <c r="M72" s="340">
        <f>'Daily Tekrit'!$K72*'Daily Tekrit'!$L72</f>
        <v>166.43340000000001</v>
      </c>
      <c r="N72" s="343"/>
      <c r="O72" s="343"/>
      <c r="P72" s="343"/>
      <c r="Q72" s="343"/>
      <c r="R72" s="343"/>
      <c r="S72" s="343"/>
      <c r="T72" s="343"/>
      <c r="U72" s="344">
        <f>'Daily Tekrit'!$J72+'Daily Tekrit'!$M72+SUM($N72:$T72)</f>
        <v>443.89140000000003</v>
      </c>
      <c r="V72" s="306"/>
      <c r="W72" s="374"/>
      <c r="X72" s="354">
        <f>25.5*0.786</f>
        <v>20.042999999999999</v>
      </c>
      <c r="Y72" s="354"/>
      <c r="Z72" s="346"/>
      <c r="AA72" s="347"/>
      <c r="AB72" s="347"/>
      <c r="AC72" s="347"/>
      <c r="AD72" s="348">
        <f t="shared" si="2"/>
        <v>0</v>
      </c>
      <c r="AE72" s="349"/>
      <c r="AF72" s="349"/>
      <c r="AG72" s="349"/>
      <c r="AH72" s="349"/>
      <c r="AI72" s="349"/>
      <c r="AJ72" s="349">
        <v>6.68</v>
      </c>
      <c r="AK72" s="349"/>
      <c r="AL72" s="349"/>
      <c r="AM72" s="350">
        <f t="shared" ref="AM72:AM135" si="7">SUM(AE72:AL72)</f>
        <v>6.68</v>
      </c>
      <c r="AN72" s="349"/>
      <c r="AO72" s="351">
        <f t="shared" si="6"/>
        <v>26.722999999999999</v>
      </c>
      <c r="AP72" s="352"/>
      <c r="AQ72" s="306"/>
      <c r="AR72" s="353">
        <f t="shared" si="5"/>
        <v>417.16840000000002</v>
      </c>
      <c r="AS72" s="239"/>
      <c r="AT72" s="239"/>
      <c r="AU72" s="239"/>
    </row>
    <row r="73" spans="1:47" x14ac:dyDescent="0.35">
      <c r="A73" s="332">
        <v>46064</v>
      </c>
      <c r="B73" s="371"/>
      <c r="C73" s="372">
        <f>'ODOMETERS Tekrit'!J69</f>
        <v>268</v>
      </c>
      <c r="D73" s="334">
        <v>0.78600000000000003</v>
      </c>
      <c r="E73" s="335">
        <f>'Daily Tekrit'!$C73*'Daily Tekrit'!$D73</f>
        <v>210.648</v>
      </c>
      <c r="F73" s="336">
        <f>'ODOMETERS Tekrit'!K69</f>
        <v>128</v>
      </c>
      <c r="G73" s="334">
        <v>0.78600000000000003</v>
      </c>
      <c r="H73" s="335">
        <f>'Daily Tekrit'!$F73*'Daily Tekrit'!$G73</f>
        <v>100.608</v>
      </c>
      <c r="I73" s="336">
        <f>'Daily Tekrit'!$C73+'Daily Tekrit'!$F73</f>
        <v>396</v>
      </c>
      <c r="J73" s="337">
        <f>'Daily Tekrit'!$E73+'Daily Tekrit'!$H73</f>
        <v>311.25599999999997</v>
      </c>
      <c r="K73" s="338">
        <f>'ODOMETERS Tekrit'!L69</f>
        <v>496</v>
      </c>
      <c r="L73" s="339">
        <v>0.74970000000000003</v>
      </c>
      <c r="M73" s="340">
        <f>'Daily Tekrit'!$K73*'Daily Tekrit'!$L73</f>
        <v>371.85120000000001</v>
      </c>
      <c r="N73" s="343">
        <v>3.34</v>
      </c>
      <c r="O73" s="343"/>
      <c r="P73" s="343"/>
      <c r="Q73" s="343"/>
      <c r="R73" s="343"/>
      <c r="S73" s="343"/>
      <c r="T73" s="343">
        <v>20</v>
      </c>
      <c r="U73" s="344">
        <f>'Daily Tekrit'!$J73+'Daily Tekrit'!$M73+SUM($N73:$T73)</f>
        <v>706.44719999999995</v>
      </c>
      <c r="V73" s="306"/>
      <c r="W73" s="374">
        <v>38.409999999999997</v>
      </c>
      <c r="X73" s="354">
        <v>149.94</v>
      </c>
      <c r="Y73" s="354">
        <v>3</v>
      </c>
      <c r="Z73" s="346"/>
      <c r="AA73" s="347"/>
      <c r="AB73" s="347"/>
      <c r="AC73" s="347"/>
      <c r="AD73" s="348">
        <f t="shared" si="2"/>
        <v>0</v>
      </c>
      <c r="AE73" s="349"/>
      <c r="AF73" s="349"/>
      <c r="AG73" s="349"/>
      <c r="AH73" s="349">
        <v>1</v>
      </c>
      <c r="AI73" s="349"/>
      <c r="AJ73" s="349"/>
      <c r="AK73" s="349"/>
      <c r="AL73" s="349"/>
      <c r="AM73" s="350">
        <f t="shared" si="7"/>
        <v>1</v>
      </c>
      <c r="AN73" s="349"/>
      <c r="AO73" s="351">
        <f t="shared" si="6"/>
        <v>192.35</v>
      </c>
      <c r="AP73" s="352"/>
      <c r="AQ73" s="306"/>
      <c r="AR73" s="353">
        <f t="shared" si="5"/>
        <v>514.09719999999993</v>
      </c>
      <c r="AS73" s="239"/>
      <c r="AT73" s="239"/>
      <c r="AU73" s="239"/>
    </row>
    <row r="74" spans="1:47" x14ac:dyDescent="0.35">
      <c r="A74" s="332">
        <v>46065</v>
      </c>
      <c r="B74" s="371"/>
      <c r="C74" s="372">
        <f>'ODOMETERS Tekrit'!J70</f>
        <v>481</v>
      </c>
      <c r="D74" s="334">
        <v>0.78600000000000003</v>
      </c>
      <c r="E74" s="335">
        <f>'Daily Tekrit'!$C74*'Daily Tekrit'!$D74</f>
        <v>378.06600000000003</v>
      </c>
      <c r="F74" s="336">
        <f>'ODOMETERS Tekrit'!K70</f>
        <v>146</v>
      </c>
      <c r="G74" s="334">
        <v>0.78600000000000003</v>
      </c>
      <c r="H74" s="335">
        <f>'Daily Tekrit'!$F74*'Daily Tekrit'!$G74</f>
        <v>114.756</v>
      </c>
      <c r="I74" s="336">
        <f>'Daily Tekrit'!$C74+'Daily Tekrit'!$F74</f>
        <v>627</v>
      </c>
      <c r="J74" s="337">
        <f>'Daily Tekrit'!$E74+'Daily Tekrit'!$H74</f>
        <v>492.822</v>
      </c>
      <c r="K74" s="338">
        <f>'ODOMETERS Tekrit'!L70</f>
        <v>307</v>
      </c>
      <c r="L74" s="339">
        <v>0.74970000000000003</v>
      </c>
      <c r="M74" s="340">
        <f>'Daily Tekrit'!$K74*'Daily Tekrit'!$L74</f>
        <v>230.15790000000001</v>
      </c>
      <c r="N74" s="343"/>
      <c r="O74" s="343"/>
      <c r="P74" s="343"/>
      <c r="Q74" s="343"/>
      <c r="R74" s="343"/>
      <c r="S74" s="343">
        <v>30</v>
      </c>
      <c r="T74" s="343"/>
      <c r="U74" s="344">
        <f>'Daily Tekrit'!$J74+'Daily Tekrit'!$M74+SUM($N74:$T74)</f>
        <v>752.97990000000004</v>
      </c>
      <c r="V74" s="306"/>
      <c r="W74" s="374"/>
      <c r="X74" s="354"/>
      <c r="Y74" s="354"/>
      <c r="Z74" s="346"/>
      <c r="AA74" s="347"/>
      <c r="AB74" s="347"/>
      <c r="AC74" s="347"/>
      <c r="AD74" s="348">
        <f t="shared" si="2"/>
        <v>0</v>
      </c>
      <c r="AE74" s="349"/>
      <c r="AF74" s="349"/>
      <c r="AG74" s="349"/>
      <c r="AH74" s="349"/>
      <c r="AI74" s="349"/>
      <c r="AJ74" s="349"/>
      <c r="AK74" s="349"/>
      <c r="AL74" s="349"/>
      <c r="AM74" s="350">
        <f t="shared" si="7"/>
        <v>0</v>
      </c>
      <c r="AN74" s="349"/>
      <c r="AO74" s="351">
        <f t="shared" si="6"/>
        <v>0</v>
      </c>
      <c r="AP74" s="352"/>
      <c r="AQ74" s="306"/>
      <c r="AR74" s="353">
        <f t="shared" si="5"/>
        <v>752.97990000000004</v>
      </c>
      <c r="AS74" s="239"/>
      <c r="AT74" s="239"/>
      <c r="AU74" s="239"/>
    </row>
    <row r="75" spans="1:47" x14ac:dyDescent="0.35">
      <c r="A75" s="332">
        <v>46066</v>
      </c>
      <c r="B75" s="371" t="s">
        <v>24</v>
      </c>
      <c r="C75" s="372">
        <f>'ODOMETERS Tekrit'!J71</f>
        <v>184</v>
      </c>
      <c r="D75" s="334">
        <v>0.78600000000000003</v>
      </c>
      <c r="E75" s="335">
        <f>'Daily Tekrit'!$C75*'Daily Tekrit'!$D75</f>
        <v>144.624</v>
      </c>
      <c r="F75" s="336">
        <f>'ODOMETERS Tekrit'!K71</f>
        <v>119</v>
      </c>
      <c r="G75" s="334">
        <v>0.78600000000000003</v>
      </c>
      <c r="H75" s="335">
        <f>'Daily Tekrit'!$F75*'Daily Tekrit'!$G75</f>
        <v>93.534000000000006</v>
      </c>
      <c r="I75" s="336">
        <f>'Daily Tekrit'!$C75+'Daily Tekrit'!$F75</f>
        <v>303</v>
      </c>
      <c r="J75" s="337">
        <f>'Daily Tekrit'!$E75+'Daily Tekrit'!$H75</f>
        <v>238.15800000000002</v>
      </c>
      <c r="K75" s="338">
        <f>'ODOMETERS Tekrit'!L71</f>
        <v>41</v>
      </c>
      <c r="L75" s="339">
        <v>0.74970000000000003</v>
      </c>
      <c r="M75" s="340">
        <f>'Daily Tekrit'!$K75*'Daily Tekrit'!$L75</f>
        <v>30.7377</v>
      </c>
      <c r="N75" s="343"/>
      <c r="O75" s="343"/>
      <c r="P75" s="343"/>
      <c r="Q75" s="343"/>
      <c r="R75" s="343"/>
      <c r="S75" s="343"/>
      <c r="T75" s="343"/>
      <c r="U75" s="344">
        <f>'Daily Tekrit'!$J75+'Daily Tekrit'!$M75+SUM($N75:$T75)</f>
        <v>268.89570000000003</v>
      </c>
      <c r="V75" s="306"/>
      <c r="W75" s="374"/>
      <c r="X75" s="354"/>
      <c r="Y75" s="354"/>
      <c r="Z75" s="346"/>
      <c r="AA75" s="347"/>
      <c r="AB75" s="347"/>
      <c r="AC75" s="347"/>
      <c r="AD75" s="348">
        <f t="shared" si="2"/>
        <v>0</v>
      </c>
      <c r="AE75" s="349"/>
      <c r="AF75" s="349"/>
      <c r="AG75" s="349"/>
      <c r="AH75" s="349"/>
      <c r="AI75" s="349"/>
      <c r="AJ75" s="349"/>
      <c r="AK75" s="349"/>
      <c r="AL75" s="349"/>
      <c r="AM75" s="350">
        <f t="shared" si="7"/>
        <v>0</v>
      </c>
      <c r="AN75" s="349"/>
      <c r="AO75" s="351">
        <f t="shared" si="6"/>
        <v>0</v>
      </c>
      <c r="AP75" s="352"/>
      <c r="AQ75" s="306"/>
      <c r="AR75" s="353">
        <f t="shared" si="5"/>
        <v>268.89570000000003</v>
      </c>
      <c r="AS75" s="239"/>
      <c r="AT75" s="239"/>
      <c r="AU75" s="239"/>
    </row>
    <row r="76" spans="1:47" x14ac:dyDescent="0.35">
      <c r="A76" s="332">
        <v>46066</v>
      </c>
      <c r="B76" s="371" t="s">
        <v>25</v>
      </c>
      <c r="C76" s="372">
        <f>'ODOMETERS Tekrit'!J72</f>
        <v>112</v>
      </c>
      <c r="D76" s="334">
        <v>0.79379999999999995</v>
      </c>
      <c r="E76" s="335">
        <f>'Daily Tekrit'!$C76*'Daily Tekrit'!$D76</f>
        <v>88.905599999999993</v>
      </c>
      <c r="F76" s="336">
        <f>'ODOMETERS Tekrit'!K72</f>
        <v>111</v>
      </c>
      <c r="G76" s="334">
        <v>0.79379999999999995</v>
      </c>
      <c r="H76" s="335">
        <f>'Daily Tekrit'!$F76*'Daily Tekrit'!$G76</f>
        <v>88.111799999999988</v>
      </c>
      <c r="I76" s="336">
        <f>'Daily Tekrit'!$C76+'Daily Tekrit'!$F76</f>
        <v>223</v>
      </c>
      <c r="J76" s="337">
        <f>'Daily Tekrit'!$E76+'Daily Tekrit'!$H76</f>
        <v>177.01739999999998</v>
      </c>
      <c r="K76" s="338">
        <f>'ODOMETERS Tekrit'!L72</f>
        <v>102</v>
      </c>
      <c r="L76" s="339">
        <v>0.75470000000000004</v>
      </c>
      <c r="M76" s="340">
        <f>'Daily Tekrit'!$K76*'Daily Tekrit'!$L76</f>
        <v>76.979399999999998</v>
      </c>
      <c r="N76" s="343"/>
      <c r="O76" s="343"/>
      <c r="P76" s="343"/>
      <c r="Q76" s="343"/>
      <c r="R76" s="343"/>
      <c r="S76" s="343"/>
      <c r="T76" s="343"/>
      <c r="U76" s="344">
        <f>'Daily Tekrit'!$J76+'Daily Tekrit'!$M76+SUM($N76:$T76)</f>
        <v>253.99679999999998</v>
      </c>
      <c r="V76" s="306"/>
      <c r="W76" s="374"/>
      <c r="X76" s="354"/>
      <c r="Y76" s="354">
        <v>1</v>
      </c>
      <c r="Z76" s="346"/>
      <c r="AA76" s="347"/>
      <c r="AB76" s="347"/>
      <c r="AC76" s="347"/>
      <c r="AD76" s="348">
        <f t="shared" si="2"/>
        <v>0</v>
      </c>
      <c r="AE76" s="349">
        <v>6000</v>
      </c>
      <c r="AF76" s="349"/>
      <c r="AG76" s="349"/>
      <c r="AH76" s="349"/>
      <c r="AI76" s="349"/>
      <c r="AJ76" s="349"/>
      <c r="AK76" s="349"/>
      <c r="AL76" s="349"/>
      <c r="AM76" s="350">
        <f t="shared" si="7"/>
        <v>6000</v>
      </c>
      <c r="AN76" s="349"/>
      <c r="AO76" s="351">
        <f t="shared" si="6"/>
        <v>6001</v>
      </c>
      <c r="AP76" s="352" t="s">
        <v>203</v>
      </c>
      <c r="AQ76" s="306"/>
      <c r="AR76" s="353">
        <f t="shared" si="5"/>
        <v>-5747.0032000000001</v>
      </c>
      <c r="AS76" s="239"/>
      <c r="AT76" s="239"/>
      <c r="AU76" s="239"/>
    </row>
    <row r="77" spans="1:47" x14ac:dyDescent="0.35">
      <c r="A77" s="332">
        <v>46067</v>
      </c>
      <c r="B77" s="371"/>
      <c r="C77" s="372">
        <f>'ODOMETERS Tekrit'!J73</f>
        <v>273</v>
      </c>
      <c r="D77" s="334">
        <v>0.79379999999999995</v>
      </c>
      <c r="E77" s="335">
        <f>'Daily Tekrit'!$C77*'Daily Tekrit'!$D77</f>
        <v>216.70739999999998</v>
      </c>
      <c r="F77" s="336">
        <f>'ODOMETERS Tekrit'!K73</f>
        <v>282</v>
      </c>
      <c r="G77" s="334">
        <v>0.79379999999999995</v>
      </c>
      <c r="H77" s="335">
        <f>'Daily Tekrit'!$F77*'Daily Tekrit'!$G77</f>
        <v>223.85159999999999</v>
      </c>
      <c r="I77" s="336">
        <f>'Daily Tekrit'!$C77+'Daily Tekrit'!$F77</f>
        <v>555</v>
      </c>
      <c r="J77" s="337">
        <f>'Daily Tekrit'!$E77+'Daily Tekrit'!$H77</f>
        <v>440.55899999999997</v>
      </c>
      <c r="K77" s="338">
        <f>'ODOMETERS Tekrit'!L73</f>
        <v>312</v>
      </c>
      <c r="L77" s="339">
        <v>0.75470000000000004</v>
      </c>
      <c r="M77" s="340">
        <f>'Daily Tekrit'!$K77*'Daily Tekrit'!$L77</f>
        <v>235.46640000000002</v>
      </c>
      <c r="N77" s="343"/>
      <c r="O77" s="343"/>
      <c r="P77" s="343"/>
      <c r="Q77" s="343"/>
      <c r="R77" s="343"/>
      <c r="S77" s="343">
        <f>2100000/89700</f>
        <v>23.411371237458194</v>
      </c>
      <c r="T77" s="343"/>
      <c r="U77" s="344">
        <f>'Daily Tekrit'!$J77+'Daily Tekrit'!$M77+SUM($N77:$T77)</f>
        <v>699.43677123745817</v>
      </c>
      <c r="V77" s="306"/>
      <c r="W77" s="374">
        <v>35</v>
      </c>
      <c r="X77" s="354"/>
      <c r="Y77" s="354"/>
      <c r="Z77" s="346"/>
      <c r="AA77" s="347"/>
      <c r="AB77" s="347"/>
      <c r="AC77" s="347"/>
      <c r="AD77" s="348">
        <f t="shared" si="2"/>
        <v>0</v>
      </c>
      <c r="AE77" s="349"/>
      <c r="AF77" s="349"/>
      <c r="AG77" s="349"/>
      <c r="AH77" s="349">
        <f>500/89.7</f>
        <v>5.5741360089186172</v>
      </c>
      <c r="AI77" s="349"/>
      <c r="AJ77" s="349"/>
      <c r="AK77" s="349"/>
      <c r="AL77" s="349"/>
      <c r="AM77" s="350">
        <f t="shared" si="7"/>
        <v>5.5741360089186172</v>
      </c>
      <c r="AN77" s="349"/>
      <c r="AO77" s="351">
        <f t="shared" si="6"/>
        <v>40.574136008918614</v>
      </c>
      <c r="AP77" s="352"/>
      <c r="AQ77" s="306"/>
      <c r="AR77" s="353">
        <f t="shared" si="5"/>
        <v>658.8626352285396</v>
      </c>
      <c r="AS77" s="239"/>
      <c r="AT77" s="239"/>
      <c r="AU77" s="239"/>
    </row>
    <row r="78" spans="1:47" x14ac:dyDescent="0.35">
      <c r="A78" s="332">
        <v>46068</v>
      </c>
      <c r="B78" s="371"/>
      <c r="C78" s="372">
        <f>'ODOMETERS Tekrit'!J74</f>
        <v>304</v>
      </c>
      <c r="D78" s="334">
        <v>0.79379999999999995</v>
      </c>
      <c r="E78" s="335">
        <f>'Daily Tekrit'!$C78*'Daily Tekrit'!$D78</f>
        <v>241.31519999999998</v>
      </c>
      <c r="F78" s="336">
        <f>'ODOMETERS Tekrit'!K74</f>
        <v>436</v>
      </c>
      <c r="G78" s="334">
        <v>0.79379999999999995</v>
      </c>
      <c r="H78" s="335">
        <f>'Daily Tekrit'!$F78*'Daily Tekrit'!$G78</f>
        <v>346.09679999999997</v>
      </c>
      <c r="I78" s="336">
        <f>'Daily Tekrit'!$C78+'Daily Tekrit'!$F78</f>
        <v>740</v>
      </c>
      <c r="J78" s="337">
        <f>'Daily Tekrit'!$E78+'Daily Tekrit'!$H78</f>
        <v>587.41199999999992</v>
      </c>
      <c r="K78" s="338">
        <f>'ODOMETERS Tekrit'!L74</f>
        <v>205</v>
      </c>
      <c r="L78" s="339">
        <v>0.75470000000000004</v>
      </c>
      <c r="M78" s="340">
        <f>'Daily Tekrit'!$K78*'Daily Tekrit'!$L78</f>
        <v>154.71350000000001</v>
      </c>
      <c r="N78" s="343">
        <v>6.68</v>
      </c>
      <c r="O78" s="343"/>
      <c r="P78" s="343"/>
      <c r="Q78" s="343"/>
      <c r="R78" s="343"/>
      <c r="S78" s="343">
        <v>40</v>
      </c>
      <c r="T78" s="343"/>
      <c r="U78" s="344">
        <f>'Daily Tekrit'!$J78+'Daily Tekrit'!$M78+SUM($N78:$T78)</f>
        <v>788.80549999999982</v>
      </c>
      <c r="V78" s="306"/>
      <c r="W78" s="374"/>
      <c r="X78" s="354"/>
      <c r="Y78" s="354"/>
      <c r="Z78" s="346"/>
      <c r="AA78" s="347"/>
      <c r="AB78" s="347"/>
      <c r="AC78" s="347"/>
      <c r="AD78" s="348">
        <f t="shared" si="2"/>
        <v>0</v>
      </c>
      <c r="AE78" s="349"/>
      <c r="AF78" s="349">
        <v>150</v>
      </c>
      <c r="AG78" s="349"/>
      <c r="AH78" s="349"/>
      <c r="AI78" s="349"/>
      <c r="AJ78" s="349"/>
      <c r="AK78" s="349"/>
      <c r="AL78" s="349"/>
      <c r="AM78" s="350">
        <f t="shared" si="7"/>
        <v>150</v>
      </c>
      <c r="AN78" s="349"/>
      <c r="AO78" s="351">
        <f t="shared" si="6"/>
        <v>150</v>
      </c>
      <c r="AP78" s="352"/>
      <c r="AQ78" s="306"/>
      <c r="AR78" s="353">
        <f t="shared" ref="AR78:AR141" si="8">U78-AO78</f>
        <v>638.80549999999982</v>
      </c>
      <c r="AS78" s="239"/>
      <c r="AT78" s="239"/>
      <c r="AU78" s="239"/>
    </row>
    <row r="79" spans="1:47" x14ac:dyDescent="0.35">
      <c r="A79" s="332">
        <v>46069</v>
      </c>
      <c r="B79" s="371"/>
      <c r="C79" s="372">
        <f>'ODOMETERS Tekrit'!J75</f>
        <v>296</v>
      </c>
      <c r="D79" s="334">
        <v>0.79379999999999995</v>
      </c>
      <c r="E79" s="335">
        <f>'Daily Tekrit'!$C79*'Daily Tekrit'!$D79</f>
        <v>234.9648</v>
      </c>
      <c r="F79" s="336">
        <f>'ODOMETERS Tekrit'!K75</f>
        <v>197</v>
      </c>
      <c r="G79" s="334">
        <v>0.79379999999999995</v>
      </c>
      <c r="H79" s="335">
        <f>'Daily Tekrit'!$F79*'Daily Tekrit'!$G79</f>
        <v>156.37859999999998</v>
      </c>
      <c r="I79" s="336">
        <f>'Daily Tekrit'!$C79+'Daily Tekrit'!$F79</f>
        <v>493</v>
      </c>
      <c r="J79" s="337">
        <f>'Daily Tekrit'!$E79+'Daily Tekrit'!$H79</f>
        <v>391.34339999999997</v>
      </c>
      <c r="K79" s="338">
        <f>'ODOMETERS Tekrit'!L75</f>
        <v>174</v>
      </c>
      <c r="L79" s="339">
        <v>0.75470000000000004</v>
      </c>
      <c r="M79" s="340">
        <f>'Daily Tekrit'!$K79*'Daily Tekrit'!$L79</f>
        <v>131.31780000000001</v>
      </c>
      <c r="N79" s="343">
        <f>300/89.7</f>
        <v>3.3444816053511706</v>
      </c>
      <c r="O79" s="343">
        <v>3</v>
      </c>
      <c r="P79" s="343"/>
      <c r="Q79" s="343"/>
      <c r="R79" s="343"/>
      <c r="S79" s="343"/>
      <c r="T79" s="343"/>
      <c r="U79" s="344">
        <f>'Daily Tekrit'!$J79+'Daily Tekrit'!$M79+SUM($N79:$T79)</f>
        <v>529.00568160535113</v>
      </c>
      <c r="V79" s="306"/>
      <c r="W79" s="374"/>
      <c r="X79" s="354">
        <v>62</v>
      </c>
      <c r="Y79" s="354">
        <v>5</v>
      </c>
      <c r="Z79" s="346"/>
      <c r="AA79" s="347"/>
      <c r="AB79" s="347"/>
      <c r="AC79" s="347"/>
      <c r="AD79" s="348">
        <f t="shared" si="2"/>
        <v>0</v>
      </c>
      <c r="AE79" s="349"/>
      <c r="AF79" s="349"/>
      <c r="AG79" s="349"/>
      <c r="AH79" s="349"/>
      <c r="AI79" s="349"/>
      <c r="AJ79" s="349"/>
      <c r="AK79" s="349"/>
      <c r="AL79" s="349"/>
      <c r="AM79" s="350">
        <f t="shared" si="7"/>
        <v>0</v>
      </c>
      <c r="AN79" s="349"/>
      <c r="AO79" s="351">
        <f t="shared" si="6"/>
        <v>67</v>
      </c>
      <c r="AP79" s="352"/>
      <c r="AQ79" s="306"/>
      <c r="AR79" s="353">
        <f t="shared" si="8"/>
        <v>462.00568160535113</v>
      </c>
      <c r="AS79" s="239"/>
      <c r="AT79" s="239"/>
      <c r="AU79" s="239"/>
    </row>
    <row r="80" spans="1:47" x14ac:dyDescent="0.35">
      <c r="A80" s="332">
        <v>46070</v>
      </c>
      <c r="B80" s="371" t="s">
        <v>24</v>
      </c>
      <c r="C80" s="372">
        <f>'ODOMETERS Tekrit'!J76</f>
        <v>120</v>
      </c>
      <c r="D80" s="334">
        <v>0.79379999999999995</v>
      </c>
      <c r="E80" s="335">
        <f>'Daily Tekrit'!$C80*'Daily Tekrit'!$D80</f>
        <v>95.256</v>
      </c>
      <c r="F80" s="336">
        <f>'ODOMETERS Tekrit'!K76</f>
        <v>144</v>
      </c>
      <c r="G80" s="334">
        <v>0.79379999999999995</v>
      </c>
      <c r="H80" s="335">
        <f>'Daily Tekrit'!$F80*'Daily Tekrit'!$G80</f>
        <v>114.30719999999999</v>
      </c>
      <c r="I80" s="336">
        <f>'Daily Tekrit'!$C80+'Daily Tekrit'!$F80</f>
        <v>264</v>
      </c>
      <c r="J80" s="337">
        <f>'Daily Tekrit'!$E80+'Daily Tekrit'!$H80</f>
        <v>209.56319999999999</v>
      </c>
      <c r="K80" s="338">
        <f>'ODOMETERS Tekrit'!L76</f>
        <v>55</v>
      </c>
      <c r="L80" s="339">
        <v>0.75470000000000004</v>
      </c>
      <c r="M80" s="340">
        <f>'Daily Tekrit'!$K80*'Daily Tekrit'!$L80</f>
        <v>41.508500000000005</v>
      </c>
      <c r="N80" s="343"/>
      <c r="O80" s="343"/>
      <c r="P80" s="343"/>
      <c r="Q80" s="343"/>
      <c r="R80" s="343"/>
      <c r="S80" s="343"/>
      <c r="T80" s="343"/>
      <c r="U80" s="344">
        <f>'Daily Tekrit'!$J80+'Daily Tekrit'!$M80+SUM($N80:$T80)</f>
        <v>251.07169999999999</v>
      </c>
      <c r="V80" s="306"/>
      <c r="W80" s="374">
        <v>35</v>
      </c>
      <c r="X80" s="354"/>
      <c r="Y80" s="354"/>
      <c r="Z80" s="346"/>
      <c r="AA80" s="347"/>
      <c r="AB80" s="347"/>
      <c r="AC80" s="347"/>
      <c r="AD80" s="348">
        <f t="shared" si="2"/>
        <v>0</v>
      </c>
      <c r="AE80" s="349"/>
      <c r="AF80" s="349"/>
      <c r="AG80" s="349"/>
      <c r="AH80" s="349"/>
      <c r="AI80" s="349"/>
      <c r="AJ80" s="349"/>
      <c r="AK80" s="349"/>
      <c r="AL80" s="349"/>
      <c r="AM80" s="350">
        <f t="shared" si="7"/>
        <v>0</v>
      </c>
      <c r="AN80" s="349"/>
      <c r="AO80" s="351">
        <f t="shared" si="6"/>
        <v>35</v>
      </c>
      <c r="AP80" s="352"/>
      <c r="AQ80" s="306"/>
      <c r="AR80" s="353">
        <f t="shared" si="8"/>
        <v>216.07169999999999</v>
      </c>
      <c r="AS80" s="239"/>
      <c r="AT80" s="239"/>
      <c r="AU80" s="239"/>
    </row>
    <row r="81" spans="1:48" x14ac:dyDescent="0.35">
      <c r="A81" s="332">
        <v>46070</v>
      </c>
      <c r="B81" s="371" t="s">
        <v>25</v>
      </c>
      <c r="C81" s="372">
        <f>'ODOMETERS Tekrit'!J77</f>
        <v>154</v>
      </c>
      <c r="D81" s="334">
        <v>0.995</v>
      </c>
      <c r="E81" s="335">
        <f>'Daily Tekrit'!$C81*'Daily Tekrit'!$D81</f>
        <v>153.22999999999999</v>
      </c>
      <c r="F81" s="336">
        <f>'ODOMETERS Tekrit'!K77</f>
        <v>76</v>
      </c>
      <c r="G81" s="334">
        <v>0.995</v>
      </c>
      <c r="H81" s="335">
        <f>'Daily Tekrit'!$F81*'Daily Tekrit'!$G81</f>
        <v>75.62</v>
      </c>
      <c r="I81" s="336">
        <f>'Daily Tekrit'!$C81+'Daily Tekrit'!$F81</f>
        <v>230</v>
      </c>
      <c r="J81" s="337">
        <f>'Daily Tekrit'!$E81+'Daily Tekrit'!$H81</f>
        <v>228.85</v>
      </c>
      <c r="K81" s="338">
        <f>'ODOMETERS Tekrit'!L77</f>
        <v>319</v>
      </c>
      <c r="L81" s="339">
        <v>0.76700000000000002</v>
      </c>
      <c r="M81" s="340">
        <f>'Daily Tekrit'!$K81*'Daily Tekrit'!$L81</f>
        <v>244.673</v>
      </c>
      <c r="N81" s="343"/>
      <c r="O81" s="343"/>
      <c r="P81" s="343"/>
      <c r="Q81" s="343"/>
      <c r="R81" s="343"/>
      <c r="S81" s="343"/>
      <c r="T81" s="343"/>
      <c r="U81" s="344">
        <f>'Daily Tekrit'!$J81+'Daily Tekrit'!$M81+SUM($N81:$T81)</f>
        <v>473.52300000000002</v>
      </c>
      <c r="V81" s="306"/>
      <c r="W81" s="374">
        <f>200*0.767</f>
        <v>153.4</v>
      </c>
      <c r="X81" s="354"/>
      <c r="Y81" s="354"/>
      <c r="Z81" s="346"/>
      <c r="AA81" s="347"/>
      <c r="AB81" s="347"/>
      <c r="AC81" s="347"/>
      <c r="AD81" s="348">
        <f t="shared" si="2"/>
        <v>0</v>
      </c>
      <c r="AE81" s="349"/>
      <c r="AF81" s="349">
        <v>150</v>
      </c>
      <c r="AG81" s="349"/>
      <c r="AH81" s="349">
        <v>2</v>
      </c>
      <c r="AI81" s="349"/>
      <c r="AJ81" s="349"/>
      <c r="AK81" s="349"/>
      <c r="AL81" s="349"/>
      <c r="AM81" s="350">
        <f t="shared" si="7"/>
        <v>152</v>
      </c>
      <c r="AN81" s="349"/>
      <c r="AO81" s="351">
        <f t="shared" si="6"/>
        <v>305.39999999999998</v>
      </c>
      <c r="AP81" s="352"/>
      <c r="AQ81" s="306"/>
      <c r="AR81" s="353">
        <f t="shared" si="8"/>
        <v>168.12300000000005</v>
      </c>
      <c r="AS81" s="239"/>
      <c r="AT81" s="239"/>
      <c r="AU81" s="239"/>
    </row>
    <row r="82" spans="1:48" x14ac:dyDescent="0.35">
      <c r="A82" s="332">
        <v>46071</v>
      </c>
      <c r="B82" s="371"/>
      <c r="C82" s="372">
        <f>'ODOMETERS Tekrit'!J78</f>
        <v>469</v>
      </c>
      <c r="D82" s="334">
        <v>0.995</v>
      </c>
      <c r="E82" s="335">
        <f>'Daily Tekrit'!$C82*'Daily Tekrit'!$D82</f>
        <v>466.65499999999997</v>
      </c>
      <c r="F82" s="336">
        <f>'ODOMETERS Tekrit'!K78</f>
        <v>159</v>
      </c>
      <c r="G82" s="334">
        <v>0.995</v>
      </c>
      <c r="H82" s="335">
        <f>'Daily Tekrit'!$F82*'Daily Tekrit'!$G82</f>
        <v>158.20500000000001</v>
      </c>
      <c r="I82" s="336">
        <f>'Daily Tekrit'!$C82+'Daily Tekrit'!$F82</f>
        <v>628</v>
      </c>
      <c r="J82" s="337">
        <f>'Daily Tekrit'!$E82+'Daily Tekrit'!$H82</f>
        <v>624.86</v>
      </c>
      <c r="K82" s="338">
        <f>'ODOMETERS Tekrit'!L78</f>
        <v>216</v>
      </c>
      <c r="L82" s="339">
        <v>0.76700000000000002</v>
      </c>
      <c r="M82" s="340">
        <f>'Daily Tekrit'!$K82*'Daily Tekrit'!$L82</f>
        <v>165.672</v>
      </c>
      <c r="N82" s="343">
        <f>300/89.7</f>
        <v>3.3444816053511706</v>
      </c>
      <c r="O82" s="343"/>
      <c r="P82" s="343"/>
      <c r="Q82" s="343"/>
      <c r="R82" s="343"/>
      <c r="S82" s="343">
        <v>35</v>
      </c>
      <c r="T82" s="343"/>
      <c r="U82" s="344">
        <f>'Daily Tekrit'!$J82+'Daily Tekrit'!$M82+SUM($N82:$T82)</f>
        <v>828.87648160535116</v>
      </c>
      <c r="V82" s="306"/>
      <c r="W82" s="374"/>
      <c r="X82" s="354"/>
      <c r="Y82" s="354"/>
      <c r="Z82" s="346"/>
      <c r="AA82" s="347"/>
      <c r="AB82" s="347"/>
      <c r="AC82" s="347"/>
      <c r="AD82" s="348">
        <f t="shared" si="2"/>
        <v>0</v>
      </c>
      <c r="AE82" s="349"/>
      <c r="AF82" s="349"/>
      <c r="AG82" s="349"/>
      <c r="AH82" s="349"/>
      <c r="AI82" s="349"/>
      <c r="AJ82" s="349"/>
      <c r="AK82" s="349"/>
      <c r="AL82" s="349"/>
      <c r="AM82" s="350">
        <f t="shared" si="7"/>
        <v>0</v>
      </c>
      <c r="AN82" s="349"/>
      <c r="AO82" s="351">
        <f t="shared" si="6"/>
        <v>0</v>
      </c>
      <c r="AP82" s="352"/>
      <c r="AQ82" s="306"/>
      <c r="AR82" s="353">
        <f t="shared" si="8"/>
        <v>828.87648160535116</v>
      </c>
      <c r="AS82" s="239"/>
      <c r="AT82" s="239"/>
      <c r="AU82" s="239"/>
    </row>
    <row r="83" spans="1:48" x14ac:dyDescent="0.35">
      <c r="A83" s="332">
        <v>46072</v>
      </c>
      <c r="B83" s="371"/>
      <c r="C83" s="372">
        <f>'ODOMETERS Tekrit'!J79</f>
        <v>251</v>
      </c>
      <c r="D83" s="334">
        <v>0.995</v>
      </c>
      <c r="E83" s="335">
        <f>'Daily Tekrit'!$C83*'Daily Tekrit'!$D83</f>
        <v>249.745</v>
      </c>
      <c r="F83" s="336">
        <f>'ODOMETERS Tekrit'!K79</f>
        <v>291</v>
      </c>
      <c r="G83" s="334">
        <v>0.995</v>
      </c>
      <c r="H83" s="335">
        <f>'Daily Tekrit'!$F83*'Daily Tekrit'!$G83</f>
        <v>289.54500000000002</v>
      </c>
      <c r="I83" s="336">
        <f>'Daily Tekrit'!$C83+'Daily Tekrit'!$F83</f>
        <v>542</v>
      </c>
      <c r="J83" s="337">
        <f>'Daily Tekrit'!$E83+'Daily Tekrit'!$H83</f>
        <v>539.29</v>
      </c>
      <c r="K83" s="338">
        <f>'ODOMETERS Tekrit'!L79</f>
        <v>200</v>
      </c>
      <c r="L83" s="339">
        <v>0.76700000000000002</v>
      </c>
      <c r="M83" s="340">
        <f>'Daily Tekrit'!$K83*'Daily Tekrit'!$L83</f>
        <v>153.4</v>
      </c>
      <c r="N83" s="343"/>
      <c r="O83" s="343"/>
      <c r="P83" s="343"/>
      <c r="Q83" s="343"/>
      <c r="R83" s="343"/>
      <c r="S83" s="343"/>
      <c r="T83" s="343"/>
      <c r="U83" s="344">
        <f>'Daily Tekrit'!$J83+'Daily Tekrit'!$M83+SUM($N83:$T83)</f>
        <v>692.68999999999994</v>
      </c>
      <c r="V83" s="306"/>
      <c r="W83" s="374">
        <v>5</v>
      </c>
      <c r="X83" s="354"/>
      <c r="Y83" s="354"/>
      <c r="Z83" s="346"/>
      <c r="AA83" s="347"/>
      <c r="AB83" s="347"/>
      <c r="AC83" s="347"/>
      <c r="AD83" s="348">
        <f t="shared" si="2"/>
        <v>0</v>
      </c>
      <c r="AE83" s="349"/>
      <c r="AF83" s="349"/>
      <c r="AG83" s="349"/>
      <c r="AH83" s="349"/>
      <c r="AI83" s="349"/>
      <c r="AJ83" s="349"/>
      <c r="AK83" s="349"/>
      <c r="AL83" s="349"/>
      <c r="AM83" s="350">
        <f t="shared" si="7"/>
        <v>0</v>
      </c>
      <c r="AN83" s="349"/>
      <c r="AO83" s="351">
        <f t="shared" si="6"/>
        <v>5</v>
      </c>
      <c r="AP83" s="352"/>
      <c r="AQ83" s="306"/>
      <c r="AR83" s="353">
        <f t="shared" si="8"/>
        <v>687.68999999999994</v>
      </c>
      <c r="AS83" s="239"/>
      <c r="AT83" s="239"/>
      <c r="AU83" s="243"/>
    </row>
    <row r="84" spans="1:48" x14ac:dyDescent="0.35">
      <c r="A84" s="332">
        <v>46073</v>
      </c>
      <c r="B84" s="371" t="s">
        <v>24</v>
      </c>
      <c r="C84" s="372">
        <f>'ODOMETERS Tekrit'!J80</f>
        <v>255</v>
      </c>
      <c r="D84" s="334">
        <v>0.995</v>
      </c>
      <c r="E84" s="335">
        <f>'Daily Tekrit'!$C84*'Daily Tekrit'!$D84</f>
        <v>253.72499999999999</v>
      </c>
      <c r="F84" s="336">
        <f>'ODOMETERS Tekrit'!K80</f>
        <v>225</v>
      </c>
      <c r="G84" s="334">
        <v>0.995</v>
      </c>
      <c r="H84" s="335">
        <f>'Daily Tekrit'!$F84*'Daily Tekrit'!$G84</f>
        <v>223.875</v>
      </c>
      <c r="I84" s="336">
        <f>'Daily Tekrit'!$C84+'Daily Tekrit'!$F84</f>
        <v>480</v>
      </c>
      <c r="J84" s="337">
        <f>'Daily Tekrit'!$E84+'Daily Tekrit'!$H84</f>
        <v>477.6</v>
      </c>
      <c r="K84" s="338">
        <f>'ODOMETERS Tekrit'!L80</f>
        <v>115</v>
      </c>
      <c r="L84" s="339">
        <v>0.76700000000000002</v>
      </c>
      <c r="M84" s="340">
        <f>'Daily Tekrit'!$K84*'Daily Tekrit'!$L84</f>
        <v>88.204999999999998</v>
      </c>
      <c r="N84" s="343"/>
      <c r="O84" s="343"/>
      <c r="P84" s="343"/>
      <c r="Q84" s="343"/>
      <c r="R84" s="343"/>
      <c r="S84" s="343"/>
      <c r="T84" s="343"/>
      <c r="U84" s="344">
        <f>'Daily Tekrit'!$J84+'Daily Tekrit'!$M84+SUM($N84:$T84)</f>
        <v>565.80500000000006</v>
      </c>
      <c r="V84" s="306"/>
      <c r="W84" s="374">
        <v>8</v>
      </c>
      <c r="X84" s="354"/>
      <c r="Y84" s="354"/>
      <c r="Z84" s="346"/>
      <c r="AA84" s="347"/>
      <c r="AB84" s="347"/>
      <c r="AC84" s="347"/>
      <c r="AD84" s="348">
        <f t="shared" si="2"/>
        <v>0</v>
      </c>
      <c r="AE84" s="349"/>
      <c r="AF84" s="349"/>
      <c r="AG84" s="349"/>
      <c r="AH84" s="349"/>
      <c r="AI84" s="349"/>
      <c r="AJ84" s="349"/>
      <c r="AK84" s="349"/>
      <c r="AL84" s="349"/>
      <c r="AM84" s="350">
        <f t="shared" si="7"/>
        <v>0</v>
      </c>
      <c r="AN84" s="349"/>
      <c r="AO84" s="351">
        <f t="shared" si="6"/>
        <v>8</v>
      </c>
      <c r="AP84" s="352"/>
      <c r="AQ84" s="306"/>
      <c r="AR84" s="353">
        <f t="shared" si="8"/>
        <v>557.80500000000006</v>
      </c>
      <c r="AS84" s="239"/>
      <c r="AT84" s="239"/>
      <c r="AU84" s="243"/>
    </row>
    <row r="85" spans="1:48" x14ac:dyDescent="0.35">
      <c r="A85" s="332">
        <v>46073</v>
      </c>
      <c r="B85" s="371" t="s">
        <v>25</v>
      </c>
      <c r="C85" s="372">
        <f>'ODOMETERS Tekrit'!J81</f>
        <v>64</v>
      </c>
      <c r="D85" s="334">
        <v>0.99939999999999996</v>
      </c>
      <c r="E85" s="335">
        <f>'Daily Tekrit'!$C85*'Daily Tekrit'!$D85</f>
        <v>63.961599999999997</v>
      </c>
      <c r="F85" s="336">
        <f>'ODOMETERS Tekrit'!K81</f>
        <v>213</v>
      </c>
      <c r="G85" s="334">
        <v>0.995</v>
      </c>
      <c r="H85" s="335">
        <f>'Daily Tekrit'!$F85*'Daily Tekrit'!$G85</f>
        <v>211.935</v>
      </c>
      <c r="I85" s="336">
        <f>'Daily Tekrit'!$C85+'Daily Tekrit'!$F85</f>
        <v>277</v>
      </c>
      <c r="J85" s="337">
        <f>'Daily Tekrit'!$E85+'Daily Tekrit'!$H85</f>
        <v>275.89659999999998</v>
      </c>
      <c r="K85" s="338">
        <f>'ODOMETERS Tekrit'!L81</f>
        <v>47</v>
      </c>
      <c r="L85" s="339">
        <v>0.76919999999999999</v>
      </c>
      <c r="M85" s="340">
        <f>'Daily Tekrit'!$K85*'Daily Tekrit'!$L85</f>
        <v>36.1524</v>
      </c>
      <c r="N85" s="343"/>
      <c r="O85" s="343"/>
      <c r="P85" s="343"/>
      <c r="Q85" s="343"/>
      <c r="R85" s="343"/>
      <c r="S85" s="343">
        <f>500/89.7</f>
        <v>5.5741360089186172</v>
      </c>
      <c r="T85" s="343"/>
      <c r="U85" s="344">
        <f>'Daily Tekrit'!$J85+'Daily Tekrit'!$M85+SUM($N85:$T85)</f>
        <v>317.62313600891861</v>
      </c>
      <c r="V85" s="306"/>
      <c r="W85" s="374"/>
      <c r="X85" s="354"/>
      <c r="Y85" s="354">
        <v>13</v>
      </c>
      <c r="Z85" s="346"/>
      <c r="AA85" s="347"/>
      <c r="AB85" s="347"/>
      <c r="AC85" s="347"/>
      <c r="AD85" s="348">
        <f t="shared" si="2"/>
        <v>0</v>
      </c>
      <c r="AE85" s="349"/>
      <c r="AF85" s="349">
        <f>200/89.7</f>
        <v>2.229654403567447</v>
      </c>
      <c r="AG85" s="349"/>
      <c r="AH85" s="349"/>
      <c r="AI85" s="349"/>
      <c r="AJ85" s="349"/>
      <c r="AK85" s="349"/>
      <c r="AL85" s="349"/>
      <c r="AM85" s="350">
        <f t="shared" si="7"/>
        <v>2.229654403567447</v>
      </c>
      <c r="AN85" s="349"/>
      <c r="AO85" s="351">
        <f t="shared" si="6"/>
        <v>15.229654403567448</v>
      </c>
      <c r="AP85" s="352"/>
      <c r="AQ85" s="306"/>
      <c r="AR85" s="353">
        <f t="shared" si="8"/>
        <v>302.39348160535116</v>
      </c>
      <c r="AS85" s="239"/>
      <c r="AT85" s="239"/>
      <c r="AU85" s="243"/>
    </row>
    <row r="86" spans="1:48" x14ac:dyDescent="0.35">
      <c r="A86" s="332">
        <v>46074</v>
      </c>
      <c r="B86" s="371"/>
      <c r="C86" s="372">
        <f>'ODOMETERS Tekrit'!J82</f>
        <v>196</v>
      </c>
      <c r="D86" s="334">
        <v>0.99939999999999996</v>
      </c>
      <c r="E86" s="335">
        <f>'Daily Tekrit'!$C86*'Daily Tekrit'!$D86</f>
        <v>195.88239999999999</v>
      </c>
      <c r="F86" s="336">
        <f>'ODOMETERS Tekrit'!K82</f>
        <v>451</v>
      </c>
      <c r="G86" s="334">
        <v>0.995</v>
      </c>
      <c r="H86" s="335">
        <f>'Daily Tekrit'!$F86*'Daily Tekrit'!$G86</f>
        <v>448.745</v>
      </c>
      <c r="I86" s="336">
        <f>'Daily Tekrit'!$C86+'Daily Tekrit'!$F86</f>
        <v>647</v>
      </c>
      <c r="J86" s="337">
        <f>'Daily Tekrit'!$E86+'Daily Tekrit'!$H86</f>
        <v>644.62739999999997</v>
      </c>
      <c r="K86" s="338">
        <f>'ODOMETERS Tekrit'!L82</f>
        <v>206</v>
      </c>
      <c r="L86" s="339">
        <v>0.76919999999999999</v>
      </c>
      <c r="M86" s="340">
        <f>'Daily Tekrit'!$K86*'Daily Tekrit'!$L86</f>
        <v>158.45519999999999</v>
      </c>
      <c r="N86" s="343">
        <f>300/89.7</f>
        <v>3.3444816053511706</v>
      </c>
      <c r="O86" s="343"/>
      <c r="P86" s="343"/>
      <c r="Q86" s="343"/>
      <c r="R86" s="343"/>
      <c r="S86" s="343"/>
      <c r="T86" s="343"/>
      <c r="U86" s="344">
        <f>'Daily Tekrit'!$J86+'Daily Tekrit'!$M86+SUM($N86:$T86)</f>
        <v>806.42708160535108</v>
      </c>
      <c r="V86" s="306"/>
      <c r="W86" s="374">
        <v>5</v>
      </c>
      <c r="X86" s="354"/>
      <c r="Y86" s="354">
        <v>-5</v>
      </c>
      <c r="Z86" s="346"/>
      <c r="AA86" s="347"/>
      <c r="AB86" s="347"/>
      <c r="AC86" s="347"/>
      <c r="AD86" s="348">
        <f t="shared" si="2"/>
        <v>0</v>
      </c>
      <c r="AE86" s="349"/>
      <c r="AF86" s="349"/>
      <c r="AG86" s="349"/>
      <c r="AH86" s="349"/>
      <c r="AI86" s="349"/>
      <c r="AJ86" s="349"/>
      <c r="AK86" s="349"/>
      <c r="AL86" s="349"/>
      <c r="AM86" s="350">
        <f t="shared" si="7"/>
        <v>0</v>
      </c>
      <c r="AN86" s="349"/>
      <c r="AO86" s="351">
        <f t="shared" si="6"/>
        <v>0</v>
      </c>
      <c r="AP86" s="352"/>
      <c r="AQ86" s="306"/>
      <c r="AR86" s="353">
        <f t="shared" si="8"/>
        <v>806.42708160535108</v>
      </c>
      <c r="AS86" s="239"/>
      <c r="AT86" s="239"/>
      <c r="AU86" s="239"/>
    </row>
    <row r="87" spans="1:48" x14ac:dyDescent="0.35">
      <c r="A87" s="332">
        <v>46075</v>
      </c>
      <c r="B87" s="371"/>
      <c r="C87" s="372">
        <f>'ODOMETERS Tekrit'!J83</f>
        <v>206</v>
      </c>
      <c r="D87" s="334">
        <v>0.99939999999999996</v>
      </c>
      <c r="E87" s="335">
        <f>'Daily Tekrit'!$C87*'Daily Tekrit'!$D87</f>
        <v>205.87639999999999</v>
      </c>
      <c r="F87" s="336">
        <f>'ODOMETERS Tekrit'!K83</f>
        <v>618</v>
      </c>
      <c r="G87" s="334">
        <v>0.995</v>
      </c>
      <c r="H87" s="335">
        <f>'Daily Tekrit'!$F87*'Daily Tekrit'!$G87</f>
        <v>614.91</v>
      </c>
      <c r="I87" s="336">
        <f>'Daily Tekrit'!$C87+'Daily Tekrit'!$F87</f>
        <v>824</v>
      </c>
      <c r="J87" s="337">
        <f>'Daily Tekrit'!$E87+'Daily Tekrit'!$H87</f>
        <v>820.78639999999996</v>
      </c>
      <c r="K87" s="338">
        <f>'ODOMETERS Tekrit'!L83</f>
        <v>247</v>
      </c>
      <c r="L87" s="339">
        <v>0.76919999999999999</v>
      </c>
      <c r="M87" s="340">
        <f>'Daily Tekrit'!$K87*'Daily Tekrit'!$L87</f>
        <v>189.9924</v>
      </c>
      <c r="N87" s="343">
        <f>300/89.7</f>
        <v>3.3444816053511706</v>
      </c>
      <c r="O87" s="343"/>
      <c r="P87" s="343"/>
      <c r="Q87" s="343"/>
      <c r="R87" s="343"/>
      <c r="S87" s="343"/>
      <c r="T87" s="343"/>
      <c r="U87" s="344">
        <f>'Daily Tekrit'!$J87+'Daily Tekrit'!$M87+SUM($N87:$T87)</f>
        <v>1014.1232816053511</v>
      </c>
      <c r="V87" s="306"/>
      <c r="W87" s="374">
        <f>1250/89.7+5+25+1500/89.7</f>
        <v>60.657748049052394</v>
      </c>
      <c r="X87" s="354"/>
      <c r="Y87" s="354">
        <v>-2</v>
      </c>
      <c r="Z87" s="346"/>
      <c r="AA87" s="347"/>
      <c r="AB87" s="347"/>
      <c r="AC87" s="347"/>
      <c r="AD87" s="348">
        <f t="shared" si="2"/>
        <v>0</v>
      </c>
      <c r="AE87" s="349"/>
      <c r="AF87" s="349"/>
      <c r="AG87" s="349"/>
      <c r="AH87" s="349">
        <f>400/89.7</f>
        <v>4.4593088071348941</v>
      </c>
      <c r="AI87" s="349"/>
      <c r="AJ87" s="349"/>
      <c r="AK87" s="349"/>
      <c r="AL87" s="349"/>
      <c r="AM87" s="350">
        <f t="shared" si="7"/>
        <v>4.4593088071348941</v>
      </c>
      <c r="AN87" s="349"/>
      <c r="AO87" s="351">
        <f t="shared" si="6"/>
        <v>63.11705685618729</v>
      </c>
      <c r="AP87" s="352"/>
      <c r="AQ87" s="306"/>
      <c r="AR87" s="353">
        <f t="shared" si="8"/>
        <v>951.00622474916372</v>
      </c>
      <c r="AS87" s="239"/>
      <c r="AT87" s="239"/>
      <c r="AU87" s="239"/>
    </row>
    <row r="88" spans="1:48" x14ac:dyDescent="0.35">
      <c r="A88" s="332">
        <v>46076</v>
      </c>
      <c r="B88" s="371"/>
      <c r="C88" s="372">
        <f>'ODOMETERS Tekrit'!J84</f>
        <v>96</v>
      </c>
      <c r="D88" s="334">
        <v>0.99939999999999996</v>
      </c>
      <c r="E88" s="335">
        <f>'Daily Tekrit'!$C88*'Daily Tekrit'!$D88</f>
        <v>95.942399999999992</v>
      </c>
      <c r="F88" s="336">
        <f>'ODOMETERS Tekrit'!K84</f>
        <v>759</v>
      </c>
      <c r="G88" s="334">
        <v>0.995</v>
      </c>
      <c r="H88" s="335">
        <f>'Daily Tekrit'!$F88*'Daily Tekrit'!$G88</f>
        <v>755.20500000000004</v>
      </c>
      <c r="I88" s="336">
        <f>'Daily Tekrit'!$C88+'Daily Tekrit'!$F88</f>
        <v>855</v>
      </c>
      <c r="J88" s="337">
        <f>'Daily Tekrit'!$E88+'Daily Tekrit'!$H88</f>
        <v>851.14740000000006</v>
      </c>
      <c r="K88" s="338">
        <f>'ODOMETERS Tekrit'!L84</f>
        <v>308</v>
      </c>
      <c r="L88" s="339">
        <v>0.76919999999999999</v>
      </c>
      <c r="M88" s="340">
        <f>'Daily Tekrit'!$K88*'Daily Tekrit'!$L88</f>
        <v>236.9136</v>
      </c>
      <c r="N88" s="343"/>
      <c r="O88" s="343"/>
      <c r="P88" s="343"/>
      <c r="Q88" s="343"/>
      <c r="R88" s="343"/>
      <c r="S88" s="343"/>
      <c r="T88" s="343"/>
      <c r="U88" s="344">
        <f>'Daily Tekrit'!$J88+'Daily Tekrit'!$M88+SUM($N88:$T88)</f>
        <v>1088.0610000000001</v>
      </c>
      <c r="V88" s="306"/>
      <c r="W88" s="374">
        <f>235.5+15+9*0.9994</f>
        <v>259.49459999999999</v>
      </c>
      <c r="X88" s="354"/>
      <c r="Y88" s="354"/>
      <c r="Z88" s="346"/>
      <c r="AA88" s="347"/>
      <c r="AB88" s="347"/>
      <c r="AC88" s="347"/>
      <c r="AD88" s="348">
        <f>SUM(Z88:AC88)</f>
        <v>0</v>
      </c>
      <c r="AE88" s="349"/>
      <c r="AF88" s="349"/>
      <c r="AG88" s="349"/>
      <c r="AH88" s="349"/>
      <c r="AI88" s="349"/>
      <c r="AJ88" s="349">
        <f>300/89.7</f>
        <v>3.3444816053511706</v>
      </c>
      <c r="AK88" s="349"/>
      <c r="AL88" s="349"/>
      <c r="AM88" s="350">
        <f>SUM(AE88:AL88)</f>
        <v>3.3444816053511706</v>
      </c>
      <c r="AN88" s="349"/>
      <c r="AO88" s="351">
        <f>SUM(W88:Y88,AD88,AM88,AN88)</f>
        <v>262.83908160535117</v>
      </c>
      <c r="AP88" s="352"/>
      <c r="AQ88" s="306"/>
      <c r="AR88" s="353">
        <f t="shared" si="8"/>
        <v>825.22191839464904</v>
      </c>
      <c r="AS88" s="239"/>
      <c r="AT88" s="239"/>
      <c r="AU88" s="239"/>
    </row>
    <row r="89" spans="1:48" x14ac:dyDescent="0.35">
      <c r="A89" s="332">
        <v>46077</v>
      </c>
      <c r="B89" s="371" t="s">
        <v>24</v>
      </c>
      <c r="C89" s="372">
        <f>'ODOMETERS Tekrit'!J85</f>
        <v>362</v>
      </c>
      <c r="D89" s="334">
        <v>0.99939999999999996</v>
      </c>
      <c r="E89" s="335">
        <f>'Daily Tekrit'!$C89*'Daily Tekrit'!$D89</f>
        <v>361.78280000000001</v>
      </c>
      <c r="F89" s="336">
        <f>'ODOMETERS Tekrit'!K85</f>
        <v>133</v>
      </c>
      <c r="G89" s="334">
        <v>0.995</v>
      </c>
      <c r="H89" s="335">
        <f>'Daily Tekrit'!$F89*'Daily Tekrit'!$G89</f>
        <v>132.33500000000001</v>
      </c>
      <c r="I89" s="336">
        <f>'Daily Tekrit'!$C89+'Daily Tekrit'!$F89</f>
        <v>495</v>
      </c>
      <c r="J89" s="337">
        <f>'Daily Tekrit'!$E89+'Daily Tekrit'!$H89</f>
        <v>494.11779999999999</v>
      </c>
      <c r="K89" s="338">
        <f>'ODOMETERS Tekrit'!L85</f>
        <v>227</v>
      </c>
      <c r="L89" s="339">
        <v>0.76919999999999999</v>
      </c>
      <c r="M89" s="340">
        <f>'Daily Tekrit'!$K89*'Daily Tekrit'!$L89</f>
        <v>174.60839999999999</v>
      </c>
      <c r="N89" s="343"/>
      <c r="O89" s="343"/>
      <c r="P89" s="343"/>
      <c r="Q89" s="343"/>
      <c r="R89" s="343"/>
      <c r="S89" s="343">
        <f>1500/89.7</f>
        <v>16.722408026755851</v>
      </c>
      <c r="T89" s="343"/>
      <c r="U89" s="344">
        <f>'Daily Tekrit'!$J89+'Daily Tekrit'!$M89+SUM($N89:$T89)</f>
        <v>685.44860802675578</v>
      </c>
      <c r="V89" s="306"/>
      <c r="W89" s="374">
        <f>1900/89.7+30</f>
        <v>51.181716833890746</v>
      </c>
      <c r="X89" s="354"/>
      <c r="Y89" s="354"/>
      <c r="Z89" s="346"/>
      <c r="AA89" s="347"/>
      <c r="AB89" s="347"/>
      <c r="AC89" s="347"/>
      <c r="AD89" s="348">
        <f t="shared" si="2"/>
        <v>0</v>
      </c>
      <c r="AE89" s="349"/>
      <c r="AF89" s="349"/>
      <c r="AG89" s="349"/>
      <c r="AH89" s="349"/>
      <c r="AI89" s="349"/>
      <c r="AJ89" s="349"/>
      <c r="AK89" s="349"/>
      <c r="AL89" s="349"/>
      <c r="AM89" s="350">
        <f t="shared" si="7"/>
        <v>0</v>
      </c>
      <c r="AN89" s="349"/>
      <c r="AO89" s="351">
        <f t="shared" si="6"/>
        <v>51.181716833890746</v>
      </c>
      <c r="AP89" s="352"/>
      <c r="AQ89" s="306"/>
      <c r="AR89" s="353">
        <f t="shared" si="8"/>
        <v>634.26689119286505</v>
      </c>
      <c r="AS89" s="239"/>
      <c r="AT89" s="239"/>
      <c r="AU89" s="239"/>
    </row>
    <row r="90" spans="1:48" x14ac:dyDescent="0.35">
      <c r="A90" s="332">
        <v>46077</v>
      </c>
      <c r="B90" s="371" t="s">
        <v>25</v>
      </c>
      <c r="C90" s="372">
        <f>'ODOMETERS Tekrit'!J86</f>
        <v>197</v>
      </c>
      <c r="D90" s="334">
        <v>1.0027999999999999</v>
      </c>
      <c r="E90" s="335">
        <f>'Daily Tekrit'!$C90*'Daily Tekrit'!$D90</f>
        <v>197.55159999999998</v>
      </c>
      <c r="F90" s="336">
        <f>'ODOMETERS Tekrit'!K86</f>
        <v>98</v>
      </c>
      <c r="G90" s="334">
        <v>1.0027999999999999</v>
      </c>
      <c r="H90" s="335">
        <f>'Daily Tekrit'!$F90*'Daily Tekrit'!$G90</f>
        <v>98.274399999999986</v>
      </c>
      <c r="I90" s="336">
        <f>'Daily Tekrit'!$C90+'Daily Tekrit'!$F90</f>
        <v>295</v>
      </c>
      <c r="J90" s="337">
        <f>'Daily Tekrit'!$E90+'Daily Tekrit'!$H90</f>
        <v>295.82599999999996</v>
      </c>
      <c r="K90" s="338">
        <f>'ODOMETERS Tekrit'!L86</f>
        <v>52</v>
      </c>
      <c r="L90" s="339">
        <v>0.77029999999999998</v>
      </c>
      <c r="M90" s="340">
        <f>'Daily Tekrit'!$K90*'Daily Tekrit'!$L90</f>
        <v>40.055599999999998</v>
      </c>
      <c r="N90" s="343"/>
      <c r="O90" s="343"/>
      <c r="P90" s="343"/>
      <c r="Q90" s="343"/>
      <c r="R90" s="343"/>
      <c r="S90" s="343">
        <f>1900/89.7</f>
        <v>21.181716833890746</v>
      </c>
      <c r="T90" s="343"/>
      <c r="U90" s="344">
        <f>'Daily Tekrit'!$J90+'Daily Tekrit'!$M90+SUM($N90:$T90)</f>
        <v>357.06331683389067</v>
      </c>
      <c r="V90" s="306"/>
      <c r="W90" s="374">
        <f>9.5*1.0028</f>
        <v>9.5265999999999984</v>
      </c>
      <c r="X90" s="354"/>
      <c r="Y90" s="354">
        <v>4</v>
      </c>
      <c r="Z90" s="346"/>
      <c r="AA90" s="347"/>
      <c r="AB90" s="347"/>
      <c r="AC90" s="347"/>
      <c r="AD90" s="348">
        <f t="shared" si="2"/>
        <v>0</v>
      </c>
      <c r="AE90" s="349"/>
      <c r="AF90" s="349"/>
      <c r="AG90" s="349"/>
      <c r="AH90" s="349"/>
      <c r="AI90" s="349"/>
      <c r="AJ90" s="349"/>
      <c r="AK90" s="349"/>
      <c r="AL90" s="349"/>
      <c r="AM90" s="350">
        <f t="shared" si="7"/>
        <v>0</v>
      </c>
      <c r="AN90" s="349"/>
      <c r="AO90" s="351">
        <f t="shared" si="6"/>
        <v>13.526599999999998</v>
      </c>
      <c r="AP90" s="352"/>
      <c r="AQ90" s="306"/>
      <c r="AR90" s="353">
        <f t="shared" si="8"/>
        <v>343.53671683389069</v>
      </c>
      <c r="AS90" s="239"/>
      <c r="AT90" s="239"/>
      <c r="AU90" s="239"/>
    </row>
    <row r="91" spans="1:48" x14ac:dyDescent="0.35">
      <c r="A91" s="332">
        <v>46078</v>
      </c>
      <c r="B91" s="371"/>
      <c r="C91" s="372">
        <f>'ODOMETERS Tekrit'!J87</f>
        <v>611</v>
      </c>
      <c r="D91" s="334">
        <v>1.0027999999999999</v>
      </c>
      <c r="E91" s="335">
        <f>'Daily Tekrit'!$C91*'Daily Tekrit'!$D91</f>
        <v>612.71079999999995</v>
      </c>
      <c r="F91" s="336">
        <f>'ODOMETERS Tekrit'!K87</f>
        <v>65</v>
      </c>
      <c r="G91" s="334">
        <v>1.0027999999999999</v>
      </c>
      <c r="H91" s="335">
        <f>'Daily Tekrit'!$F91*'Daily Tekrit'!$G91</f>
        <v>65.181999999999988</v>
      </c>
      <c r="I91" s="336">
        <f>'Daily Tekrit'!$C91+'Daily Tekrit'!$F91</f>
        <v>676</v>
      </c>
      <c r="J91" s="337">
        <f>'Daily Tekrit'!$E91+'Daily Tekrit'!$H91</f>
        <v>677.89279999999997</v>
      </c>
      <c r="K91" s="338">
        <f>'ODOMETERS Tekrit'!L87</f>
        <v>226</v>
      </c>
      <c r="L91" s="339">
        <v>0.77029999999999998</v>
      </c>
      <c r="M91" s="340">
        <f>'Daily Tekrit'!$K91*'Daily Tekrit'!$L91</f>
        <v>174.08779999999999</v>
      </c>
      <c r="N91" s="343"/>
      <c r="O91" s="343"/>
      <c r="P91" s="343"/>
      <c r="Q91" s="343"/>
      <c r="R91" s="343"/>
      <c r="S91" s="343"/>
      <c r="T91" s="343"/>
      <c r="U91" s="344">
        <f>'Daily Tekrit'!$J91+'Daily Tekrit'!$M91+SUM($N91:$T91)</f>
        <v>851.98059999999998</v>
      </c>
      <c r="V91" s="306"/>
      <c r="W91" s="374">
        <v>5</v>
      </c>
      <c r="X91" s="354"/>
      <c r="Y91" s="354"/>
      <c r="Z91" s="346"/>
      <c r="AA91" s="347"/>
      <c r="AB91" s="347"/>
      <c r="AC91" s="347"/>
      <c r="AD91" s="348">
        <f t="shared" si="2"/>
        <v>0</v>
      </c>
      <c r="AE91" s="349"/>
      <c r="AF91" s="349"/>
      <c r="AG91" s="349"/>
      <c r="AH91" s="349"/>
      <c r="AI91" s="349"/>
      <c r="AJ91" s="349"/>
      <c r="AK91" s="349"/>
      <c r="AL91" s="349"/>
      <c r="AM91" s="350">
        <f t="shared" si="7"/>
        <v>0</v>
      </c>
      <c r="AN91" s="349"/>
      <c r="AO91" s="351">
        <f t="shared" si="6"/>
        <v>5</v>
      </c>
      <c r="AP91" s="352"/>
      <c r="AQ91" s="306"/>
      <c r="AR91" s="353">
        <f t="shared" si="8"/>
        <v>846.98059999999998</v>
      </c>
      <c r="AS91" s="239"/>
      <c r="AT91" s="239"/>
      <c r="AU91" s="239"/>
    </row>
    <row r="92" spans="1:48" x14ac:dyDescent="0.35">
      <c r="A92" s="332">
        <v>46079</v>
      </c>
      <c r="B92" s="371"/>
      <c r="C92" s="372">
        <f>'ODOMETERS Tekrit'!J88</f>
        <v>733</v>
      </c>
      <c r="D92" s="334">
        <v>1.0027999999999999</v>
      </c>
      <c r="E92" s="335">
        <f>'Daily Tekrit'!$C92*'Daily Tekrit'!$D92</f>
        <v>735.05239999999992</v>
      </c>
      <c r="F92" s="336">
        <f>'ODOMETERS Tekrit'!K88</f>
        <v>10</v>
      </c>
      <c r="G92" s="334">
        <v>1.0027999999999999</v>
      </c>
      <c r="H92" s="335">
        <f>'Daily Tekrit'!$F92*'Daily Tekrit'!$G92</f>
        <v>10.027999999999999</v>
      </c>
      <c r="I92" s="336">
        <f>'Daily Tekrit'!$C92+'Daily Tekrit'!$F92</f>
        <v>743</v>
      </c>
      <c r="J92" s="337">
        <f>'Daily Tekrit'!$E92+'Daily Tekrit'!$H92</f>
        <v>745.08039999999994</v>
      </c>
      <c r="K92" s="338">
        <f>'ODOMETERS Tekrit'!L88</f>
        <v>368</v>
      </c>
      <c r="L92" s="339">
        <v>0.77029999999999998</v>
      </c>
      <c r="M92" s="340">
        <f>'Daily Tekrit'!$K92*'Daily Tekrit'!$L92</f>
        <v>283.47039999999998</v>
      </c>
      <c r="N92" s="343">
        <f>300/89.7</f>
        <v>3.3444816053511706</v>
      </c>
      <c r="O92" s="343"/>
      <c r="P92" s="343"/>
      <c r="Q92" s="343"/>
      <c r="R92" s="343"/>
      <c r="S92" s="343"/>
      <c r="T92" s="343"/>
      <c r="U92" s="344">
        <f>'Daily Tekrit'!$J92+'Daily Tekrit'!$M92+SUM($N92:$T92)</f>
        <v>1031.8952816053511</v>
      </c>
      <c r="V92" s="306"/>
      <c r="W92" s="374">
        <v>80</v>
      </c>
      <c r="X92" s="354">
        <f>50*0.7703</f>
        <v>38.515000000000001</v>
      </c>
      <c r="Y92" s="354">
        <v>3</v>
      </c>
      <c r="Z92" s="346"/>
      <c r="AA92" s="347"/>
      <c r="AB92" s="347"/>
      <c r="AC92" s="347"/>
      <c r="AD92" s="348">
        <f t="shared" si="2"/>
        <v>0</v>
      </c>
      <c r="AE92" s="349"/>
      <c r="AF92" s="349"/>
      <c r="AG92" s="349"/>
      <c r="AH92" s="349">
        <f>500/89.7</f>
        <v>5.5741360089186172</v>
      </c>
      <c r="AI92" s="349"/>
      <c r="AJ92" s="349"/>
      <c r="AK92" s="349"/>
      <c r="AL92" s="349"/>
      <c r="AM92" s="350">
        <f t="shared" si="7"/>
        <v>5.5741360089186172</v>
      </c>
      <c r="AN92" s="349"/>
      <c r="AO92" s="351">
        <f t="shared" si="6"/>
        <v>127.08913600891862</v>
      </c>
      <c r="AP92" s="352"/>
      <c r="AQ92" s="306"/>
      <c r="AR92" s="353">
        <f t="shared" si="8"/>
        <v>904.80614559643254</v>
      </c>
      <c r="AS92" s="239"/>
      <c r="AT92" s="239"/>
      <c r="AU92" s="239"/>
    </row>
    <row r="93" spans="1:48" x14ac:dyDescent="0.35">
      <c r="A93" s="332">
        <v>46080</v>
      </c>
      <c r="B93" s="371" t="s">
        <v>24</v>
      </c>
      <c r="C93" s="372">
        <f>'ODOMETERS Tekrit'!J89</f>
        <v>455</v>
      </c>
      <c r="D93" s="334">
        <v>1.0027999999999999</v>
      </c>
      <c r="E93" s="335">
        <f>'Daily Tekrit'!$C93*'Daily Tekrit'!$D93</f>
        <v>456.27399999999994</v>
      </c>
      <c r="F93" s="336">
        <f>'ODOMETERS Tekrit'!K89</f>
        <v>0</v>
      </c>
      <c r="G93" s="334">
        <v>1.0027999999999999</v>
      </c>
      <c r="H93" s="335">
        <f>'Daily Tekrit'!$F93*'Daily Tekrit'!$G93</f>
        <v>0</v>
      </c>
      <c r="I93" s="336">
        <f>'Daily Tekrit'!$C93+'Daily Tekrit'!$F93</f>
        <v>455</v>
      </c>
      <c r="J93" s="337">
        <f>'Daily Tekrit'!$E93+'Daily Tekrit'!$H93</f>
        <v>456.27399999999994</v>
      </c>
      <c r="K93" s="338">
        <f>'ODOMETERS Tekrit'!L89</f>
        <v>229</v>
      </c>
      <c r="L93" s="339">
        <v>0.77029999999999998</v>
      </c>
      <c r="M93" s="340">
        <f>'Daily Tekrit'!$K93*'Daily Tekrit'!$L93</f>
        <v>176.39869999999999</v>
      </c>
      <c r="N93" s="343">
        <f>300/89.7</f>
        <v>3.3444816053511706</v>
      </c>
      <c r="O93" s="343"/>
      <c r="P93" s="343"/>
      <c r="Q93" s="343"/>
      <c r="R93" s="343"/>
      <c r="S93" s="343"/>
      <c r="T93" s="343"/>
      <c r="U93" s="344">
        <f>'Daily Tekrit'!$J93+'Daily Tekrit'!$M93+SUM($N93:$T93)</f>
        <v>636.01718160535108</v>
      </c>
      <c r="V93" s="306"/>
      <c r="W93" s="374">
        <f>5+1500/89.7</f>
        <v>21.722408026755851</v>
      </c>
      <c r="X93" s="354"/>
      <c r="Y93" s="354"/>
      <c r="Z93" s="346"/>
      <c r="AA93" s="347"/>
      <c r="AB93" s="347"/>
      <c r="AC93" s="347"/>
      <c r="AD93" s="348">
        <f t="shared" si="2"/>
        <v>0</v>
      </c>
      <c r="AE93" s="349"/>
      <c r="AF93" s="349"/>
      <c r="AG93" s="349"/>
      <c r="AH93" s="349"/>
      <c r="AI93" s="349"/>
      <c r="AJ93" s="349"/>
      <c r="AK93" s="349"/>
      <c r="AL93" s="349"/>
      <c r="AM93" s="350">
        <f t="shared" si="7"/>
        <v>0</v>
      </c>
      <c r="AN93" s="349"/>
      <c r="AO93" s="351">
        <f t="shared" si="6"/>
        <v>21.722408026755851</v>
      </c>
      <c r="AP93" s="352"/>
      <c r="AQ93" s="306"/>
      <c r="AR93" s="353">
        <f t="shared" si="8"/>
        <v>614.29477357859525</v>
      </c>
      <c r="AS93" s="239"/>
      <c r="AT93" s="239"/>
      <c r="AU93" s="239"/>
    </row>
    <row r="94" spans="1:48" x14ac:dyDescent="0.35">
      <c r="A94" s="332">
        <v>46080</v>
      </c>
      <c r="B94" s="371" t="s">
        <v>25</v>
      </c>
      <c r="C94" s="372">
        <f>'ODOMETERS Tekrit'!J90</f>
        <v>174</v>
      </c>
      <c r="D94" s="334">
        <v>1.0117</v>
      </c>
      <c r="E94" s="335">
        <f>'Daily Tekrit'!$C94*'Daily Tekrit'!$D94</f>
        <v>176.03579999999999</v>
      </c>
      <c r="F94" s="336">
        <f>'ODOMETERS Tekrit'!K90</f>
        <v>75</v>
      </c>
      <c r="G94" s="334">
        <v>1.0117</v>
      </c>
      <c r="H94" s="335">
        <f>'Daily Tekrit'!$F94*'Daily Tekrit'!$G94</f>
        <v>75.877499999999998</v>
      </c>
      <c r="I94" s="336">
        <f>'Daily Tekrit'!$C94+'Daily Tekrit'!$F94</f>
        <v>249</v>
      </c>
      <c r="J94" s="337">
        <f>'Daily Tekrit'!$E94+'Daily Tekrit'!$H94</f>
        <v>251.91329999999999</v>
      </c>
      <c r="K94" s="338">
        <f>'ODOMETERS Tekrit'!L90</f>
        <v>259</v>
      </c>
      <c r="L94" s="339">
        <v>0.77929999999999999</v>
      </c>
      <c r="M94" s="340">
        <f>'Daily Tekrit'!$K94*'Daily Tekrit'!$L94</f>
        <v>201.83869999999999</v>
      </c>
      <c r="N94" s="343">
        <f>300/89.7</f>
        <v>3.3444816053511706</v>
      </c>
      <c r="O94" s="343"/>
      <c r="P94" s="343"/>
      <c r="Q94" s="343"/>
      <c r="R94" s="343"/>
      <c r="S94" s="343"/>
      <c r="T94" s="343"/>
      <c r="U94" s="344">
        <f>'Daily Tekrit'!$J94+'Daily Tekrit'!$M94+SUM($N94:$T94)</f>
        <v>457.09648160535113</v>
      </c>
      <c r="V94" s="306"/>
      <c r="W94" s="374">
        <v>15</v>
      </c>
      <c r="X94" s="354"/>
      <c r="Y94" s="354">
        <v>-6</v>
      </c>
      <c r="Z94" s="346"/>
      <c r="AA94" s="347"/>
      <c r="AB94" s="347"/>
      <c r="AC94" s="347"/>
      <c r="AD94" s="348">
        <f t="shared" si="2"/>
        <v>0</v>
      </c>
      <c r="AE94" s="349"/>
      <c r="AF94" s="349"/>
      <c r="AG94" s="349"/>
      <c r="AH94" s="349"/>
      <c r="AI94" s="349"/>
      <c r="AJ94" s="349">
        <f>300/89.7</f>
        <v>3.3444816053511706</v>
      </c>
      <c r="AK94" s="349"/>
      <c r="AL94" s="349"/>
      <c r="AM94" s="350">
        <f t="shared" si="7"/>
        <v>3.3444816053511706</v>
      </c>
      <c r="AN94" s="349"/>
      <c r="AO94" s="351">
        <f t="shared" si="6"/>
        <v>12.34448160535117</v>
      </c>
      <c r="AP94" s="352"/>
      <c r="AQ94" s="306"/>
      <c r="AR94" s="353">
        <f t="shared" si="8"/>
        <v>444.75199999999995</v>
      </c>
      <c r="AS94" s="239"/>
      <c r="AT94" s="239"/>
      <c r="AU94" s="239"/>
    </row>
    <row r="95" spans="1:48" x14ac:dyDescent="0.35">
      <c r="A95" s="332">
        <v>46081</v>
      </c>
      <c r="B95" s="371"/>
      <c r="C95" s="372">
        <f>'ODOMETERS Tekrit'!J91</f>
        <v>529</v>
      </c>
      <c r="D95" s="334">
        <v>1.0117</v>
      </c>
      <c r="E95" s="335">
        <f>'Daily Tekrit'!$C95*'Daily Tekrit'!$D95</f>
        <v>535.1893</v>
      </c>
      <c r="F95" s="336">
        <f>'ODOMETERS Tekrit'!K91</f>
        <v>1139</v>
      </c>
      <c r="G95" s="334">
        <v>1.0117</v>
      </c>
      <c r="H95" s="335">
        <f>'Daily Tekrit'!$F95*'Daily Tekrit'!$G95</f>
        <v>1152.3262999999999</v>
      </c>
      <c r="I95" s="336">
        <f>'Daily Tekrit'!$C95+'Daily Tekrit'!$F95</f>
        <v>1668</v>
      </c>
      <c r="J95" s="337">
        <f>'Daily Tekrit'!$E95+'Daily Tekrit'!$H95</f>
        <v>1687.5155999999999</v>
      </c>
      <c r="K95" s="338">
        <f>'ODOMETERS Tekrit'!L91</f>
        <v>782</v>
      </c>
      <c r="L95" s="339">
        <v>0.77929999999999999</v>
      </c>
      <c r="M95" s="340">
        <f>'Daily Tekrit'!$K95*'Daily Tekrit'!$L95</f>
        <v>609.4126</v>
      </c>
      <c r="N95" s="343">
        <f>600/89.7</f>
        <v>6.6889632107023411</v>
      </c>
      <c r="O95" s="343"/>
      <c r="P95" s="343"/>
      <c r="Q95" s="343"/>
      <c r="R95" s="343"/>
      <c r="S95" s="343">
        <f>100+17</f>
        <v>117</v>
      </c>
      <c r="T95" s="343">
        <v>20</v>
      </c>
      <c r="U95" s="344">
        <f>'Daily Tekrit'!$J95+'Daily Tekrit'!$M95+SUM($N95:$T95)</f>
        <v>2440.6171632107021</v>
      </c>
      <c r="V95" s="306"/>
      <c r="W95" s="374">
        <f>30+2050/89.7+80</f>
        <v>132.85395763656635</v>
      </c>
      <c r="X95" s="354">
        <f>9.5*1.0117+3400/89.7+200*0.7793</f>
        <v>203.37527486064658</v>
      </c>
      <c r="Y95" s="354">
        <v>-5</v>
      </c>
      <c r="Z95" s="346"/>
      <c r="AA95" s="347"/>
      <c r="AB95" s="347"/>
      <c r="AC95" s="347"/>
      <c r="AD95" s="348">
        <f t="shared" si="2"/>
        <v>0</v>
      </c>
      <c r="AE95" s="349"/>
      <c r="AF95" s="349"/>
      <c r="AG95" s="349"/>
      <c r="AH95" s="349">
        <f>11.5+200/89.7</f>
        <v>13.729654403567448</v>
      </c>
      <c r="AI95" s="349"/>
      <c r="AJ95" s="349"/>
      <c r="AK95" s="349"/>
      <c r="AL95" s="349"/>
      <c r="AM95" s="350">
        <f t="shared" si="7"/>
        <v>13.729654403567448</v>
      </c>
      <c r="AN95" s="349"/>
      <c r="AO95" s="351">
        <f t="shared" si="6"/>
        <v>344.95888690078039</v>
      </c>
      <c r="AP95" s="352"/>
      <c r="AQ95" s="306"/>
      <c r="AR95" s="353">
        <f t="shared" si="8"/>
        <v>2095.6582763099218</v>
      </c>
      <c r="AS95" s="239"/>
      <c r="AT95" s="239"/>
      <c r="AU95" s="239"/>
      <c r="AV95" s="376"/>
    </row>
    <row r="96" spans="1:48" x14ac:dyDescent="0.35">
      <c r="A96" s="332">
        <v>46082</v>
      </c>
      <c r="B96" s="371"/>
      <c r="C96" s="372">
        <f>'ODOMETERS Tekrit'!J92</f>
        <v>268</v>
      </c>
      <c r="D96" s="334">
        <v>1.0117</v>
      </c>
      <c r="E96" s="335">
        <f>'Daily Tekrit'!$C96*'Daily Tekrit'!$D96</f>
        <v>271.13560000000001</v>
      </c>
      <c r="F96" s="336">
        <f>'ODOMETERS Tekrit'!K92</f>
        <v>269</v>
      </c>
      <c r="G96" s="334">
        <v>1.0117</v>
      </c>
      <c r="H96" s="335">
        <f>'Daily Tekrit'!$F96*'Daily Tekrit'!$G96</f>
        <v>272.14730000000003</v>
      </c>
      <c r="I96" s="336">
        <f>'Daily Tekrit'!$C96+'Daily Tekrit'!$F96</f>
        <v>537</v>
      </c>
      <c r="J96" s="337">
        <f>'Daily Tekrit'!$E96+'Daily Tekrit'!$H96</f>
        <v>543.28290000000004</v>
      </c>
      <c r="K96" s="338">
        <f>'ODOMETERS Tekrit'!L92</f>
        <v>293</v>
      </c>
      <c r="L96" s="339">
        <v>0.77929999999999999</v>
      </c>
      <c r="M96" s="340">
        <f>'Daily Tekrit'!$K96*'Daily Tekrit'!$L96</f>
        <v>228.3349</v>
      </c>
      <c r="N96" s="343"/>
      <c r="O96" s="343"/>
      <c r="P96" s="343"/>
      <c r="Q96" s="343"/>
      <c r="R96" s="343"/>
      <c r="S96" s="343">
        <f>80+30</f>
        <v>110</v>
      </c>
      <c r="T96" s="343"/>
      <c r="U96" s="344">
        <f>'Daily Tekrit'!$J96+'Daily Tekrit'!$M96+SUM($N96:$T96)</f>
        <v>881.61779999999999</v>
      </c>
      <c r="V96" s="306"/>
      <c r="W96" s="374">
        <f>1500/89.7</f>
        <v>16.722408026755851</v>
      </c>
      <c r="X96" s="354"/>
      <c r="Y96" s="354">
        <v>1</v>
      </c>
      <c r="Z96" s="346"/>
      <c r="AA96" s="347"/>
      <c r="AB96" s="347"/>
      <c r="AC96" s="347"/>
      <c r="AD96" s="348">
        <f t="shared" si="2"/>
        <v>0</v>
      </c>
      <c r="AE96" s="349"/>
      <c r="AF96" s="349"/>
      <c r="AG96" s="349"/>
      <c r="AH96" s="349"/>
      <c r="AI96" s="349"/>
      <c r="AJ96" s="349"/>
      <c r="AK96" s="349"/>
      <c r="AL96" s="349"/>
      <c r="AM96" s="350">
        <f t="shared" si="7"/>
        <v>0</v>
      </c>
      <c r="AN96" s="349"/>
      <c r="AO96" s="351">
        <f t="shared" si="6"/>
        <v>17.722408026755851</v>
      </c>
      <c r="AP96" s="352"/>
      <c r="AQ96" s="306"/>
      <c r="AR96" s="353">
        <f t="shared" si="8"/>
        <v>863.89539197324416</v>
      </c>
      <c r="AS96" s="239"/>
      <c r="AT96" s="239"/>
      <c r="AU96" s="239"/>
    </row>
    <row r="97" spans="1:47" x14ac:dyDescent="0.35">
      <c r="A97" s="332">
        <v>46083</v>
      </c>
      <c r="B97" s="371"/>
      <c r="C97" s="372">
        <f>'ODOMETERS Tekrit'!J93</f>
        <v>301</v>
      </c>
      <c r="D97" s="334">
        <v>1.0117</v>
      </c>
      <c r="E97" s="335">
        <f>'Daily Tekrit'!$C97*'Daily Tekrit'!$D97</f>
        <v>304.52170000000001</v>
      </c>
      <c r="F97" s="336">
        <f>'ODOMETERS Tekrit'!K93</f>
        <v>327</v>
      </c>
      <c r="G97" s="334">
        <v>1.0117</v>
      </c>
      <c r="H97" s="335">
        <f>'Daily Tekrit'!$F97*'Daily Tekrit'!$G97</f>
        <v>330.82589999999999</v>
      </c>
      <c r="I97" s="336">
        <f>'Daily Tekrit'!$C97+'Daily Tekrit'!$F97</f>
        <v>628</v>
      </c>
      <c r="J97" s="337">
        <f>'Daily Tekrit'!$E97+'Daily Tekrit'!$H97</f>
        <v>635.34760000000006</v>
      </c>
      <c r="K97" s="338">
        <f>'ODOMETERS Tekrit'!L93</f>
        <v>398</v>
      </c>
      <c r="L97" s="339">
        <v>0.77929999999999999</v>
      </c>
      <c r="M97" s="340">
        <f>'Daily Tekrit'!$K97*'Daily Tekrit'!$L97</f>
        <v>310.16140000000001</v>
      </c>
      <c r="N97" s="343">
        <f>300/89.7</f>
        <v>3.3444816053511706</v>
      </c>
      <c r="O97" s="343"/>
      <c r="P97" s="343"/>
      <c r="Q97" s="343"/>
      <c r="R97" s="343"/>
      <c r="S97" s="343"/>
      <c r="T97" s="343"/>
      <c r="U97" s="344">
        <f>'Daily Tekrit'!$J97+'Daily Tekrit'!$M97+SUM($N97:$T97)</f>
        <v>948.85348160535113</v>
      </c>
      <c r="V97" s="306"/>
      <c r="W97" s="374">
        <v>20</v>
      </c>
      <c r="X97" s="354">
        <f>19*1.0117</f>
        <v>19.222300000000001</v>
      </c>
      <c r="Y97" s="354">
        <v>-1</v>
      </c>
      <c r="Z97" s="346"/>
      <c r="AA97" s="347"/>
      <c r="AB97" s="347"/>
      <c r="AC97" s="347"/>
      <c r="AD97" s="348">
        <f t="shared" si="2"/>
        <v>0</v>
      </c>
      <c r="AE97" s="349"/>
      <c r="AF97" s="349"/>
      <c r="AG97" s="349"/>
      <c r="AH97" s="349"/>
      <c r="AI97" s="349"/>
      <c r="AJ97" s="349"/>
      <c r="AK97" s="349"/>
      <c r="AL97" s="349"/>
      <c r="AM97" s="350">
        <f t="shared" si="7"/>
        <v>0</v>
      </c>
      <c r="AN97" s="349"/>
      <c r="AO97" s="351">
        <f t="shared" si="6"/>
        <v>38.222300000000004</v>
      </c>
      <c r="AP97" s="352"/>
      <c r="AQ97" s="306"/>
      <c r="AR97" s="353">
        <f t="shared" si="8"/>
        <v>910.63118160535112</v>
      </c>
      <c r="AS97" s="239"/>
      <c r="AT97" s="239"/>
      <c r="AU97" s="239"/>
    </row>
    <row r="98" spans="1:47" x14ac:dyDescent="0.35">
      <c r="A98" s="332">
        <v>46084</v>
      </c>
      <c r="B98" s="371" t="s">
        <v>24</v>
      </c>
      <c r="C98" s="372">
        <f>'ODOMETERS Tekrit'!J94</f>
        <v>142</v>
      </c>
      <c r="D98" s="334">
        <v>1.0117</v>
      </c>
      <c r="E98" s="335">
        <f>'Daily Tekrit'!$C98*'Daily Tekrit'!$D98</f>
        <v>143.66140000000001</v>
      </c>
      <c r="F98" s="336">
        <f>'ODOMETERS Tekrit'!K94</f>
        <v>357</v>
      </c>
      <c r="G98" s="334">
        <v>1.0117</v>
      </c>
      <c r="H98" s="335">
        <f>'Daily Tekrit'!$F98*'Daily Tekrit'!$G98</f>
        <v>361.17689999999999</v>
      </c>
      <c r="I98" s="336">
        <f>'Daily Tekrit'!$C98+'Daily Tekrit'!$F98</f>
        <v>499</v>
      </c>
      <c r="J98" s="337">
        <f>'Daily Tekrit'!$E98+'Daily Tekrit'!$H98</f>
        <v>504.8383</v>
      </c>
      <c r="K98" s="338">
        <f>'ODOMETERS Tekrit'!L94</f>
        <v>608</v>
      </c>
      <c r="L98" s="339">
        <v>0.77929999999999999</v>
      </c>
      <c r="M98" s="340">
        <f>'Daily Tekrit'!$K98*'Daily Tekrit'!$L98</f>
        <v>473.81439999999998</v>
      </c>
      <c r="N98" s="343"/>
      <c r="O98" s="343"/>
      <c r="P98" s="343"/>
      <c r="Q98" s="343"/>
      <c r="R98" s="343"/>
      <c r="S98" s="343">
        <f>14+19</f>
        <v>33</v>
      </c>
      <c r="T98" s="343"/>
      <c r="U98" s="344">
        <f>'Daily Tekrit'!$J98+'Daily Tekrit'!$M98+SUM($N98:$T98)</f>
        <v>1011.6527</v>
      </c>
      <c r="V98" s="306"/>
      <c r="W98" s="374"/>
      <c r="X98" s="354"/>
      <c r="Y98" s="354"/>
      <c r="Z98" s="346"/>
      <c r="AA98" s="347"/>
      <c r="AB98" s="347"/>
      <c r="AC98" s="347"/>
      <c r="AD98" s="348">
        <f t="shared" si="2"/>
        <v>0</v>
      </c>
      <c r="AE98" s="349"/>
      <c r="AF98" s="349"/>
      <c r="AG98" s="349"/>
      <c r="AH98" s="349">
        <f>300/89.7</f>
        <v>3.3444816053511706</v>
      </c>
      <c r="AI98" s="349"/>
      <c r="AJ98" s="349"/>
      <c r="AK98" s="349"/>
      <c r="AL98" s="349"/>
      <c r="AM98" s="350">
        <f t="shared" si="7"/>
        <v>3.3444816053511706</v>
      </c>
      <c r="AN98" s="349"/>
      <c r="AO98" s="351">
        <f t="shared" si="6"/>
        <v>3.3444816053511706</v>
      </c>
      <c r="AP98" s="352"/>
      <c r="AQ98" s="306"/>
      <c r="AR98" s="353">
        <f t="shared" si="8"/>
        <v>1008.3082183946489</v>
      </c>
      <c r="AS98" s="239"/>
      <c r="AT98" s="239"/>
      <c r="AU98" s="239"/>
    </row>
    <row r="99" spans="1:47" x14ac:dyDescent="0.35">
      <c r="A99" s="332">
        <v>46084</v>
      </c>
      <c r="B99" s="371" t="s">
        <v>25</v>
      </c>
      <c r="C99" s="372">
        <f>'ODOMETERS Tekrit'!J95</f>
        <v>71</v>
      </c>
      <c r="D99" s="334">
        <v>1.0166999999999999</v>
      </c>
      <c r="E99" s="335">
        <f>'Daily Tekrit'!$C99*'Daily Tekrit'!$D99</f>
        <v>72.185699999999997</v>
      </c>
      <c r="F99" s="336">
        <f>'ODOMETERS Tekrit'!K95</f>
        <v>124</v>
      </c>
      <c r="G99" s="334">
        <v>1.0166999999999999</v>
      </c>
      <c r="H99" s="335">
        <f>'Daily Tekrit'!$F99*'Daily Tekrit'!$G99</f>
        <v>126.07079999999999</v>
      </c>
      <c r="I99" s="336">
        <f>'Daily Tekrit'!$C99+'Daily Tekrit'!$F99</f>
        <v>195</v>
      </c>
      <c r="J99" s="337">
        <f>'Daily Tekrit'!$E99+'Daily Tekrit'!$H99</f>
        <v>198.25649999999999</v>
      </c>
      <c r="K99" s="338">
        <f>'ODOMETERS Tekrit'!L95</f>
        <v>329</v>
      </c>
      <c r="L99" s="339">
        <v>0.78649999999999998</v>
      </c>
      <c r="M99" s="340">
        <f>'Daily Tekrit'!$K99*'Daily Tekrit'!$L99</f>
        <v>258.75849999999997</v>
      </c>
      <c r="N99" s="343"/>
      <c r="O99" s="343"/>
      <c r="P99" s="343"/>
      <c r="Q99" s="343"/>
      <c r="R99" s="343"/>
      <c r="S99" s="343"/>
      <c r="T99" s="343"/>
      <c r="U99" s="344">
        <f>'Daily Tekrit'!$J99+'Daily Tekrit'!$M99+SUM($N99:$T99)</f>
        <v>457.01499999999999</v>
      </c>
      <c r="V99" s="306"/>
      <c r="W99" s="374">
        <f>10*1.0117+1600/89.7+178*0.7793</f>
        <v>166.66963522853956</v>
      </c>
      <c r="X99" s="354"/>
      <c r="Y99" s="354"/>
      <c r="Z99" s="346"/>
      <c r="AA99" s="347"/>
      <c r="AB99" s="347"/>
      <c r="AC99" s="347"/>
      <c r="AD99" s="348">
        <f t="shared" si="2"/>
        <v>0</v>
      </c>
      <c r="AE99" s="349"/>
      <c r="AF99" s="349"/>
      <c r="AG99" s="349"/>
      <c r="AH99" s="349"/>
      <c r="AI99" s="349"/>
      <c r="AJ99" s="349">
        <f>300/89.7</f>
        <v>3.3444816053511706</v>
      </c>
      <c r="AK99" s="349"/>
      <c r="AL99" s="349"/>
      <c r="AM99" s="350">
        <f t="shared" si="7"/>
        <v>3.3444816053511706</v>
      </c>
      <c r="AN99" s="349"/>
      <c r="AO99" s="351">
        <f t="shared" si="6"/>
        <v>170.01411683389074</v>
      </c>
      <c r="AP99" s="352"/>
      <c r="AQ99" s="306"/>
      <c r="AR99" s="353">
        <f t="shared" si="8"/>
        <v>287.00088316610925</v>
      </c>
      <c r="AS99" s="239"/>
      <c r="AT99" s="239"/>
      <c r="AU99" s="239"/>
    </row>
    <row r="100" spans="1:47" x14ac:dyDescent="0.35">
      <c r="A100" s="332">
        <v>46085</v>
      </c>
      <c r="B100" s="371"/>
      <c r="C100" s="372">
        <f>'ODOMETERS Tekrit'!J96</f>
        <v>446</v>
      </c>
      <c r="D100" s="334">
        <v>1.0166999999999999</v>
      </c>
      <c r="E100" s="335">
        <f>'Daily Tekrit'!$C100*'Daily Tekrit'!$D100</f>
        <v>453.44819999999999</v>
      </c>
      <c r="F100" s="336">
        <f>'ODOMETERS Tekrit'!K96</f>
        <v>371</v>
      </c>
      <c r="G100" s="334">
        <v>1.0166999999999999</v>
      </c>
      <c r="H100" s="335">
        <f>'Daily Tekrit'!$F100*'Daily Tekrit'!$G100</f>
        <v>377.19569999999999</v>
      </c>
      <c r="I100" s="336">
        <f>'Daily Tekrit'!$C100+'Daily Tekrit'!$F100</f>
        <v>817</v>
      </c>
      <c r="J100" s="337">
        <f>'Daily Tekrit'!$E100+'Daily Tekrit'!$H100</f>
        <v>830.64390000000003</v>
      </c>
      <c r="K100" s="338">
        <f>'ODOMETERS Tekrit'!L96</f>
        <v>1050</v>
      </c>
      <c r="L100" s="339">
        <v>0.78649999999999998</v>
      </c>
      <c r="M100" s="340">
        <f>'Daily Tekrit'!$K100*'Daily Tekrit'!$L100</f>
        <v>825.82499999999993</v>
      </c>
      <c r="N100" s="343"/>
      <c r="O100" s="343"/>
      <c r="P100" s="343"/>
      <c r="Q100" s="343"/>
      <c r="R100" s="343"/>
      <c r="S100" s="343"/>
      <c r="T100" s="343"/>
      <c r="U100" s="344">
        <f>'Daily Tekrit'!$J100+'Daily Tekrit'!$M100+SUM($N100:$T100)</f>
        <v>1656.4688999999998</v>
      </c>
      <c r="V100" s="306"/>
      <c r="W100" s="374">
        <f>20+478</f>
        <v>498</v>
      </c>
      <c r="X100" s="354"/>
      <c r="Y100" s="354">
        <v>-2</v>
      </c>
      <c r="Z100" s="346"/>
      <c r="AA100" s="347"/>
      <c r="AB100" s="347"/>
      <c r="AC100" s="347"/>
      <c r="AD100" s="348">
        <f t="shared" si="2"/>
        <v>0</v>
      </c>
      <c r="AE100" s="349"/>
      <c r="AF100" s="349"/>
      <c r="AG100" s="349"/>
      <c r="AH100" s="349"/>
      <c r="AI100" s="349"/>
      <c r="AJ100" s="349"/>
      <c r="AK100" s="349"/>
      <c r="AL100" s="349"/>
      <c r="AM100" s="350">
        <f t="shared" si="7"/>
        <v>0</v>
      </c>
      <c r="AN100" s="349"/>
      <c r="AO100" s="351">
        <f t="shared" si="6"/>
        <v>496</v>
      </c>
      <c r="AP100" s="352"/>
      <c r="AQ100" s="306"/>
      <c r="AR100" s="353">
        <f t="shared" si="8"/>
        <v>1160.4688999999998</v>
      </c>
      <c r="AS100" s="239"/>
      <c r="AT100" s="239"/>
      <c r="AU100" s="239"/>
    </row>
    <row r="101" spans="1:47" x14ac:dyDescent="0.35">
      <c r="A101" s="332">
        <v>46086</v>
      </c>
      <c r="B101" s="371"/>
      <c r="C101" s="372">
        <f>'ODOMETERS Tekrit'!J97</f>
        <v>341</v>
      </c>
      <c r="D101" s="334">
        <v>1.0166999999999999</v>
      </c>
      <c r="E101" s="335">
        <f>'Daily Tekrit'!$C101*'Daily Tekrit'!$D101</f>
        <v>346.69469999999995</v>
      </c>
      <c r="F101" s="336">
        <f>'ODOMETERS Tekrit'!K97</f>
        <v>209</v>
      </c>
      <c r="G101" s="334">
        <v>1.0166999999999999</v>
      </c>
      <c r="H101" s="335">
        <f>'Daily Tekrit'!$F101*'Daily Tekrit'!$G101</f>
        <v>212.49029999999999</v>
      </c>
      <c r="I101" s="336">
        <f>'Daily Tekrit'!$C101+'Daily Tekrit'!$F101</f>
        <v>550</v>
      </c>
      <c r="J101" s="337">
        <f>'Daily Tekrit'!$E101+'Daily Tekrit'!$H101</f>
        <v>559.18499999999995</v>
      </c>
      <c r="K101" s="338">
        <f>'ODOMETERS Tekrit'!L97</f>
        <v>279</v>
      </c>
      <c r="L101" s="339">
        <v>0.78649999999999998</v>
      </c>
      <c r="M101" s="340">
        <f>'Daily Tekrit'!$K101*'Daily Tekrit'!$L101</f>
        <v>219.43349999999998</v>
      </c>
      <c r="N101" s="343">
        <v>6</v>
      </c>
      <c r="O101" s="343">
        <v>10</v>
      </c>
      <c r="P101" s="343"/>
      <c r="Q101" s="343"/>
      <c r="R101" s="343"/>
      <c r="S101" s="343">
        <v>160</v>
      </c>
      <c r="T101" s="343"/>
      <c r="U101" s="344">
        <f>'Daily Tekrit'!$J101+'Daily Tekrit'!$M101+SUM($N101:$T101)</f>
        <v>954.61849999999993</v>
      </c>
      <c r="V101" s="306"/>
      <c r="W101" s="374">
        <v>25</v>
      </c>
      <c r="X101" s="354"/>
      <c r="Y101" s="354"/>
      <c r="Z101" s="346"/>
      <c r="AA101" s="347"/>
      <c r="AB101" s="347"/>
      <c r="AC101" s="347"/>
      <c r="AD101" s="348">
        <f t="shared" si="2"/>
        <v>0</v>
      </c>
      <c r="AE101" s="349"/>
      <c r="AF101" s="349"/>
      <c r="AG101" s="349"/>
      <c r="AH101" s="349">
        <v>1</v>
      </c>
      <c r="AI101" s="349"/>
      <c r="AJ101" s="349"/>
      <c r="AK101" s="349"/>
      <c r="AL101" s="349"/>
      <c r="AM101" s="350">
        <f t="shared" si="7"/>
        <v>1</v>
      </c>
      <c r="AN101" s="349"/>
      <c r="AO101" s="351">
        <f t="shared" si="6"/>
        <v>26</v>
      </c>
      <c r="AP101" s="352"/>
      <c r="AQ101" s="306"/>
      <c r="AR101" s="353">
        <f t="shared" si="8"/>
        <v>928.61849999999993</v>
      </c>
      <c r="AS101" s="239"/>
      <c r="AT101" s="239"/>
      <c r="AU101" s="239"/>
    </row>
    <row r="102" spans="1:47" x14ac:dyDescent="0.35">
      <c r="A102" s="332">
        <v>46087</v>
      </c>
      <c r="B102" s="371" t="s">
        <v>24</v>
      </c>
      <c r="C102" s="372">
        <f>'ODOMETERS Tekrit'!J98</f>
        <v>140</v>
      </c>
      <c r="D102" s="334">
        <v>1.0166999999999999</v>
      </c>
      <c r="E102" s="335">
        <f>'Daily Tekrit'!$C102*'Daily Tekrit'!$D102</f>
        <v>142.33799999999999</v>
      </c>
      <c r="F102" s="336">
        <f>'ODOMETERS Tekrit'!K98</f>
        <v>81</v>
      </c>
      <c r="G102" s="334">
        <v>1.0166999999999999</v>
      </c>
      <c r="H102" s="335">
        <f>'Daily Tekrit'!$F102*'Daily Tekrit'!$G102</f>
        <v>82.352699999999999</v>
      </c>
      <c r="I102" s="336">
        <f>'Daily Tekrit'!$C102+'Daily Tekrit'!$F102</f>
        <v>221</v>
      </c>
      <c r="J102" s="337">
        <f>'Daily Tekrit'!$E102+'Daily Tekrit'!$H102</f>
        <v>224.69069999999999</v>
      </c>
      <c r="K102" s="338">
        <f>'ODOMETERS Tekrit'!L98</f>
        <v>241</v>
      </c>
      <c r="L102" s="339">
        <v>0.78649999999999998</v>
      </c>
      <c r="M102" s="340">
        <f>'Daily Tekrit'!$K102*'Daily Tekrit'!$L102</f>
        <v>189.54649999999998</v>
      </c>
      <c r="N102" s="343"/>
      <c r="O102" s="343"/>
      <c r="P102" s="343"/>
      <c r="Q102" s="343"/>
      <c r="R102" s="343"/>
      <c r="S102" s="343">
        <v>32</v>
      </c>
      <c r="T102" s="343"/>
      <c r="U102" s="344">
        <f>'Daily Tekrit'!$J102+'Daily Tekrit'!$M102+SUM($N102:$T102)</f>
        <v>446.23719999999997</v>
      </c>
      <c r="V102" s="306"/>
      <c r="W102" s="374">
        <f>1000/89.7</f>
        <v>11.148272017837234</v>
      </c>
      <c r="X102" s="354"/>
      <c r="Y102" s="354"/>
      <c r="Z102" s="346"/>
      <c r="AA102" s="347"/>
      <c r="AB102" s="347"/>
      <c r="AC102" s="347"/>
      <c r="AD102" s="348">
        <f t="shared" si="2"/>
        <v>0</v>
      </c>
      <c r="AE102" s="349"/>
      <c r="AF102" s="349"/>
      <c r="AG102" s="349"/>
      <c r="AH102" s="349">
        <f>500/89.7</f>
        <v>5.5741360089186172</v>
      </c>
      <c r="AI102" s="349"/>
      <c r="AJ102" s="349"/>
      <c r="AK102" s="349"/>
      <c r="AL102" s="349"/>
      <c r="AM102" s="350">
        <f t="shared" si="7"/>
        <v>5.5741360089186172</v>
      </c>
      <c r="AN102" s="349"/>
      <c r="AO102" s="351">
        <f t="shared" si="6"/>
        <v>16.722408026755851</v>
      </c>
      <c r="AP102" s="352"/>
      <c r="AQ102" s="306"/>
      <c r="AR102" s="353">
        <f t="shared" si="8"/>
        <v>429.51479197324414</v>
      </c>
      <c r="AS102" s="239"/>
      <c r="AT102" s="239"/>
      <c r="AU102" s="239"/>
    </row>
    <row r="103" spans="1:47" x14ac:dyDescent="0.35">
      <c r="A103" s="332">
        <v>46087</v>
      </c>
      <c r="B103" s="371" t="s">
        <v>25</v>
      </c>
      <c r="C103" s="372">
        <f>'ODOMETERS Tekrit'!J99</f>
        <v>185</v>
      </c>
      <c r="D103" s="334">
        <v>1.0669</v>
      </c>
      <c r="E103" s="335">
        <f>'Daily Tekrit'!$C103*'Daily Tekrit'!$D103</f>
        <v>197.37649999999999</v>
      </c>
      <c r="F103" s="336">
        <f>'ODOMETERS Tekrit'!K99</f>
        <v>120</v>
      </c>
      <c r="G103" s="334">
        <v>1.0669</v>
      </c>
      <c r="H103" s="335">
        <f>'Daily Tekrit'!$F103*'Daily Tekrit'!$G103</f>
        <v>128.02799999999999</v>
      </c>
      <c r="I103" s="336">
        <f>'Daily Tekrit'!$C103+'Daily Tekrit'!$F103</f>
        <v>305</v>
      </c>
      <c r="J103" s="337">
        <f>'Daily Tekrit'!$E103+'Daily Tekrit'!$H103</f>
        <v>325.40449999999998</v>
      </c>
      <c r="K103" s="338">
        <f>'ODOMETERS Tekrit'!L99</f>
        <v>183</v>
      </c>
      <c r="L103" s="339">
        <v>0.92030000000000001</v>
      </c>
      <c r="M103" s="340">
        <f>'Daily Tekrit'!$K103*'Daily Tekrit'!$L103</f>
        <v>168.41489999999999</v>
      </c>
      <c r="N103" s="343"/>
      <c r="O103" s="343"/>
      <c r="P103" s="343"/>
      <c r="Q103" s="343"/>
      <c r="R103" s="343"/>
      <c r="S103" s="343"/>
      <c r="T103" s="343"/>
      <c r="U103" s="344">
        <f>'Daily Tekrit'!$J103+'Daily Tekrit'!$M103+SUM($N103:$T103)</f>
        <v>493.81939999999997</v>
      </c>
      <c r="V103" s="306"/>
      <c r="W103" s="374"/>
      <c r="X103" s="354"/>
      <c r="Y103" s="354">
        <v>4</v>
      </c>
      <c r="Z103" s="346"/>
      <c r="AA103" s="347"/>
      <c r="AB103" s="347"/>
      <c r="AC103" s="347"/>
      <c r="AD103" s="348">
        <f t="shared" si="2"/>
        <v>0</v>
      </c>
      <c r="AE103" s="349"/>
      <c r="AF103" s="349">
        <v>350</v>
      </c>
      <c r="AG103" s="349"/>
      <c r="AH103" s="349"/>
      <c r="AI103" s="349"/>
      <c r="AJ103" s="349"/>
      <c r="AK103" s="349"/>
      <c r="AL103" s="349"/>
      <c r="AM103" s="350">
        <f t="shared" si="7"/>
        <v>350</v>
      </c>
      <c r="AN103" s="349"/>
      <c r="AO103" s="351">
        <f t="shared" si="6"/>
        <v>354</v>
      </c>
      <c r="AP103" s="352"/>
      <c r="AQ103" s="306"/>
      <c r="AR103" s="353">
        <f t="shared" si="8"/>
        <v>139.81939999999997</v>
      </c>
      <c r="AS103" s="239"/>
      <c r="AT103" s="239"/>
      <c r="AU103" s="239"/>
    </row>
    <row r="104" spans="1:47" x14ac:dyDescent="0.35">
      <c r="A104" s="332">
        <v>46088</v>
      </c>
      <c r="B104" s="371"/>
      <c r="C104" s="372">
        <f>'ODOMETERS Tekrit'!J100</f>
        <v>505</v>
      </c>
      <c r="D104" s="334">
        <v>1.0669</v>
      </c>
      <c r="E104" s="335">
        <f>'Daily Tekrit'!$C104*'Daily Tekrit'!$D104</f>
        <v>538.78449999999998</v>
      </c>
      <c r="F104" s="336">
        <f>'ODOMETERS Tekrit'!K100</f>
        <v>249</v>
      </c>
      <c r="G104" s="334">
        <v>1.0669</v>
      </c>
      <c r="H104" s="335">
        <f>'Daily Tekrit'!$F104*'Daily Tekrit'!$G104</f>
        <v>265.65809999999999</v>
      </c>
      <c r="I104" s="336">
        <f>'Daily Tekrit'!$C104+'Daily Tekrit'!$F104</f>
        <v>754</v>
      </c>
      <c r="J104" s="337">
        <f>'Daily Tekrit'!$E104+'Daily Tekrit'!$H104</f>
        <v>804.44259999999997</v>
      </c>
      <c r="K104" s="338">
        <f>'ODOMETERS Tekrit'!L100</f>
        <v>739</v>
      </c>
      <c r="L104" s="339">
        <v>0.92030000000000001</v>
      </c>
      <c r="M104" s="340">
        <f>'Daily Tekrit'!$K104*'Daily Tekrit'!$L104</f>
        <v>680.10170000000005</v>
      </c>
      <c r="N104" s="343"/>
      <c r="O104" s="343"/>
      <c r="P104" s="343"/>
      <c r="Q104" s="343"/>
      <c r="R104" s="343"/>
      <c r="S104" s="343"/>
      <c r="T104" s="343"/>
      <c r="U104" s="344">
        <f>'Daily Tekrit'!$J104+'Daily Tekrit'!$M104+SUM($N104:$T104)</f>
        <v>1484.5443</v>
      </c>
      <c r="V104" s="306"/>
      <c r="W104" s="374">
        <f>400*0.9203</f>
        <v>368.12</v>
      </c>
      <c r="X104" s="354">
        <f>2700/89.7</f>
        <v>30.100334448160535</v>
      </c>
      <c r="Y104" s="354">
        <v>1</v>
      </c>
      <c r="Z104" s="346"/>
      <c r="AA104" s="347"/>
      <c r="AB104" s="347"/>
      <c r="AC104" s="347"/>
      <c r="AD104" s="348">
        <f t="shared" si="2"/>
        <v>0</v>
      </c>
      <c r="AE104" s="349"/>
      <c r="AF104" s="349"/>
      <c r="AG104" s="349"/>
      <c r="AH104" s="349"/>
      <c r="AI104" s="349"/>
      <c r="AJ104" s="349"/>
      <c r="AK104" s="349"/>
      <c r="AL104" s="349"/>
      <c r="AM104" s="350">
        <f t="shared" si="7"/>
        <v>0</v>
      </c>
      <c r="AN104" s="349"/>
      <c r="AO104" s="351">
        <f t="shared" si="6"/>
        <v>399.22033444816054</v>
      </c>
      <c r="AP104" s="352"/>
      <c r="AQ104" s="306"/>
      <c r="AR104" s="353">
        <f t="shared" si="8"/>
        <v>1085.3239655518396</v>
      </c>
      <c r="AS104" s="239"/>
      <c r="AT104" s="239"/>
      <c r="AU104" s="239"/>
    </row>
    <row r="105" spans="1:47" x14ac:dyDescent="0.35">
      <c r="A105" s="332">
        <v>46089</v>
      </c>
      <c r="B105" s="371"/>
      <c r="C105" s="372">
        <f>'ODOMETERS Tekrit'!J101</f>
        <v>522</v>
      </c>
      <c r="D105" s="334">
        <v>1.0669</v>
      </c>
      <c r="E105" s="335">
        <f>'Daily Tekrit'!$C105*'Daily Tekrit'!$D105</f>
        <v>556.92179999999996</v>
      </c>
      <c r="F105" s="336">
        <f>'ODOMETERS Tekrit'!K101</f>
        <v>394</v>
      </c>
      <c r="G105" s="334">
        <v>1.0669</v>
      </c>
      <c r="H105" s="335">
        <f>'Daily Tekrit'!$F105*'Daily Tekrit'!$G105</f>
        <v>420.35859999999997</v>
      </c>
      <c r="I105" s="336">
        <f>'Daily Tekrit'!$C105+'Daily Tekrit'!$F105</f>
        <v>916</v>
      </c>
      <c r="J105" s="337">
        <f>'Daily Tekrit'!$E105+'Daily Tekrit'!$H105</f>
        <v>977.28039999999987</v>
      </c>
      <c r="K105" s="338">
        <f>'ODOMETERS Tekrit'!L101</f>
        <v>486</v>
      </c>
      <c r="L105" s="339">
        <v>0.92030000000000001</v>
      </c>
      <c r="M105" s="340">
        <f>'Daily Tekrit'!$K105*'Daily Tekrit'!$L105</f>
        <v>447.26580000000001</v>
      </c>
      <c r="N105" s="343">
        <v>6.68</v>
      </c>
      <c r="O105" s="343"/>
      <c r="P105" s="343"/>
      <c r="Q105" s="343"/>
      <c r="R105" s="343"/>
      <c r="S105" s="343">
        <v>20</v>
      </c>
      <c r="T105" s="343"/>
      <c r="U105" s="344">
        <f>'Daily Tekrit'!$J105+'Daily Tekrit'!$M105+SUM($N105:$T105)</f>
        <v>1451.2261999999998</v>
      </c>
      <c r="V105" s="306"/>
      <c r="W105" s="374">
        <v>125.5</v>
      </c>
      <c r="X105" s="354"/>
      <c r="Y105" s="354">
        <v>10</v>
      </c>
      <c r="Z105" s="346"/>
      <c r="AA105" s="347"/>
      <c r="AB105" s="347"/>
      <c r="AC105" s="347"/>
      <c r="AD105" s="348">
        <f t="shared" si="2"/>
        <v>0</v>
      </c>
      <c r="AE105" s="349"/>
      <c r="AF105" s="349"/>
      <c r="AG105" s="349"/>
      <c r="AH105" s="349">
        <v>5.5</v>
      </c>
      <c r="AI105" s="349"/>
      <c r="AJ105" s="349"/>
      <c r="AK105" s="349"/>
      <c r="AL105" s="349"/>
      <c r="AM105" s="350">
        <f t="shared" si="7"/>
        <v>5.5</v>
      </c>
      <c r="AN105" s="349"/>
      <c r="AO105" s="351">
        <f t="shared" si="6"/>
        <v>141</v>
      </c>
      <c r="AP105" s="352"/>
      <c r="AQ105" s="306"/>
      <c r="AR105" s="353">
        <f t="shared" si="8"/>
        <v>1310.2261999999998</v>
      </c>
      <c r="AS105" s="239"/>
      <c r="AT105" s="239"/>
      <c r="AU105" s="239"/>
    </row>
    <row r="106" spans="1:47" x14ac:dyDescent="0.35">
      <c r="A106" s="332">
        <v>46090</v>
      </c>
      <c r="B106" s="371"/>
      <c r="C106" s="372">
        <f>'ODOMETERS Tekrit'!J102</f>
        <v>574</v>
      </c>
      <c r="D106" s="334">
        <v>1.0669</v>
      </c>
      <c r="E106" s="335">
        <f>'Daily Tekrit'!$C106*'Daily Tekrit'!$D106</f>
        <v>612.40059999999994</v>
      </c>
      <c r="F106" s="336">
        <f>'ODOMETERS Tekrit'!K102</f>
        <v>95</v>
      </c>
      <c r="G106" s="334">
        <v>1.0669</v>
      </c>
      <c r="H106" s="335">
        <f>'Daily Tekrit'!$F106*'Daily Tekrit'!$G106</f>
        <v>101.35549999999999</v>
      </c>
      <c r="I106" s="336">
        <f>'Daily Tekrit'!$C106+'Daily Tekrit'!$F106</f>
        <v>669</v>
      </c>
      <c r="J106" s="337">
        <f>'Daily Tekrit'!$E106+'Daily Tekrit'!$H106</f>
        <v>713.75609999999995</v>
      </c>
      <c r="K106" s="338">
        <f>'ODOMETERS Tekrit'!L102</f>
        <v>560</v>
      </c>
      <c r="L106" s="339">
        <v>0.92030000000000001</v>
      </c>
      <c r="M106" s="340">
        <f>'Daily Tekrit'!$K106*'Daily Tekrit'!$L106</f>
        <v>515.36800000000005</v>
      </c>
      <c r="N106" s="343">
        <f>1200/89.7</f>
        <v>13.377926421404682</v>
      </c>
      <c r="O106" s="343"/>
      <c r="P106" s="343"/>
      <c r="Q106" s="343"/>
      <c r="R106" s="343"/>
      <c r="S106" s="343">
        <f>500/89.7</f>
        <v>5.5741360089186172</v>
      </c>
      <c r="T106" s="343"/>
      <c r="U106" s="344">
        <f>'Daily Tekrit'!$J106+'Daily Tekrit'!$M106+SUM($N106:$T106)</f>
        <v>1248.0761624303234</v>
      </c>
      <c r="V106" s="306"/>
      <c r="W106" s="374">
        <f>1400/89.7</f>
        <v>15.607580824972128</v>
      </c>
      <c r="X106" s="354"/>
      <c r="Y106" s="354">
        <v>311</v>
      </c>
      <c r="Z106" s="346"/>
      <c r="AA106" s="347"/>
      <c r="AB106" s="347"/>
      <c r="AC106" s="347"/>
      <c r="AD106" s="348">
        <f t="shared" si="2"/>
        <v>0</v>
      </c>
      <c r="AE106" s="349"/>
      <c r="AF106" s="349"/>
      <c r="AG106" s="349"/>
      <c r="AH106" s="349"/>
      <c r="AI106" s="349"/>
      <c r="AJ106" s="349"/>
      <c r="AK106" s="349"/>
      <c r="AL106" s="349"/>
      <c r="AM106" s="350">
        <f t="shared" si="7"/>
        <v>0</v>
      </c>
      <c r="AN106" s="349"/>
      <c r="AO106" s="351">
        <f>SUM(W106:Y106,AD106,AM106,AN106)</f>
        <v>326.6075808249721</v>
      </c>
      <c r="AP106" s="352" t="s">
        <v>212</v>
      </c>
      <c r="AQ106" s="306"/>
      <c r="AR106" s="353">
        <f t="shared" si="8"/>
        <v>921.46858160535135</v>
      </c>
      <c r="AS106" s="239"/>
      <c r="AT106" s="239"/>
      <c r="AU106" s="239"/>
    </row>
    <row r="107" spans="1:47" x14ac:dyDescent="0.35">
      <c r="A107" s="332">
        <v>46091</v>
      </c>
      <c r="B107" s="371" t="s">
        <v>24</v>
      </c>
      <c r="C107" s="372">
        <f>'ODOMETERS Tekrit'!J103</f>
        <v>35</v>
      </c>
      <c r="D107" s="334">
        <v>1.0669</v>
      </c>
      <c r="E107" s="335">
        <f>'Daily Tekrit'!$C107*'Daily Tekrit'!$D107</f>
        <v>37.341499999999996</v>
      </c>
      <c r="F107" s="336">
        <f>'ODOMETERS Tekrit'!K103</f>
        <v>45</v>
      </c>
      <c r="G107" s="334">
        <v>1.0669</v>
      </c>
      <c r="H107" s="335">
        <f>'Daily Tekrit'!$F107*'Daily Tekrit'!$G107</f>
        <v>48.0105</v>
      </c>
      <c r="I107" s="336">
        <f>'Daily Tekrit'!$C107+'Daily Tekrit'!$F107</f>
        <v>80</v>
      </c>
      <c r="J107" s="337">
        <f>'Daily Tekrit'!$E107+'Daily Tekrit'!$H107</f>
        <v>85.352000000000004</v>
      </c>
      <c r="K107" s="338">
        <f>'ODOMETERS Tekrit'!L103</f>
        <v>2012</v>
      </c>
      <c r="L107" s="339">
        <v>0.92030000000000001</v>
      </c>
      <c r="M107" s="340">
        <f>'Daily Tekrit'!$K107*'Daily Tekrit'!$L107</f>
        <v>1851.6436000000001</v>
      </c>
      <c r="N107" s="343"/>
      <c r="O107" s="343"/>
      <c r="P107" s="343"/>
      <c r="Q107" s="343"/>
      <c r="R107" s="343"/>
      <c r="S107" s="343"/>
      <c r="T107" s="343"/>
      <c r="U107" s="344">
        <f>'Daily Tekrit'!$J107+'Daily Tekrit'!$M107+SUM($N107:$T107)</f>
        <v>1936.9956000000002</v>
      </c>
      <c r="V107" s="306"/>
      <c r="W107" s="374">
        <f>2000*0.9203</f>
        <v>1840.6</v>
      </c>
      <c r="X107" s="354">
        <f>(29+9)*1.0669</f>
        <v>40.542200000000001</v>
      </c>
      <c r="Y107" s="354">
        <v>-2</v>
      </c>
      <c r="Z107" s="346"/>
      <c r="AA107" s="347"/>
      <c r="AB107" s="347"/>
      <c r="AC107" s="347"/>
      <c r="AD107" s="348">
        <f t="shared" si="2"/>
        <v>0</v>
      </c>
      <c r="AE107" s="349"/>
      <c r="AF107" s="349"/>
      <c r="AG107" s="349"/>
      <c r="AH107" s="349"/>
      <c r="AI107" s="349"/>
      <c r="AJ107" s="349">
        <f>300/89.7</f>
        <v>3.3444816053511706</v>
      </c>
      <c r="AK107" s="349"/>
      <c r="AL107" s="349"/>
      <c r="AM107" s="350">
        <f t="shared" si="7"/>
        <v>3.3444816053511706</v>
      </c>
      <c r="AN107" s="349"/>
      <c r="AO107" s="351">
        <f t="shared" si="6"/>
        <v>1882.4866816053511</v>
      </c>
      <c r="AP107" s="352"/>
      <c r="AQ107" s="306"/>
      <c r="AR107" s="353">
        <f t="shared" si="8"/>
        <v>54.508918394649072</v>
      </c>
      <c r="AS107" s="239"/>
      <c r="AT107" s="239"/>
      <c r="AU107" s="239"/>
    </row>
    <row r="108" spans="1:47" x14ac:dyDescent="0.35">
      <c r="A108" s="332">
        <v>46091</v>
      </c>
      <c r="B108" s="371" t="s">
        <v>25</v>
      </c>
      <c r="C108" s="372">
        <f>'ODOMETERS Tekrit'!J104</f>
        <v>151</v>
      </c>
      <c r="D108" s="334">
        <v>1.1171</v>
      </c>
      <c r="E108" s="335">
        <f>'Daily Tekrit'!$C108*'Daily Tekrit'!$D108</f>
        <v>168.68209999999999</v>
      </c>
      <c r="F108" s="336">
        <f>'ODOMETERS Tekrit'!K104</f>
        <v>182</v>
      </c>
      <c r="G108" s="334">
        <v>1.1171</v>
      </c>
      <c r="H108" s="335">
        <f>'Daily Tekrit'!$F108*'Daily Tekrit'!$G108</f>
        <v>203.31219999999999</v>
      </c>
      <c r="I108" s="336">
        <f>'Daily Tekrit'!$C108+'Daily Tekrit'!$F108</f>
        <v>333</v>
      </c>
      <c r="J108" s="337">
        <f>'Daily Tekrit'!$E108+'Daily Tekrit'!$H108</f>
        <v>371.99429999999995</v>
      </c>
      <c r="K108" s="338">
        <f>'ODOMETERS Tekrit'!L104</f>
        <v>460</v>
      </c>
      <c r="L108" s="339">
        <v>1.042</v>
      </c>
      <c r="M108" s="340">
        <f>'Daily Tekrit'!$K108*'Daily Tekrit'!$L108</f>
        <v>479.32</v>
      </c>
      <c r="N108" s="343"/>
      <c r="O108" s="343"/>
      <c r="P108" s="343"/>
      <c r="Q108" s="343"/>
      <c r="R108" s="343"/>
      <c r="S108" s="343"/>
      <c r="T108" s="343">
        <v>11</v>
      </c>
      <c r="U108" s="344">
        <f>'Daily Tekrit'!$J108+'Daily Tekrit'!$M108+SUM($N108:$T108)</f>
        <v>862.3143</v>
      </c>
      <c r="V108" s="306"/>
      <c r="W108" s="374">
        <f>22+208</f>
        <v>230</v>
      </c>
      <c r="X108" s="354">
        <f>40+10+104</f>
        <v>154</v>
      </c>
      <c r="Y108" s="354">
        <v>-7</v>
      </c>
      <c r="Z108" s="346"/>
      <c r="AA108" s="347"/>
      <c r="AB108" s="347"/>
      <c r="AC108" s="347"/>
      <c r="AD108" s="348">
        <f t="shared" si="2"/>
        <v>0</v>
      </c>
      <c r="AE108" s="349"/>
      <c r="AF108" s="349"/>
      <c r="AG108" s="349"/>
      <c r="AH108" s="349"/>
      <c r="AI108" s="349"/>
      <c r="AJ108" s="349"/>
      <c r="AK108" s="349"/>
      <c r="AL108" s="349"/>
      <c r="AM108" s="350">
        <f t="shared" si="7"/>
        <v>0</v>
      </c>
      <c r="AN108" s="349"/>
      <c r="AO108" s="351">
        <f t="shared" si="6"/>
        <v>377</v>
      </c>
      <c r="AP108" s="352"/>
      <c r="AQ108" s="306"/>
      <c r="AR108" s="353">
        <f t="shared" si="8"/>
        <v>485.3143</v>
      </c>
      <c r="AS108" s="239"/>
      <c r="AT108" s="239"/>
      <c r="AU108" s="239"/>
    </row>
    <row r="109" spans="1:47" x14ac:dyDescent="0.35">
      <c r="A109" s="332">
        <v>46092</v>
      </c>
      <c r="B109" s="371"/>
      <c r="C109" s="372">
        <f>'ODOMETERS Tekrit'!J105</f>
        <v>435</v>
      </c>
      <c r="D109" s="334">
        <v>1.1171</v>
      </c>
      <c r="E109" s="335">
        <f>'Daily Tekrit'!$C109*'Daily Tekrit'!$D109</f>
        <v>485.93849999999998</v>
      </c>
      <c r="F109" s="336">
        <f>'ODOMETERS Tekrit'!K105</f>
        <v>231</v>
      </c>
      <c r="G109" s="334">
        <v>1.1171</v>
      </c>
      <c r="H109" s="335">
        <f>'Daily Tekrit'!$F109*'Daily Tekrit'!$G109</f>
        <v>258.05009999999999</v>
      </c>
      <c r="I109" s="336">
        <f>'Daily Tekrit'!$C109+'Daily Tekrit'!$F109</f>
        <v>666</v>
      </c>
      <c r="J109" s="337">
        <f>'Daily Tekrit'!$E109+'Daily Tekrit'!$H109</f>
        <v>743.98859999999991</v>
      </c>
      <c r="K109" s="338">
        <f>'ODOMETERS Tekrit'!L105</f>
        <v>265</v>
      </c>
      <c r="L109" s="339">
        <v>1.042</v>
      </c>
      <c r="M109" s="340">
        <f>'Daily Tekrit'!$K109*'Daily Tekrit'!$L109</f>
        <v>276.13</v>
      </c>
      <c r="N109" s="343">
        <f>9+150/89.7</f>
        <v>10.672240802675585</v>
      </c>
      <c r="O109" s="343"/>
      <c r="P109" s="343"/>
      <c r="Q109" s="343"/>
      <c r="R109" s="343"/>
      <c r="S109" s="343">
        <v>200</v>
      </c>
      <c r="T109" s="343"/>
      <c r="U109" s="344">
        <f>'Daily Tekrit'!$J109+'Daily Tekrit'!$M109+SUM($N109:$T109)</f>
        <v>1230.7908408026756</v>
      </c>
      <c r="V109" s="306"/>
      <c r="W109" s="374">
        <f>700/89.7</f>
        <v>7.8037904124860642</v>
      </c>
      <c r="X109" s="354"/>
      <c r="Y109" s="354">
        <v>-10</v>
      </c>
      <c r="Z109" s="346"/>
      <c r="AA109" s="347"/>
      <c r="AB109" s="347"/>
      <c r="AC109" s="347"/>
      <c r="AD109" s="348">
        <f t="shared" si="2"/>
        <v>0</v>
      </c>
      <c r="AE109" s="349"/>
      <c r="AF109" s="349"/>
      <c r="AG109" s="349"/>
      <c r="AH109" s="349"/>
      <c r="AI109" s="349"/>
      <c r="AJ109" s="349"/>
      <c r="AK109" s="349"/>
      <c r="AL109" s="349"/>
      <c r="AM109" s="350">
        <f t="shared" si="7"/>
        <v>0</v>
      </c>
      <c r="AN109" s="349"/>
      <c r="AO109" s="351">
        <f t="shared" si="6"/>
        <v>-2.1962095875139358</v>
      </c>
      <c r="AP109" s="352"/>
      <c r="AQ109" s="306"/>
      <c r="AR109" s="353">
        <f t="shared" si="8"/>
        <v>1232.9870503901896</v>
      </c>
      <c r="AS109" s="239"/>
      <c r="AT109" s="239"/>
      <c r="AU109" s="239"/>
    </row>
    <row r="110" spans="1:47" x14ac:dyDescent="0.35">
      <c r="A110" s="332">
        <v>46093</v>
      </c>
      <c r="B110" s="371"/>
      <c r="C110" s="372">
        <f>'ODOMETERS Tekrit'!J106</f>
        <v>465</v>
      </c>
      <c r="D110" s="334">
        <v>1.1171</v>
      </c>
      <c r="E110" s="335">
        <f>'Daily Tekrit'!$C110*'Daily Tekrit'!$D110</f>
        <v>519.45150000000001</v>
      </c>
      <c r="F110" s="336">
        <f>'ODOMETERS Tekrit'!K106</f>
        <v>383</v>
      </c>
      <c r="G110" s="334">
        <v>1.1171</v>
      </c>
      <c r="H110" s="335">
        <f>'Daily Tekrit'!$F110*'Daily Tekrit'!$G110</f>
        <v>427.84929999999997</v>
      </c>
      <c r="I110" s="336">
        <f>'Daily Tekrit'!$C110+'Daily Tekrit'!$F110</f>
        <v>848</v>
      </c>
      <c r="J110" s="337">
        <f>'Daily Tekrit'!$E110+'Daily Tekrit'!$H110</f>
        <v>947.30079999999998</v>
      </c>
      <c r="K110" s="338">
        <f>'ODOMETERS Tekrit'!L106</f>
        <v>237</v>
      </c>
      <c r="L110" s="339">
        <v>1.042</v>
      </c>
      <c r="M110" s="340">
        <f>'Daily Tekrit'!$K110*'Daily Tekrit'!$L110</f>
        <v>246.95400000000001</v>
      </c>
      <c r="N110" s="343">
        <f>6+300/89.7+300/89.7+6</f>
        <v>18.68896321070234</v>
      </c>
      <c r="O110" s="343"/>
      <c r="P110" s="343"/>
      <c r="Q110" s="343"/>
      <c r="R110" s="343"/>
      <c r="S110" s="343">
        <f>472+1400/89.7</f>
        <v>487.6075808249721</v>
      </c>
      <c r="T110" s="343"/>
      <c r="U110" s="344">
        <f>'Daily Tekrit'!$J110+'Daily Tekrit'!$M110+SUM($N110:$T110)</f>
        <v>1700.5513440356744</v>
      </c>
      <c r="V110" s="306"/>
      <c r="W110" s="374"/>
      <c r="X110" s="354"/>
      <c r="Y110" s="354">
        <v>4</v>
      </c>
      <c r="Z110" s="346"/>
      <c r="AA110" s="347"/>
      <c r="AB110" s="347"/>
      <c r="AC110" s="347"/>
      <c r="AD110" s="348">
        <f t="shared" si="2"/>
        <v>0</v>
      </c>
      <c r="AE110" s="349"/>
      <c r="AF110" s="349"/>
      <c r="AG110" s="349"/>
      <c r="AH110" s="349"/>
      <c r="AI110" s="349"/>
      <c r="AJ110" s="349">
        <v>10</v>
      </c>
      <c r="AK110" s="349"/>
      <c r="AL110" s="349"/>
      <c r="AM110" s="350">
        <f t="shared" si="7"/>
        <v>10</v>
      </c>
      <c r="AN110" s="349"/>
      <c r="AO110" s="351">
        <f t="shared" si="6"/>
        <v>14</v>
      </c>
      <c r="AP110" s="352"/>
      <c r="AQ110" s="306"/>
      <c r="AR110" s="353">
        <f t="shared" si="8"/>
        <v>1686.5513440356744</v>
      </c>
      <c r="AS110" s="239"/>
      <c r="AT110" s="239"/>
      <c r="AU110" s="243"/>
    </row>
    <row r="111" spans="1:47" x14ac:dyDescent="0.35">
      <c r="A111" s="332">
        <v>46094</v>
      </c>
      <c r="B111" s="371" t="s">
        <v>24</v>
      </c>
      <c r="C111" s="372">
        <f>'ODOMETERS Tekrit'!J107</f>
        <v>296</v>
      </c>
      <c r="D111" s="334">
        <v>1.1171</v>
      </c>
      <c r="E111" s="335">
        <f>'Daily Tekrit'!$C111*'Daily Tekrit'!$D111</f>
        <v>330.66160000000002</v>
      </c>
      <c r="F111" s="336">
        <f>'ODOMETERS Tekrit'!K107</f>
        <v>244</v>
      </c>
      <c r="G111" s="334">
        <v>1.1171</v>
      </c>
      <c r="H111" s="335">
        <f>'Daily Tekrit'!$F111*'Daily Tekrit'!$G111</f>
        <v>272.57240000000002</v>
      </c>
      <c r="I111" s="336">
        <f>'Daily Tekrit'!$C111+'Daily Tekrit'!$F111</f>
        <v>540</v>
      </c>
      <c r="J111" s="337">
        <f>'Daily Tekrit'!$E111+'Daily Tekrit'!$H111</f>
        <v>603.23400000000004</v>
      </c>
      <c r="K111" s="338">
        <f>'ODOMETERS Tekrit'!L107</f>
        <v>84</v>
      </c>
      <c r="L111" s="339">
        <v>1.042</v>
      </c>
      <c r="M111" s="340">
        <f>'Daily Tekrit'!$K111*'Daily Tekrit'!$L111</f>
        <v>87.528000000000006</v>
      </c>
      <c r="N111" s="343">
        <f>300/89.7</f>
        <v>3.3444816053511706</v>
      </c>
      <c r="O111" s="343"/>
      <c r="P111" s="343"/>
      <c r="Q111" s="343"/>
      <c r="R111" s="343"/>
      <c r="S111" s="343"/>
      <c r="T111" s="343"/>
      <c r="U111" s="344">
        <f>'Daily Tekrit'!$J111+'Daily Tekrit'!$M111+SUM($N111:$T111)</f>
        <v>694.10648160535118</v>
      </c>
      <c r="V111" s="306"/>
      <c r="W111" s="374"/>
      <c r="X111" s="354"/>
      <c r="Y111" s="354"/>
      <c r="Z111" s="346"/>
      <c r="AA111" s="347"/>
      <c r="AB111" s="347"/>
      <c r="AC111" s="347"/>
      <c r="AD111" s="348">
        <f t="shared" si="2"/>
        <v>0</v>
      </c>
      <c r="AE111" s="349"/>
      <c r="AF111" s="349"/>
      <c r="AG111" s="349"/>
      <c r="AH111" s="349">
        <f>700/89.7</f>
        <v>7.8037904124860642</v>
      </c>
      <c r="AI111" s="349"/>
      <c r="AJ111" s="349"/>
      <c r="AK111" s="349"/>
      <c r="AL111" s="349"/>
      <c r="AM111" s="350">
        <f t="shared" si="7"/>
        <v>7.8037904124860642</v>
      </c>
      <c r="AN111" s="349"/>
      <c r="AO111" s="351">
        <f t="shared" si="6"/>
        <v>7.8037904124860642</v>
      </c>
      <c r="AP111" s="352"/>
      <c r="AQ111" s="306"/>
      <c r="AR111" s="353">
        <f t="shared" si="8"/>
        <v>686.30269119286515</v>
      </c>
      <c r="AS111" s="239"/>
      <c r="AT111" s="239"/>
      <c r="AU111" s="243"/>
    </row>
    <row r="112" spans="1:47" x14ac:dyDescent="0.35">
      <c r="A112" s="332">
        <v>46094</v>
      </c>
      <c r="B112" s="371" t="s">
        <v>25</v>
      </c>
      <c r="C112" s="372">
        <f>'ODOMETERS Tekrit'!J108</f>
        <v>143</v>
      </c>
      <c r="D112" s="334">
        <v>1.1879999999999999</v>
      </c>
      <c r="E112" s="335">
        <f>'Daily Tekrit'!$C112*'Daily Tekrit'!$D112</f>
        <v>169.88399999999999</v>
      </c>
      <c r="F112" s="336">
        <f>'ODOMETERS Tekrit'!K108</f>
        <v>159</v>
      </c>
      <c r="G112" s="334">
        <v>1.1879999999999999</v>
      </c>
      <c r="H112" s="335">
        <f>'Daily Tekrit'!$F112*'Daily Tekrit'!$G112</f>
        <v>188.892</v>
      </c>
      <c r="I112" s="336">
        <f>'Daily Tekrit'!$C112+'Daily Tekrit'!$F112</f>
        <v>302</v>
      </c>
      <c r="J112" s="337">
        <f>'Daily Tekrit'!$E112+'Daily Tekrit'!$H112</f>
        <v>358.77599999999995</v>
      </c>
      <c r="K112" s="338">
        <f>'ODOMETERS Tekrit'!L108</f>
        <v>69</v>
      </c>
      <c r="L112" s="339">
        <v>1.1158999999999999</v>
      </c>
      <c r="M112" s="340">
        <f>'Daily Tekrit'!$K112*'Daily Tekrit'!$L112</f>
        <v>76.997099999999989</v>
      </c>
      <c r="N112" s="343"/>
      <c r="O112" s="343"/>
      <c r="P112" s="343"/>
      <c r="Q112" s="343"/>
      <c r="R112" s="343"/>
      <c r="S112" s="343"/>
      <c r="T112" s="343"/>
      <c r="U112" s="344">
        <f>'Daily Tekrit'!$J112+'Daily Tekrit'!$M112+SUM($N112:$T112)</f>
        <v>435.77309999999994</v>
      </c>
      <c r="V112" s="306"/>
      <c r="W112" s="374">
        <f>20+1600/89.7</f>
        <v>37.837235228539576</v>
      </c>
      <c r="X112" s="354"/>
      <c r="Y112" s="354">
        <v>4</v>
      </c>
      <c r="Z112" s="346"/>
      <c r="AA112" s="347"/>
      <c r="AB112" s="347"/>
      <c r="AC112" s="347"/>
      <c r="AD112" s="348">
        <f t="shared" si="2"/>
        <v>0</v>
      </c>
      <c r="AE112" s="349"/>
      <c r="AF112" s="349"/>
      <c r="AG112" s="349"/>
      <c r="AH112" s="349"/>
      <c r="AI112" s="349"/>
      <c r="AJ112" s="349">
        <f>300/89.7</f>
        <v>3.3444816053511706</v>
      </c>
      <c r="AK112" s="349"/>
      <c r="AL112" s="349"/>
      <c r="AM112" s="350">
        <f t="shared" si="7"/>
        <v>3.3444816053511706</v>
      </c>
      <c r="AN112" s="349"/>
      <c r="AO112" s="351">
        <f t="shared" si="6"/>
        <v>45.181716833890746</v>
      </c>
      <c r="AP112" s="352"/>
      <c r="AQ112" s="306"/>
      <c r="AR112" s="353">
        <f t="shared" si="8"/>
        <v>390.59138316610921</v>
      </c>
      <c r="AS112" s="239"/>
      <c r="AT112" s="239"/>
      <c r="AU112" s="239"/>
    </row>
    <row r="113" spans="1:48" x14ac:dyDescent="0.35">
      <c r="A113" s="332">
        <v>46095</v>
      </c>
      <c r="B113" s="371"/>
      <c r="C113" s="372">
        <f>'ODOMETERS Tekrit'!J109</f>
        <v>288</v>
      </c>
      <c r="D113" s="334">
        <v>1.1879999999999999</v>
      </c>
      <c r="E113" s="335">
        <f>'Daily Tekrit'!$C113*'Daily Tekrit'!$D113</f>
        <v>342.14400000000001</v>
      </c>
      <c r="F113" s="336">
        <f>'ODOMETERS Tekrit'!K109</f>
        <v>286</v>
      </c>
      <c r="G113" s="334">
        <v>1.1879999999999999</v>
      </c>
      <c r="H113" s="335">
        <f>'Daily Tekrit'!$F113*'Daily Tekrit'!$G113</f>
        <v>339.76799999999997</v>
      </c>
      <c r="I113" s="336">
        <f>'Daily Tekrit'!$C113+'Daily Tekrit'!$F113</f>
        <v>574</v>
      </c>
      <c r="J113" s="337">
        <f>'Daily Tekrit'!$E113+'Daily Tekrit'!$H113</f>
        <v>681.91200000000003</v>
      </c>
      <c r="K113" s="338">
        <f>'ODOMETERS Tekrit'!L109</f>
        <v>247</v>
      </c>
      <c r="L113" s="339">
        <v>1.1158999999999999</v>
      </c>
      <c r="M113" s="340">
        <f>'Daily Tekrit'!$K113*'Daily Tekrit'!$L113</f>
        <v>275.62729999999999</v>
      </c>
      <c r="N113" s="343"/>
      <c r="O113" s="343"/>
      <c r="P113" s="343"/>
      <c r="Q113" s="343"/>
      <c r="R113" s="343"/>
      <c r="S113" s="343">
        <v>839</v>
      </c>
      <c r="T113" s="343"/>
      <c r="U113" s="344">
        <f>'Daily Tekrit'!$J113+'Daily Tekrit'!$M113+SUM($N113:$T113)</f>
        <v>1796.5392999999999</v>
      </c>
      <c r="V113" s="306"/>
      <c r="W113" s="374"/>
      <c r="X113" s="354"/>
      <c r="Y113" s="354"/>
      <c r="Z113" s="346"/>
      <c r="AA113" s="347"/>
      <c r="AB113" s="347"/>
      <c r="AC113" s="347"/>
      <c r="AD113" s="348">
        <f t="shared" si="2"/>
        <v>0</v>
      </c>
      <c r="AE113" s="349"/>
      <c r="AF113" s="349"/>
      <c r="AG113" s="349"/>
      <c r="AH113" s="349"/>
      <c r="AI113" s="349"/>
      <c r="AJ113" s="349"/>
      <c r="AK113" s="349"/>
      <c r="AL113" s="349"/>
      <c r="AM113" s="350">
        <f t="shared" si="7"/>
        <v>0</v>
      </c>
      <c r="AN113" s="349"/>
      <c r="AO113" s="351">
        <f t="shared" si="6"/>
        <v>0</v>
      </c>
      <c r="AP113" s="352"/>
      <c r="AQ113" s="306"/>
      <c r="AR113" s="353">
        <f t="shared" si="8"/>
        <v>1796.5392999999999</v>
      </c>
      <c r="AS113" s="239"/>
      <c r="AT113" s="239"/>
      <c r="AU113" s="239"/>
    </row>
    <row r="114" spans="1:48" x14ac:dyDescent="0.35">
      <c r="A114" s="332">
        <v>46096</v>
      </c>
      <c r="B114" s="371"/>
      <c r="C114" s="372">
        <f>'ODOMETERS Tekrit'!J110</f>
        <v>506</v>
      </c>
      <c r="D114" s="334">
        <v>1.1879999999999999</v>
      </c>
      <c r="E114" s="335">
        <f>'Daily Tekrit'!$C114*'Daily Tekrit'!$D114</f>
        <v>601.12799999999993</v>
      </c>
      <c r="F114" s="336">
        <f>'ODOMETERS Tekrit'!K110</f>
        <v>263</v>
      </c>
      <c r="G114" s="334">
        <v>1.1879999999999999</v>
      </c>
      <c r="H114" s="335">
        <f>'Daily Tekrit'!$F114*'Daily Tekrit'!$G114</f>
        <v>312.44399999999996</v>
      </c>
      <c r="I114" s="336">
        <f>'Daily Tekrit'!$C114+'Daily Tekrit'!$F114</f>
        <v>769</v>
      </c>
      <c r="J114" s="337">
        <f>'Daily Tekrit'!$E114+'Daily Tekrit'!$H114</f>
        <v>913.57199999999989</v>
      </c>
      <c r="K114" s="338">
        <f>'ODOMETERS Tekrit'!L110</f>
        <v>409</v>
      </c>
      <c r="L114" s="339">
        <v>1.1158999999999999</v>
      </c>
      <c r="M114" s="340">
        <f>'Daily Tekrit'!$K114*'Daily Tekrit'!$L114</f>
        <v>456.40309999999994</v>
      </c>
      <c r="N114" s="343">
        <f>600/89.7</f>
        <v>6.6889632107023411</v>
      </c>
      <c r="O114" s="343"/>
      <c r="P114" s="343"/>
      <c r="Q114" s="343"/>
      <c r="R114" s="343"/>
      <c r="S114" s="343"/>
      <c r="T114" s="343">
        <f>300/89.7</f>
        <v>3.3444816053511706</v>
      </c>
      <c r="U114" s="344">
        <f>'Daily Tekrit'!$J114+'Daily Tekrit'!$M114+SUM($N114:$T114)</f>
        <v>1380.0085448160535</v>
      </c>
      <c r="V114" s="306"/>
      <c r="W114" s="374">
        <v>10</v>
      </c>
      <c r="X114" s="354">
        <f>60*1.188</f>
        <v>71.28</v>
      </c>
      <c r="Y114" s="354">
        <v>4</v>
      </c>
      <c r="Z114" s="346"/>
      <c r="AA114" s="347"/>
      <c r="AB114" s="347"/>
      <c r="AC114" s="347"/>
      <c r="AD114" s="348">
        <f t="shared" si="2"/>
        <v>0</v>
      </c>
      <c r="AE114" s="349"/>
      <c r="AF114" s="349"/>
      <c r="AG114" s="349"/>
      <c r="AH114" s="349"/>
      <c r="AI114" s="349"/>
      <c r="AJ114" s="349"/>
      <c r="AK114" s="349"/>
      <c r="AL114" s="349"/>
      <c r="AM114" s="350">
        <f t="shared" si="7"/>
        <v>0</v>
      </c>
      <c r="AN114" s="349"/>
      <c r="AO114" s="351">
        <f t="shared" si="6"/>
        <v>85.28</v>
      </c>
      <c r="AP114" s="352"/>
      <c r="AQ114" s="306"/>
      <c r="AR114" s="353">
        <f t="shared" si="8"/>
        <v>1294.7285448160535</v>
      </c>
      <c r="AS114" s="239"/>
      <c r="AT114" s="239"/>
      <c r="AU114" s="239"/>
    </row>
    <row r="115" spans="1:48" x14ac:dyDescent="0.35">
      <c r="A115" s="332">
        <v>46097</v>
      </c>
      <c r="B115" s="371"/>
      <c r="C115" s="372">
        <f>'ODOMETERS Tekrit'!J111</f>
        <v>556</v>
      </c>
      <c r="D115" s="334">
        <v>1.1879999999999999</v>
      </c>
      <c r="E115" s="335">
        <f>'Daily Tekrit'!$C115*'Daily Tekrit'!$D115</f>
        <v>660.52800000000002</v>
      </c>
      <c r="F115" s="336">
        <f>'ODOMETERS Tekrit'!K111</f>
        <v>321</v>
      </c>
      <c r="G115" s="334">
        <v>1.1879999999999999</v>
      </c>
      <c r="H115" s="335">
        <f>'Daily Tekrit'!$F115*'Daily Tekrit'!$G115</f>
        <v>381.34799999999996</v>
      </c>
      <c r="I115" s="336">
        <f>'Daily Tekrit'!$C115+'Daily Tekrit'!$F115</f>
        <v>877</v>
      </c>
      <c r="J115" s="337">
        <f>'Daily Tekrit'!$E115+'Daily Tekrit'!$H115</f>
        <v>1041.876</v>
      </c>
      <c r="K115" s="338">
        <f>'ODOMETERS Tekrit'!L111</f>
        <v>371</v>
      </c>
      <c r="L115" s="339">
        <v>1.1158999999999999</v>
      </c>
      <c r="M115" s="340">
        <f>'Daily Tekrit'!$K115*'Daily Tekrit'!$L115</f>
        <v>413.99889999999994</v>
      </c>
      <c r="N115" s="343"/>
      <c r="O115" s="343"/>
      <c r="P115" s="343"/>
      <c r="Q115" s="343"/>
      <c r="R115" s="343"/>
      <c r="S115" s="343"/>
      <c r="T115" s="343"/>
      <c r="U115" s="344">
        <f>'Daily Tekrit'!$J115+'Daily Tekrit'!$M115+SUM($N115:$T115)</f>
        <v>1455.8748999999998</v>
      </c>
      <c r="V115" s="306"/>
      <c r="W115" s="374">
        <v>25</v>
      </c>
      <c r="X115" s="354"/>
      <c r="Y115" s="354">
        <v>6</v>
      </c>
      <c r="Z115" s="346"/>
      <c r="AA115" s="347"/>
      <c r="AB115" s="347"/>
      <c r="AC115" s="347"/>
      <c r="AD115" s="348">
        <f t="shared" si="2"/>
        <v>0</v>
      </c>
      <c r="AE115" s="349"/>
      <c r="AF115" s="349">
        <v>300</v>
      </c>
      <c r="AG115" s="349"/>
      <c r="AH115" s="349">
        <f>700/89.7</f>
        <v>7.8037904124860642</v>
      </c>
      <c r="AI115" s="349"/>
      <c r="AJ115" s="349">
        <f>300/89.7</f>
        <v>3.3444816053511706</v>
      </c>
      <c r="AK115" s="349"/>
      <c r="AL115" s="349"/>
      <c r="AM115" s="350">
        <f t="shared" si="7"/>
        <v>311.14827201783726</v>
      </c>
      <c r="AN115" s="349"/>
      <c r="AO115" s="351">
        <f t="shared" si="6"/>
        <v>342.14827201783726</v>
      </c>
      <c r="AP115" s="352"/>
      <c r="AQ115" s="306"/>
      <c r="AR115" s="353">
        <f t="shared" si="8"/>
        <v>1113.7266279821624</v>
      </c>
      <c r="AS115" s="239"/>
      <c r="AT115" s="239"/>
      <c r="AU115" s="239"/>
    </row>
    <row r="116" spans="1:48" x14ac:dyDescent="0.35">
      <c r="A116" s="332">
        <v>46098</v>
      </c>
      <c r="B116" s="371" t="s">
        <v>24</v>
      </c>
      <c r="C116" s="372">
        <f>'ODOMETERS Tekrit'!J112</f>
        <v>305</v>
      </c>
      <c r="D116" s="334">
        <v>1.1879999999999999</v>
      </c>
      <c r="E116" s="335">
        <f>'Daily Tekrit'!$C116*'Daily Tekrit'!$D116</f>
        <v>362.34</v>
      </c>
      <c r="F116" s="336">
        <f>'ODOMETERS Tekrit'!K112</f>
        <v>276</v>
      </c>
      <c r="G116" s="334">
        <v>1.1879999999999999</v>
      </c>
      <c r="H116" s="335">
        <f>'Daily Tekrit'!$F116*'Daily Tekrit'!$G116</f>
        <v>327.88799999999998</v>
      </c>
      <c r="I116" s="336">
        <f>'Daily Tekrit'!$C116+'Daily Tekrit'!$F116</f>
        <v>581</v>
      </c>
      <c r="J116" s="337">
        <f>'Daily Tekrit'!$E116+'Daily Tekrit'!$H116</f>
        <v>690.22799999999995</v>
      </c>
      <c r="K116" s="338">
        <f>'ODOMETERS Tekrit'!L112</f>
        <v>161</v>
      </c>
      <c r="L116" s="339">
        <v>1.1158999999999999</v>
      </c>
      <c r="M116" s="340">
        <f>'Daily Tekrit'!$K116*'Daily Tekrit'!$L116</f>
        <v>179.65989999999999</v>
      </c>
      <c r="N116" s="343"/>
      <c r="O116" s="343"/>
      <c r="P116" s="343"/>
      <c r="Q116" s="343"/>
      <c r="R116" s="343"/>
      <c r="S116" s="343">
        <v>25</v>
      </c>
      <c r="T116" s="343"/>
      <c r="U116" s="344">
        <f>'Daily Tekrit'!$J116+'Daily Tekrit'!$M116+SUM($N116:$T116)</f>
        <v>894.88789999999995</v>
      </c>
      <c r="V116" s="306"/>
      <c r="W116" s="374"/>
      <c r="X116" s="354">
        <v>20</v>
      </c>
      <c r="Y116" s="354"/>
      <c r="Z116" s="346"/>
      <c r="AA116" s="347"/>
      <c r="AB116" s="347"/>
      <c r="AC116" s="347"/>
      <c r="AD116" s="348">
        <f t="shared" si="2"/>
        <v>0</v>
      </c>
      <c r="AE116" s="349"/>
      <c r="AF116" s="349"/>
      <c r="AG116" s="349"/>
      <c r="AH116" s="349">
        <f>700/89.7</f>
        <v>7.8037904124860642</v>
      </c>
      <c r="AI116" s="349"/>
      <c r="AJ116" s="349"/>
      <c r="AK116" s="349"/>
      <c r="AL116" s="349"/>
      <c r="AM116" s="350">
        <f t="shared" si="7"/>
        <v>7.8037904124860642</v>
      </c>
      <c r="AN116" s="349"/>
      <c r="AO116" s="351">
        <f t="shared" si="6"/>
        <v>27.803790412486066</v>
      </c>
      <c r="AP116" s="352"/>
      <c r="AQ116" s="306"/>
      <c r="AR116" s="353">
        <f t="shared" si="8"/>
        <v>867.08410958751392</v>
      </c>
      <c r="AS116" s="239"/>
      <c r="AT116" s="239"/>
      <c r="AU116" s="243"/>
    </row>
    <row r="117" spans="1:48" x14ac:dyDescent="0.35">
      <c r="A117" s="332">
        <v>46098</v>
      </c>
      <c r="B117" s="371" t="s">
        <v>25</v>
      </c>
      <c r="C117" s="372">
        <f>'ODOMETERS Tekrit'!J113</f>
        <v>117</v>
      </c>
      <c r="D117" s="334">
        <v>1.2350000000000001</v>
      </c>
      <c r="E117" s="335">
        <f>'Daily Tekrit'!$C117*'Daily Tekrit'!$D117</f>
        <v>144.495</v>
      </c>
      <c r="F117" s="336">
        <f>'ODOMETERS Tekrit'!K113</f>
        <v>122</v>
      </c>
      <c r="G117" s="334">
        <v>1.2350000000000001</v>
      </c>
      <c r="H117" s="335">
        <f>'Daily Tekrit'!$F117*'Daily Tekrit'!$G117</f>
        <v>150.67000000000002</v>
      </c>
      <c r="I117" s="336">
        <f>'Daily Tekrit'!$C117+'Daily Tekrit'!$F117</f>
        <v>239</v>
      </c>
      <c r="J117" s="337">
        <f>'Daily Tekrit'!$E117+'Daily Tekrit'!$H117</f>
        <v>295.16500000000002</v>
      </c>
      <c r="K117" s="338">
        <f>'ODOMETERS Tekrit'!L113</f>
        <v>41</v>
      </c>
      <c r="L117" s="339">
        <v>1.1433</v>
      </c>
      <c r="M117" s="340">
        <f>'Daily Tekrit'!$K117*'Daily Tekrit'!$L117</f>
        <v>46.875299999999996</v>
      </c>
      <c r="N117" s="343"/>
      <c r="O117" s="343"/>
      <c r="P117" s="343"/>
      <c r="Q117" s="343"/>
      <c r="R117" s="343"/>
      <c r="S117" s="343"/>
      <c r="T117" s="343"/>
      <c r="U117" s="344">
        <f>'Daily Tekrit'!$J117+'Daily Tekrit'!$M117+SUM($N117:$T117)</f>
        <v>342.0403</v>
      </c>
      <c r="V117" s="306"/>
      <c r="W117" s="374">
        <v>10</v>
      </c>
      <c r="X117" s="354"/>
      <c r="Y117" s="354"/>
      <c r="Z117" s="346"/>
      <c r="AA117" s="347"/>
      <c r="AB117" s="347"/>
      <c r="AC117" s="347"/>
      <c r="AD117" s="348">
        <f t="shared" si="2"/>
        <v>0</v>
      </c>
      <c r="AE117" s="349"/>
      <c r="AF117" s="349"/>
      <c r="AG117" s="349"/>
      <c r="AH117" s="349"/>
      <c r="AI117" s="349"/>
      <c r="AJ117" s="349"/>
      <c r="AK117" s="349"/>
      <c r="AL117" s="349"/>
      <c r="AM117" s="350">
        <f t="shared" si="7"/>
        <v>0</v>
      </c>
      <c r="AN117" s="349"/>
      <c r="AO117" s="351">
        <f t="shared" si="6"/>
        <v>10</v>
      </c>
      <c r="AP117" s="352"/>
      <c r="AQ117" s="306"/>
      <c r="AR117" s="353">
        <f t="shared" si="8"/>
        <v>332.0403</v>
      </c>
      <c r="AS117" s="239"/>
      <c r="AT117" s="239"/>
      <c r="AU117" s="239"/>
    </row>
    <row r="118" spans="1:48" x14ac:dyDescent="0.35">
      <c r="A118" s="332">
        <v>46099</v>
      </c>
      <c r="B118" s="371"/>
      <c r="C118" s="372">
        <f>'ODOMETERS Tekrit'!J114</f>
        <v>504</v>
      </c>
      <c r="D118" s="334">
        <v>1.2350000000000001</v>
      </c>
      <c r="E118" s="335">
        <f>'Daily Tekrit'!$C118*'Daily Tekrit'!$D118</f>
        <v>622.44000000000005</v>
      </c>
      <c r="F118" s="336">
        <f>'ODOMETERS Tekrit'!K114</f>
        <v>339</v>
      </c>
      <c r="G118" s="334">
        <v>1.2350000000000001</v>
      </c>
      <c r="H118" s="335">
        <f>'Daily Tekrit'!$F118*'Daily Tekrit'!$G118</f>
        <v>418.66500000000002</v>
      </c>
      <c r="I118" s="336">
        <f>'Daily Tekrit'!$C118+'Daily Tekrit'!$F118</f>
        <v>843</v>
      </c>
      <c r="J118" s="337">
        <f>'Daily Tekrit'!$E118+'Daily Tekrit'!$H118</f>
        <v>1041.105</v>
      </c>
      <c r="K118" s="338">
        <f>'ODOMETERS Tekrit'!L114</f>
        <v>428</v>
      </c>
      <c r="L118" s="339">
        <v>1.1433</v>
      </c>
      <c r="M118" s="340">
        <f>'Daily Tekrit'!$K118*'Daily Tekrit'!$L118</f>
        <v>489.33240000000001</v>
      </c>
      <c r="N118" s="343"/>
      <c r="O118" s="343"/>
      <c r="P118" s="343"/>
      <c r="Q118" s="343"/>
      <c r="R118" s="343"/>
      <c r="S118" s="343"/>
      <c r="T118" s="343"/>
      <c r="U118" s="344">
        <f>'Daily Tekrit'!$J118+'Daily Tekrit'!$M118+SUM($N118:$T118)</f>
        <v>1530.4374</v>
      </c>
      <c r="V118" s="306"/>
      <c r="W118" s="374">
        <v>5</v>
      </c>
      <c r="X118" s="354"/>
      <c r="Y118" s="354">
        <v>3</v>
      </c>
      <c r="Z118" s="346"/>
      <c r="AA118" s="347"/>
      <c r="AB118" s="347"/>
      <c r="AC118" s="347"/>
      <c r="AD118" s="348">
        <f t="shared" si="2"/>
        <v>0</v>
      </c>
      <c r="AE118" s="349"/>
      <c r="AF118" s="349"/>
      <c r="AG118" s="349"/>
      <c r="AH118" s="349"/>
      <c r="AI118" s="349"/>
      <c r="AJ118" s="349">
        <f>1100/89.7</f>
        <v>12.263099219620958</v>
      </c>
      <c r="AK118" s="349"/>
      <c r="AL118" s="349"/>
      <c r="AM118" s="350">
        <f t="shared" si="7"/>
        <v>12.263099219620958</v>
      </c>
      <c r="AN118" s="349"/>
      <c r="AO118" s="351">
        <f t="shared" si="6"/>
        <v>20.263099219620958</v>
      </c>
      <c r="AP118" s="352"/>
      <c r="AQ118" s="306"/>
      <c r="AR118" s="353">
        <f t="shared" si="8"/>
        <v>1510.1743007803791</v>
      </c>
      <c r="AS118" s="239"/>
      <c r="AT118" s="239"/>
      <c r="AU118" s="243"/>
    </row>
    <row r="119" spans="1:48" x14ac:dyDescent="0.35">
      <c r="A119" s="332">
        <v>46100</v>
      </c>
      <c r="B119" s="371" t="s">
        <v>24</v>
      </c>
      <c r="C119" s="372">
        <f>'ODOMETERS Tekrit'!J115</f>
        <v>419</v>
      </c>
      <c r="D119" s="334">
        <v>1.2350000000000001</v>
      </c>
      <c r="E119" s="335">
        <f>'Daily Tekrit'!$C119*'Daily Tekrit'!$D119</f>
        <v>517.46500000000003</v>
      </c>
      <c r="F119" s="336">
        <f>'ODOMETERS Tekrit'!K115</f>
        <v>273</v>
      </c>
      <c r="G119" s="334">
        <v>1.2350000000000001</v>
      </c>
      <c r="H119" s="335">
        <f>'Daily Tekrit'!$F119*'Daily Tekrit'!$G119</f>
        <v>337.15500000000003</v>
      </c>
      <c r="I119" s="336">
        <f>'Daily Tekrit'!$C119+'Daily Tekrit'!$F119</f>
        <v>692</v>
      </c>
      <c r="J119" s="337">
        <f>'Daily Tekrit'!$E119+'Daily Tekrit'!$H119</f>
        <v>854.62000000000012</v>
      </c>
      <c r="K119" s="338">
        <f>'ODOMETERS Tekrit'!L115</f>
        <v>155</v>
      </c>
      <c r="L119" s="339">
        <v>1.1433</v>
      </c>
      <c r="M119" s="340">
        <f>'Daily Tekrit'!$K119*'Daily Tekrit'!$L119</f>
        <v>177.2115</v>
      </c>
      <c r="N119" s="343">
        <f>900/89.7</f>
        <v>10.033444816053512</v>
      </c>
      <c r="O119" s="343"/>
      <c r="P119" s="343"/>
      <c r="Q119" s="343"/>
      <c r="R119" s="343"/>
      <c r="S119" s="343"/>
      <c r="T119" s="343"/>
      <c r="U119" s="344">
        <f>'Daily Tekrit'!$J119+'Daily Tekrit'!$M119+SUM($N119:$T119)</f>
        <v>1041.8649448160538</v>
      </c>
      <c r="V119" s="306"/>
      <c r="W119" s="374"/>
      <c r="X119" s="354"/>
      <c r="Y119" s="354"/>
      <c r="Z119" s="346"/>
      <c r="AA119" s="347"/>
      <c r="AB119" s="347"/>
      <c r="AC119" s="347"/>
      <c r="AD119" s="348">
        <f t="shared" si="2"/>
        <v>0</v>
      </c>
      <c r="AE119" s="349"/>
      <c r="AF119" s="349"/>
      <c r="AG119" s="349"/>
      <c r="AH119" s="349"/>
      <c r="AI119" s="349"/>
      <c r="AJ119" s="349">
        <f>700/89.7</f>
        <v>7.8037904124860642</v>
      </c>
      <c r="AK119" s="349"/>
      <c r="AL119" s="349"/>
      <c r="AM119" s="350">
        <f t="shared" si="7"/>
        <v>7.8037904124860642</v>
      </c>
      <c r="AN119" s="349"/>
      <c r="AO119" s="351">
        <f t="shared" si="6"/>
        <v>7.8037904124860642</v>
      </c>
      <c r="AP119" s="352"/>
      <c r="AQ119" s="306"/>
      <c r="AR119" s="353">
        <f t="shared" si="8"/>
        <v>1034.0611544035678</v>
      </c>
      <c r="AS119" s="239"/>
      <c r="AT119" s="239"/>
      <c r="AU119" s="239"/>
    </row>
    <row r="120" spans="1:48" x14ac:dyDescent="0.35">
      <c r="A120" s="332">
        <v>46100</v>
      </c>
      <c r="B120" s="371" t="s">
        <v>25</v>
      </c>
      <c r="C120" s="372">
        <f>'ODOMETERS Tekrit'!J116</f>
        <v>104</v>
      </c>
      <c r="D120" s="334">
        <v>1.276</v>
      </c>
      <c r="E120" s="335">
        <f>'Daily Tekrit'!$C120*'Daily Tekrit'!$D120</f>
        <v>132.70400000000001</v>
      </c>
      <c r="F120" s="336">
        <f>'ODOMETERS Tekrit'!K116</f>
        <v>362</v>
      </c>
      <c r="G120" s="334">
        <v>1.276</v>
      </c>
      <c r="H120" s="335">
        <f>'Daily Tekrit'!$F120*'Daily Tekrit'!$G120</f>
        <v>461.91200000000003</v>
      </c>
      <c r="I120" s="336">
        <f>'Daily Tekrit'!$C120+'Daily Tekrit'!$F120</f>
        <v>466</v>
      </c>
      <c r="J120" s="337">
        <f>'Daily Tekrit'!$E120+'Daily Tekrit'!$H120</f>
        <v>594.61599999999999</v>
      </c>
      <c r="K120" s="338">
        <f>'ODOMETERS Tekrit'!L116</f>
        <v>195</v>
      </c>
      <c r="L120" s="339">
        <v>1.1828000000000001</v>
      </c>
      <c r="M120" s="340">
        <f>'Daily Tekrit'!$K120*'Daily Tekrit'!$L120</f>
        <v>230.64600000000002</v>
      </c>
      <c r="N120" s="343">
        <v>18</v>
      </c>
      <c r="O120" s="343"/>
      <c r="P120" s="343"/>
      <c r="Q120" s="343"/>
      <c r="R120" s="343"/>
      <c r="S120" s="343"/>
      <c r="T120" s="343"/>
      <c r="U120" s="344">
        <f>'Daily Tekrit'!$J120+'Daily Tekrit'!$M120+SUM($N120:$T120)</f>
        <v>843.26199999999994</v>
      </c>
      <c r="V120" s="306"/>
      <c r="W120" s="374"/>
      <c r="X120" s="354"/>
      <c r="Y120" s="354"/>
      <c r="Z120" s="346"/>
      <c r="AA120" s="347"/>
      <c r="AB120" s="347"/>
      <c r="AC120" s="347"/>
      <c r="AD120" s="348">
        <f t="shared" si="2"/>
        <v>0</v>
      </c>
      <c r="AE120" s="349"/>
      <c r="AF120" s="349"/>
      <c r="AG120" s="349"/>
      <c r="AH120" s="349"/>
      <c r="AI120" s="349"/>
      <c r="AJ120" s="349"/>
      <c r="AK120" s="349"/>
      <c r="AL120" s="349"/>
      <c r="AM120" s="350">
        <f t="shared" si="7"/>
        <v>0</v>
      </c>
      <c r="AN120" s="349"/>
      <c r="AO120" s="351">
        <f t="shared" si="6"/>
        <v>0</v>
      </c>
      <c r="AP120" s="352"/>
      <c r="AQ120" s="306"/>
      <c r="AR120" s="353">
        <f t="shared" si="8"/>
        <v>843.26199999999994</v>
      </c>
      <c r="AS120" s="239"/>
      <c r="AT120" s="239"/>
      <c r="AU120" s="239"/>
    </row>
    <row r="121" spans="1:48" x14ac:dyDescent="0.35">
      <c r="A121" s="332">
        <v>46101</v>
      </c>
      <c r="B121" s="371"/>
      <c r="C121" s="372">
        <f>'ODOMETERS Tekrit'!J117</f>
        <v>331</v>
      </c>
      <c r="D121" s="334">
        <v>1.276</v>
      </c>
      <c r="E121" s="335">
        <f>'Daily Tekrit'!$C121*'Daily Tekrit'!$D121</f>
        <v>422.35599999999999</v>
      </c>
      <c r="F121" s="336">
        <f>'ODOMETERS Tekrit'!K117</f>
        <v>1372</v>
      </c>
      <c r="G121" s="334">
        <v>1.276</v>
      </c>
      <c r="H121" s="335">
        <f>'Daily Tekrit'!$F121*'Daily Tekrit'!$G121</f>
        <v>1750.672</v>
      </c>
      <c r="I121" s="336">
        <f>'Daily Tekrit'!$C121+'Daily Tekrit'!$F121</f>
        <v>1703</v>
      </c>
      <c r="J121" s="337">
        <f>'Daily Tekrit'!$E121+'Daily Tekrit'!$H121</f>
        <v>2173.0280000000002</v>
      </c>
      <c r="K121" s="338">
        <f>'ODOMETERS Tekrit'!L117</f>
        <v>794</v>
      </c>
      <c r="L121" s="339">
        <v>1.1828000000000001</v>
      </c>
      <c r="M121" s="340">
        <f>'Daily Tekrit'!$K121*'Daily Tekrit'!$L121</f>
        <v>939.14320000000009</v>
      </c>
      <c r="N121" s="343">
        <f>900/89.7+6</f>
        <v>16.03344481605351</v>
      </c>
      <c r="O121" s="343"/>
      <c r="P121" s="343"/>
      <c r="Q121" s="343"/>
      <c r="R121" s="343"/>
      <c r="S121" s="343">
        <v>255</v>
      </c>
      <c r="T121" s="343">
        <f>100/89.7</f>
        <v>1.1148272017837235</v>
      </c>
      <c r="U121" s="344">
        <f>'Daily Tekrit'!$J121+'Daily Tekrit'!$M121+SUM($N121:$T121)</f>
        <v>3384.3194720178376</v>
      </c>
      <c r="V121" s="306"/>
      <c r="W121" s="374">
        <f>200*1.1828+50+1600/89.7</f>
        <v>304.39723522853956</v>
      </c>
      <c r="X121" s="354">
        <f>(9+10)*1.276</f>
        <v>24.244</v>
      </c>
      <c r="Y121" s="354">
        <v>-5</v>
      </c>
      <c r="Z121" s="346"/>
      <c r="AA121" s="347"/>
      <c r="AB121" s="347"/>
      <c r="AC121" s="347"/>
      <c r="AD121" s="348">
        <f t="shared" si="2"/>
        <v>0</v>
      </c>
      <c r="AE121" s="349"/>
      <c r="AF121" s="349">
        <v>40</v>
      </c>
      <c r="AG121" s="349"/>
      <c r="AH121" s="349">
        <f>700/89.7+2</f>
        <v>9.8037904124860642</v>
      </c>
      <c r="AI121" s="349"/>
      <c r="AJ121" s="349"/>
      <c r="AK121" s="349"/>
      <c r="AL121" s="349"/>
      <c r="AM121" s="350">
        <f t="shared" si="7"/>
        <v>49.803790412486066</v>
      </c>
      <c r="AN121" s="349"/>
      <c r="AO121" s="351">
        <f t="shared" si="6"/>
        <v>373.44502564102567</v>
      </c>
      <c r="AP121" s="352"/>
      <c r="AQ121" s="306"/>
      <c r="AR121" s="353">
        <f t="shared" si="8"/>
        <v>3010.8744463768121</v>
      </c>
      <c r="AS121" s="239"/>
      <c r="AT121" s="239"/>
      <c r="AU121" s="239"/>
    </row>
    <row r="122" spans="1:48" x14ac:dyDescent="0.35">
      <c r="A122" s="332">
        <v>46102</v>
      </c>
      <c r="B122" s="371"/>
      <c r="C122" s="372">
        <f>'ODOMETERS Tekrit'!J118</f>
        <v>294</v>
      </c>
      <c r="D122" s="334">
        <v>1.276</v>
      </c>
      <c r="E122" s="335">
        <f>'Daily Tekrit'!$C122*'Daily Tekrit'!$D122</f>
        <v>375.14400000000001</v>
      </c>
      <c r="F122" s="336">
        <f>'ODOMETERS Tekrit'!K118</f>
        <v>917</v>
      </c>
      <c r="G122" s="334">
        <v>1.276</v>
      </c>
      <c r="H122" s="335">
        <f>'Daily Tekrit'!$F122*'Daily Tekrit'!$G122</f>
        <v>1170.0920000000001</v>
      </c>
      <c r="I122" s="336">
        <f>'Daily Tekrit'!$C122+'Daily Tekrit'!$F122</f>
        <v>1211</v>
      </c>
      <c r="J122" s="337">
        <f>'Daily Tekrit'!$E122+'Daily Tekrit'!$H122</f>
        <v>1545.2360000000001</v>
      </c>
      <c r="K122" s="338">
        <f>'ODOMETERS Tekrit'!L118</f>
        <v>416</v>
      </c>
      <c r="L122" s="339">
        <v>1.1828000000000001</v>
      </c>
      <c r="M122" s="340">
        <f>'Daily Tekrit'!$K122*'Daily Tekrit'!$L122</f>
        <v>492.04480000000001</v>
      </c>
      <c r="N122" s="343">
        <f>150/89.7</f>
        <v>1.6722408026755853</v>
      </c>
      <c r="O122" s="343">
        <f>300/89.7</f>
        <v>3.3444816053511706</v>
      </c>
      <c r="P122" s="343"/>
      <c r="Q122" s="343"/>
      <c r="R122" s="343"/>
      <c r="S122" s="343"/>
      <c r="T122" s="343"/>
      <c r="U122" s="344">
        <f>'Daily Tekrit'!$J122+'Daily Tekrit'!$M122+SUM($N122:$T122)</f>
        <v>2042.2975224080267</v>
      </c>
      <c r="V122" s="306"/>
      <c r="W122" s="374"/>
      <c r="X122" s="354"/>
      <c r="Y122" s="354">
        <v>14</v>
      </c>
      <c r="Z122" s="346"/>
      <c r="AA122" s="347"/>
      <c r="AB122" s="347"/>
      <c r="AC122" s="347"/>
      <c r="AD122" s="348">
        <f t="shared" si="2"/>
        <v>0</v>
      </c>
      <c r="AE122" s="349"/>
      <c r="AF122" s="349"/>
      <c r="AG122" s="349"/>
      <c r="AH122" s="349"/>
      <c r="AI122" s="349"/>
      <c r="AJ122" s="349">
        <f>600/89.7</f>
        <v>6.6889632107023411</v>
      </c>
      <c r="AK122" s="349"/>
      <c r="AL122" s="349"/>
      <c r="AM122" s="350">
        <f t="shared" si="7"/>
        <v>6.6889632107023411</v>
      </c>
      <c r="AN122" s="349"/>
      <c r="AO122" s="351">
        <f t="shared" si="6"/>
        <v>20.68896321070234</v>
      </c>
      <c r="AP122" s="352"/>
      <c r="AQ122" s="306"/>
      <c r="AR122" s="353">
        <f t="shared" si="8"/>
        <v>2021.6085591973244</v>
      </c>
      <c r="AS122" s="239"/>
      <c r="AT122" s="239"/>
      <c r="AU122" s="239"/>
    </row>
    <row r="123" spans="1:48" x14ac:dyDescent="0.35">
      <c r="A123" s="332">
        <v>46103</v>
      </c>
      <c r="B123" s="371"/>
      <c r="C123" s="372">
        <f>'ODOMETERS Tekrit'!J119</f>
        <v>416</v>
      </c>
      <c r="D123" s="334">
        <v>1.276</v>
      </c>
      <c r="E123" s="335">
        <f>'Daily Tekrit'!$C123*'Daily Tekrit'!$D123</f>
        <v>530.81600000000003</v>
      </c>
      <c r="F123" s="336">
        <f>'ODOMETERS Tekrit'!K119</f>
        <v>486</v>
      </c>
      <c r="G123" s="334">
        <v>1.276</v>
      </c>
      <c r="H123" s="335">
        <f>'Daily Tekrit'!$F123*'Daily Tekrit'!$G123</f>
        <v>620.13599999999997</v>
      </c>
      <c r="I123" s="336">
        <f>'Daily Tekrit'!$C123+'Daily Tekrit'!$F123</f>
        <v>902</v>
      </c>
      <c r="J123" s="337">
        <f>'Daily Tekrit'!$E123+'Daily Tekrit'!$H123</f>
        <v>1150.952</v>
      </c>
      <c r="K123" s="338">
        <f>'ODOMETERS Tekrit'!L119</f>
        <v>274</v>
      </c>
      <c r="L123" s="339">
        <v>1.1828000000000001</v>
      </c>
      <c r="M123" s="340">
        <f>'Daily Tekrit'!$K123*'Daily Tekrit'!$L123</f>
        <v>324.0872</v>
      </c>
      <c r="N123" s="343">
        <v>6</v>
      </c>
      <c r="O123" s="343"/>
      <c r="P123" s="343"/>
      <c r="Q123" s="343"/>
      <c r="R123" s="343"/>
      <c r="S123" s="343">
        <v>15</v>
      </c>
      <c r="T123" s="343"/>
      <c r="U123" s="344">
        <f>'Daily Tekrit'!$J123+'Daily Tekrit'!$M123+SUM($N123:$T123)</f>
        <v>1496.0391999999999</v>
      </c>
      <c r="V123" s="306"/>
      <c r="W123" s="374"/>
      <c r="X123" s="354"/>
      <c r="Y123" s="354">
        <v>3</v>
      </c>
      <c r="Z123" s="346"/>
      <c r="AA123" s="347"/>
      <c r="AB123" s="347"/>
      <c r="AC123" s="347"/>
      <c r="AD123" s="348">
        <f t="shared" si="2"/>
        <v>0</v>
      </c>
      <c r="AE123" s="349"/>
      <c r="AF123" s="349"/>
      <c r="AG123" s="349"/>
      <c r="AH123" s="349">
        <f>1200/89.7</f>
        <v>13.377926421404682</v>
      </c>
      <c r="AI123" s="349"/>
      <c r="AJ123" s="349"/>
      <c r="AK123" s="349"/>
      <c r="AL123" s="349"/>
      <c r="AM123" s="350">
        <f t="shared" si="7"/>
        <v>13.377926421404682</v>
      </c>
      <c r="AN123" s="349"/>
      <c r="AO123" s="351">
        <f t="shared" si="6"/>
        <v>16.37792642140468</v>
      </c>
      <c r="AP123" s="352"/>
      <c r="AQ123" s="306"/>
      <c r="AR123" s="353">
        <f t="shared" si="8"/>
        <v>1479.6612735785952</v>
      </c>
      <c r="AS123" s="239"/>
      <c r="AT123" s="239"/>
      <c r="AU123" s="239"/>
    </row>
    <row r="124" spans="1:48" x14ac:dyDescent="0.35">
      <c r="A124" s="332">
        <v>46104</v>
      </c>
      <c r="B124" s="371"/>
      <c r="C124" s="372">
        <f>'ODOMETERS Tekrit'!J120</f>
        <v>600</v>
      </c>
      <c r="D124" s="334">
        <v>1.276</v>
      </c>
      <c r="E124" s="335">
        <f>'Daily Tekrit'!$C124*'Daily Tekrit'!$D124</f>
        <v>765.6</v>
      </c>
      <c r="F124" s="336">
        <f>'ODOMETERS Tekrit'!K120</f>
        <v>285</v>
      </c>
      <c r="G124" s="334">
        <v>1.276</v>
      </c>
      <c r="H124" s="335">
        <f>'Daily Tekrit'!$F124*'Daily Tekrit'!$G124</f>
        <v>363.66</v>
      </c>
      <c r="I124" s="336">
        <f>'Daily Tekrit'!$C124+'Daily Tekrit'!$F124</f>
        <v>885</v>
      </c>
      <c r="J124" s="337">
        <f>'Daily Tekrit'!$E124+'Daily Tekrit'!$H124</f>
        <v>1129.26</v>
      </c>
      <c r="K124" s="338">
        <f>'ODOMETERS Tekrit'!L120</f>
        <v>429</v>
      </c>
      <c r="L124" s="339">
        <v>1.1828000000000001</v>
      </c>
      <c r="M124" s="340">
        <f>'Daily Tekrit'!$K124*'Daily Tekrit'!$L124</f>
        <v>507.42120000000006</v>
      </c>
      <c r="N124" s="343"/>
      <c r="O124" s="343"/>
      <c r="P124" s="343"/>
      <c r="Q124" s="343"/>
      <c r="R124" s="343"/>
      <c r="S124" s="343">
        <f>700/89.7</f>
        <v>7.8037904124860642</v>
      </c>
      <c r="T124" s="343"/>
      <c r="U124" s="344">
        <f>'Daily Tekrit'!$J124+'Daily Tekrit'!$M124+SUM($N124:$T124)</f>
        <v>1644.484990412486</v>
      </c>
      <c r="V124" s="306"/>
      <c r="W124" s="374"/>
      <c r="X124" s="354"/>
      <c r="Y124" s="354">
        <v>-7</v>
      </c>
      <c r="Z124" s="346"/>
      <c r="AA124" s="347"/>
      <c r="AB124" s="347"/>
      <c r="AC124" s="347"/>
      <c r="AD124" s="348">
        <f t="shared" si="2"/>
        <v>0</v>
      </c>
      <c r="AE124" s="349"/>
      <c r="AF124" s="349"/>
      <c r="AG124" s="349"/>
      <c r="AH124" s="349">
        <f>700/89.7</f>
        <v>7.8037904124860642</v>
      </c>
      <c r="AI124" s="349"/>
      <c r="AJ124" s="349"/>
      <c r="AK124" s="349"/>
      <c r="AL124" s="349"/>
      <c r="AM124" s="350">
        <f t="shared" si="7"/>
        <v>7.8037904124860642</v>
      </c>
      <c r="AN124" s="349"/>
      <c r="AO124" s="351">
        <f t="shared" si="6"/>
        <v>0.8037904124860642</v>
      </c>
      <c r="AP124" s="352"/>
      <c r="AQ124" s="306"/>
      <c r="AR124" s="353">
        <f t="shared" si="8"/>
        <v>1643.6812</v>
      </c>
      <c r="AS124" s="239"/>
      <c r="AT124" s="239"/>
      <c r="AU124" s="239"/>
    </row>
    <row r="125" spans="1:48" x14ac:dyDescent="0.35">
      <c r="A125" s="332">
        <v>46105</v>
      </c>
      <c r="B125" s="371" t="s">
        <v>24</v>
      </c>
      <c r="C125" s="372">
        <f>'ODOMETERS Tekrit'!J121</f>
        <v>280</v>
      </c>
      <c r="D125" s="334">
        <v>1.276</v>
      </c>
      <c r="E125" s="335">
        <f>'Daily Tekrit'!$C125*'Daily Tekrit'!$D125</f>
        <v>357.28000000000003</v>
      </c>
      <c r="F125" s="336">
        <f>'ODOMETERS Tekrit'!K121</f>
        <v>142</v>
      </c>
      <c r="G125" s="334">
        <v>1.276</v>
      </c>
      <c r="H125" s="335">
        <f>'Daily Tekrit'!$F125*'Daily Tekrit'!$G125</f>
        <v>181.19200000000001</v>
      </c>
      <c r="I125" s="336">
        <f>'Daily Tekrit'!$C125+'Daily Tekrit'!$F125</f>
        <v>422</v>
      </c>
      <c r="J125" s="337">
        <f>'Daily Tekrit'!$E125+'Daily Tekrit'!$H125</f>
        <v>538.47199999999998</v>
      </c>
      <c r="K125" s="338">
        <f>'ODOMETERS Tekrit'!L121</f>
        <v>243</v>
      </c>
      <c r="L125" s="339">
        <v>1.1828000000000001</v>
      </c>
      <c r="M125" s="340">
        <f>'Daily Tekrit'!$K125*'Daily Tekrit'!$L125</f>
        <v>287.42040000000003</v>
      </c>
      <c r="N125" s="343"/>
      <c r="O125" s="343"/>
      <c r="P125" s="343"/>
      <c r="Q125" s="343"/>
      <c r="R125" s="343"/>
      <c r="S125" s="343"/>
      <c r="T125" s="343"/>
      <c r="U125" s="344">
        <f>'Daily Tekrit'!$J125+'Daily Tekrit'!$M125+SUM($N125:$T125)</f>
        <v>825.89239999999995</v>
      </c>
      <c r="V125" s="306"/>
      <c r="W125" s="374"/>
      <c r="X125" s="354"/>
      <c r="Y125" s="354">
        <v>15</v>
      </c>
      <c r="Z125" s="346"/>
      <c r="AA125" s="347"/>
      <c r="AB125" s="347"/>
      <c r="AC125" s="347"/>
      <c r="AD125" s="348">
        <f t="shared" si="2"/>
        <v>0</v>
      </c>
      <c r="AE125" s="349"/>
      <c r="AF125" s="349"/>
      <c r="AG125" s="349"/>
      <c r="AH125" s="349">
        <f>700/89.7</f>
        <v>7.8037904124860642</v>
      </c>
      <c r="AI125" s="349"/>
      <c r="AJ125" s="349"/>
      <c r="AK125" s="349"/>
      <c r="AL125" s="349"/>
      <c r="AM125" s="350">
        <f t="shared" si="7"/>
        <v>7.8037904124860642</v>
      </c>
      <c r="AN125" s="349"/>
      <c r="AO125" s="351">
        <f t="shared" si="6"/>
        <v>22.803790412486066</v>
      </c>
      <c r="AP125" s="352"/>
      <c r="AQ125" s="306"/>
      <c r="AR125" s="353">
        <f t="shared" si="8"/>
        <v>803.08860958751393</v>
      </c>
      <c r="AS125" s="239"/>
      <c r="AT125" s="239"/>
      <c r="AU125" s="239"/>
    </row>
    <row r="126" spans="1:48" x14ac:dyDescent="0.35">
      <c r="A126" s="332">
        <v>46105</v>
      </c>
      <c r="B126" s="371" t="s">
        <v>25</v>
      </c>
      <c r="C126" s="372">
        <f>'ODOMETERS Tekrit'!J122</f>
        <v>259</v>
      </c>
      <c r="D126" s="334">
        <v>1.29</v>
      </c>
      <c r="E126" s="335">
        <f>'Daily Tekrit'!$C126*'Daily Tekrit'!$D126</f>
        <v>334.11</v>
      </c>
      <c r="F126" s="336">
        <f>'ODOMETERS Tekrit'!K122</f>
        <v>56</v>
      </c>
      <c r="G126" s="334">
        <v>1.29</v>
      </c>
      <c r="H126" s="335">
        <f>'Daily Tekrit'!$F126*'Daily Tekrit'!$G126</f>
        <v>72.240000000000009</v>
      </c>
      <c r="I126" s="336">
        <f>'Daily Tekrit'!$C126+'Daily Tekrit'!$F126</f>
        <v>315</v>
      </c>
      <c r="J126" s="337">
        <f>'Daily Tekrit'!$E126+'Daily Tekrit'!$H126</f>
        <v>406.35</v>
      </c>
      <c r="K126" s="338">
        <f>'ODOMETERS Tekrit'!L122</f>
        <v>706</v>
      </c>
      <c r="L126" s="339">
        <v>1.2230000000000001</v>
      </c>
      <c r="M126" s="340">
        <f>'Daily Tekrit'!$K126*'Daily Tekrit'!$L126</f>
        <v>863.4380000000001</v>
      </c>
      <c r="N126" s="343"/>
      <c r="O126" s="343"/>
      <c r="P126" s="343"/>
      <c r="Q126" s="343"/>
      <c r="R126" s="343"/>
      <c r="S126" s="343"/>
      <c r="T126" s="343">
        <v>65</v>
      </c>
      <c r="U126" s="344">
        <f>'Daily Tekrit'!$J126+'Daily Tekrit'!$M126+SUM($N126:$T126)</f>
        <v>1334.788</v>
      </c>
      <c r="V126" s="306"/>
      <c r="W126" s="374">
        <f>30+600/89.7</f>
        <v>36.68896321070234</v>
      </c>
      <c r="X126" s="354">
        <f>650*1.223</f>
        <v>794.95</v>
      </c>
      <c r="Y126" s="354"/>
      <c r="Z126" s="346"/>
      <c r="AA126" s="347"/>
      <c r="AB126" s="347"/>
      <c r="AC126" s="347"/>
      <c r="AD126" s="348">
        <f t="shared" si="2"/>
        <v>0</v>
      </c>
      <c r="AE126" s="349"/>
      <c r="AF126" s="349"/>
      <c r="AG126" s="349"/>
      <c r="AH126" s="349">
        <f>300/89.7</f>
        <v>3.3444816053511706</v>
      </c>
      <c r="AI126" s="349"/>
      <c r="AJ126" s="349"/>
      <c r="AK126" s="349"/>
      <c r="AL126" s="349"/>
      <c r="AM126" s="350">
        <f t="shared" si="7"/>
        <v>3.3444816053511706</v>
      </c>
      <c r="AN126" s="349"/>
      <c r="AO126" s="351">
        <f t="shared" si="6"/>
        <v>834.98344481605352</v>
      </c>
      <c r="AP126" s="352"/>
      <c r="AQ126" s="306"/>
      <c r="AR126" s="353">
        <f t="shared" si="8"/>
        <v>499.80455518394649</v>
      </c>
      <c r="AS126" s="239"/>
      <c r="AT126" s="239"/>
      <c r="AU126" s="239"/>
    </row>
    <row r="127" spans="1:48" x14ac:dyDescent="0.35">
      <c r="A127" s="332">
        <v>46106</v>
      </c>
      <c r="B127" s="371"/>
      <c r="C127" s="372">
        <f>'ODOMETERS Tekrit'!J123</f>
        <v>331</v>
      </c>
      <c r="D127" s="334">
        <v>1.29</v>
      </c>
      <c r="E127" s="335">
        <f>'Daily Tekrit'!$C127*'Daily Tekrit'!$D127</f>
        <v>426.99</v>
      </c>
      <c r="F127" s="336">
        <f>'ODOMETERS Tekrit'!K123</f>
        <v>204</v>
      </c>
      <c r="G127" s="334">
        <v>1.29</v>
      </c>
      <c r="H127" s="335">
        <f>'Daily Tekrit'!$F127*'Daily Tekrit'!$G127</f>
        <v>263.16000000000003</v>
      </c>
      <c r="I127" s="336">
        <f>'Daily Tekrit'!$C127+'Daily Tekrit'!$F127</f>
        <v>535</v>
      </c>
      <c r="J127" s="337">
        <f>'Daily Tekrit'!$E127+'Daily Tekrit'!$H127</f>
        <v>690.15000000000009</v>
      </c>
      <c r="K127" s="338">
        <f>'ODOMETERS Tekrit'!L123</f>
        <v>449</v>
      </c>
      <c r="L127" s="339">
        <v>1.2230000000000001</v>
      </c>
      <c r="M127" s="340">
        <f>'Daily Tekrit'!$K127*'Daily Tekrit'!$L127</f>
        <v>549.12700000000007</v>
      </c>
      <c r="N127" s="343"/>
      <c r="O127" s="343"/>
      <c r="P127" s="343"/>
      <c r="Q127" s="343"/>
      <c r="R127" s="343"/>
      <c r="S127" s="343"/>
      <c r="T127" s="343">
        <f>150/89.7</f>
        <v>1.6722408026755853</v>
      </c>
      <c r="U127" s="344">
        <f>'Daily Tekrit'!$J127+'Daily Tekrit'!$M127+SUM($N127:$T127)</f>
        <v>1240.9492408026756</v>
      </c>
      <c r="V127" s="306"/>
      <c r="W127" s="374">
        <f>20</f>
        <v>20</v>
      </c>
      <c r="X127" s="354">
        <f>11+20*1.29</f>
        <v>36.799999999999997</v>
      </c>
      <c r="Y127" s="354">
        <v>-7</v>
      </c>
      <c r="Z127" s="346"/>
      <c r="AA127" s="347"/>
      <c r="AB127" s="347"/>
      <c r="AC127" s="347"/>
      <c r="AD127" s="348">
        <f t="shared" si="2"/>
        <v>0</v>
      </c>
      <c r="AE127" s="349"/>
      <c r="AF127" s="349"/>
      <c r="AG127" s="349"/>
      <c r="AH127" s="349">
        <f>700/89.7</f>
        <v>7.8037904124860642</v>
      </c>
      <c r="AI127" s="349"/>
      <c r="AJ127" s="349"/>
      <c r="AK127" s="349"/>
      <c r="AL127" s="349"/>
      <c r="AM127" s="350">
        <f t="shared" si="7"/>
        <v>7.8037904124860642</v>
      </c>
      <c r="AN127" s="349"/>
      <c r="AO127" s="351">
        <f t="shared" si="6"/>
        <v>57.603790412486063</v>
      </c>
      <c r="AP127" s="352"/>
      <c r="AQ127" s="306"/>
      <c r="AR127" s="353">
        <f t="shared" si="8"/>
        <v>1183.3454503901896</v>
      </c>
      <c r="AS127" s="239"/>
      <c r="AT127" s="239"/>
      <c r="AU127" s="239"/>
    </row>
    <row r="128" spans="1:48" x14ac:dyDescent="0.35">
      <c r="A128" s="332">
        <v>46107</v>
      </c>
      <c r="B128" s="371"/>
      <c r="C128" s="372">
        <f>'ODOMETERS Tekrit'!J124</f>
        <v>387</v>
      </c>
      <c r="D128" s="334">
        <v>1.29</v>
      </c>
      <c r="E128" s="335">
        <f>'Daily Tekrit'!$C128*'Daily Tekrit'!$D128</f>
        <v>499.23</v>
      </c>
      <c r="F128" s="336">
        <f>'ODOMETERS Tekrit'!K124</f>
        <v>219</v>
      </c>
      <c r="G128" s="334">
        <v>1.29</v>
      </c>
      <c r="H128" s="335">
        <f>'Daily Tekrit'!$F128*'Daily Tekrit'!$G128</f>
        <v>282.51</v>
      </c>
      <c r="I128" s="336">
        <f>'Daily Tekrit'!$C128+'Daily Tekrit'!$F128</f>
        <v>606</v>
      </c>
      <c r="J128" s="337">
        <f>'Daily Tekrit'!$E128+'Daily Tekrit'!$H128</f>
        <v>781.74</v>
      </c>
      <c r="K128" s="338">
        <f>'ODOMETERS Tekrit'!L124</f>
        <v>397</v>
      </c>
      <c r="L128" s="339">
        <v>1.2230000000000001</v>
      </c>
      <c r="M128" s="340">
        <f>'Daily Tekrit'!$K128*'Daily Tekrit'!$L128</f>
        <v>485.53100000000006</v>
      </c>
      <c r="N128" s="343"/>
      <c r="O128" s="343"/>
      <c r="P128" s="343"/>
      <c r="Q128" s="343"/>
      <c r="R128" s="343"/>
      <c r="S128" s="343">
        <f>20+1600/89.7</f>
        <v>37.837235228539576</v>
      </c>
      <c r="T128" s="343"/>
      <c r="U128" s="344">
        <f>'Daily Tekrit'!$J128+'Daily Tekrit'!$M128+SUM($N128:$T128)</f>
        <v>1305.1082352285398</v>
      </c>
      <c r="V128" s="306"/>
      <c r="W128" s="374">
        <f>50+600/89.7</f>
        <v>56.68896321070234</v>
      </c>
      <c r="X128" s="354"/>
      <c r="Y128" s="354">
        <v>1</v>
      </c>
      <c r="Z128" s="346"/>
      <c r="AA128" s="347"/>
      <c r="AB128" s="347"/>
      <c r="AC128" s="347"/>
      <c r="AD128" s="348">
        <f t="shared" si="2"/>
        <v>0</v>
      </c>
      <c r="AE128" s="349"/>
      <c r="AF128" s="349"/>
      <c r="AG128" s="349"/>
      <c r="AH128" s="349">
        <f>700/89.7</f>
        <v>7.8037904124860642</v>
      </c>
      <c r="AI128" s="349"/>
      <c r="AJ128" s="349"/>
      <c r="AK128" s="349"/>
      <c r="AL128" s="349"/>
      <c r="AM128" s="350">
        <f t="shared" si="7"/>
        <v>7.8037904124860642</v>
      </c>
      <c r="AN128" s="349"/>
      <c r="AO128" s="351">
        <f t="shared" si="6"/>
        <v>65.492753623188406</v>
      </c>
      <c r="AP128" s="352"/>
      <c r="AQ128" s="306"/>
      <c r="AR128" s="353">
        <f t="shared" si="8"/>
        <v>1239.6154816053513</v>
      </c>
      <c r="AS128" s="239"/>
      <c r="AT128" s="239"/>
      <c r="AU128" s="239"/>
      <c r="AV128" s="376"/>
    </row>
    <row r="129" spans="1:47" x14ac:dyDescent="0.35">
      <c r="A129" s="332">
        <v>46108</v>
      </c>
      <c r="B129" s="371" t="s">
        <v>24</v>
      </c>
      <c r="C129" s="372">
        <f>'ODOMETERS Tekrit'!J125</f>
        <v>108</v>
      </c>
      <c r="D129" s="334">
        <v>1.29</v>
      </c>
      <c r="E129" s="335">
        <f>'Daily Tekrit'!$C129*'Daily Tekrit'!$D129</f>
        <v>139.32</v>
      </c>
      <c r="F129" s="336">
        <f>'ODOMETERS Tekrit'!K125</f>
        <v>289</v>
      </c>
      <c r="G129" s="334">
        <v>1.29</v>
      </c>
      <c r="H129" s="335">
        <f>'Daily Tekrit'!$F129*'Daily Tekrit'!$G129</f>
        <v>372.81</v>
      </c>
      <c r="I129" s="336">
        <f>'Daily Tekrit'!$C129+'Daily Tekrit'!$F129</f>
        <v>397</v>
      </c>
      <c r="J129" s="337">
        <f>'Daily Tekrit'!$E129+'Daily Tekrit'!$H129</f>
        <v>512.13</v>
      </c>
      <c r="K129" s="338">
        <f>'ODOMETERS Tekrit'!L125</f>
        <v>212</v>
      </c>
      <c r="L129" s="339">
        <v>1.2230000000000001</v>
      </c>
      <c r="M129" s="340">
        <f>'Daily Tekrit'!$K129*'Daily Tekrit'!$L129</f>
        <v>259.27600000000001</v>
      </c>
      <c r="N129" s="343">
        <f>300/89.7</f>
        <v>3.3444816053511706</v>
      </c>
      <c r="O129" s="343"/>
      <c r="P129" s="343"/>
      <c r="Q129" s="343"/>
      <c r="R129" s="343"/>
      <c r="S129" s="343"/>
      <c r="T129" s="343"/>
      <c r="U129" s="344">
        <f>'Daily Tekrit'!$J129+'Daily Tekrit'!$M129+SUM($N129:$T129)</f>
        <v>774.75048160535107</v>
      </c>
      <c r="V129" s="306"/>
      <c r="W129" s="374">
        <f>800/89.7</f>
        <v>8.9186176142697882</v>
      </c>
      <c r="X129" s="354"/>
      <c r="Y129" s="354"/>
      <c r="Z129" s="346"/>
      <c r="AA129" s="347"/>
      <c r="AB129" s="347"/>
      <c r="AC129" s="347"/>
      <c r="AD129" s="348">
        <f t="shared" si="2"/>
        <v>0</v>
      </c>
      <c r="AE129" s="349"/>
      <c r="AF129" s="349"/>
      <c r="AG129" s="349"/>
      <c r="AH129" s="349">
        <f>600/89.7</f>
        <v>6.6889632107023411</v>
      </c>
      <c r="AI129" s="349"/>
      <c r="AJ129" s="349"/>
      <c r="AK129" s="349"/>
      <c r="AL129" s="349"/>
      <c r="AM129" s="350">
        <f t="shared" si="7"/>
        <v>6.6889632107023411</v>
      </c>
      <c r="AN129" s="349"/>
      <c r="AO129" s="351">
        <f t="shared" si="6"/>
        <v>15.607580824972128</v>
      </c>
      <c r="AP129" s="352"/>
      <c r="AQ129" s="306"/>
      <c r="AR129" s="353">
        <f t="shared" si="8"/>
        <v>759.14290078037891</v>
      </c>
      <c r="AS129" s="239"/>
      <c r="AT129" s="239"/>
      <c r="AU129" s="239"/>
    </row>
    <row r="130" spans="1:47" x14ac:dyDescent="0.35">
      <c r="A130" s="332">
        <v>46108</v>
      </c>
      <c r="B130" s="371" t="s">
        <v>25</v>
      </c>
      <c r="C130" s="372">
        <f>'ODOMETERS Tekrit'!J126</f>
        <v>56</v>
      </c>
      <c r="D130" s="334">
        <v>1.3180000000000001</v>
      </c>
      <c r="E130" s="335">
        <f>'Daily Tekrit'!$C130*'Daily Tekrit'!$D130</f>
        <v>73.808000000000007</v>
      </c>
      <c r="F130" s="336">
        <f>'ODOMETERS Tekrit'!K126</f>
        <v>137</v>
      </c>
      <c r="G130" s="334">
        <v>1.3180000000000001</v>
      </c>
      <c r="H130" s="335">
        <f>'Daily Tekrit'!$F130*'Daily Tekrit'!$G130</f>
        <v>180.566</v>
      </c>
      <c r="I130" s="336">
        <f>'Daily Tekrit'!$C130+'Daily Tekrit'!$F130</f>
        <v>193</v>
      </c>
      <c r="J130" s="337">
        <f>'Daily Tekrit'!$E130+'Daily Tekrit'!$H130</f>
        <v>254.37400000000002</v>
      </c>
      <c r="K130" s="338">
        <f>'ODOMETERS Tekrit'!L126</f>
        <v>78</v>
      </c>
      <c r="L130" s="339">
        <v>1.2793000000000001</v>
      </c>
      <c r="M130" s="340">
        <f>'Daily Tekrit'!$K130*'Daily Tekrit'!$L130</f>
        <v>99.78540000000001</v>
      </c>
      <c r="N130" s="343"/>
      <c r="O130" s="343"/>
      <c r="P130" s="343"/>
      <c r="Q130" s="343"/>
      <c r="R130" s="343"/>
      <c r="S130" s="343"/>
      <c r="T130" s="343"/>
      <c r="U130" s="344">
        <f>'Daily Tekrit'!$J130+'Daily Tekrit'!$M130+SUM($N130:$T130)</f>
        <v>354.15940000000001</v>
      </c>
      <c r="V130" s="306"/>
      <c r="W130" s="374">
        <f>1500/89.7</f>
        <v>16.722408026755851</v>
      </c>
      <c r="X130" s="354"/>
      <c r="Y130" s="354"/>
      <c r="Z130" s="346"/>
      <c r="AA130" s="347"/>
      <c r="AB130" s="347"/>
      <c r="AC130" s="347"/>
      <c r="AD130" s="348">
        <f t="shared" si="2"/>
        <v>0</v>
      </c>
      <c r="AE130" s="349"/>
      <c r="AF130" s="349"/>
      <c r="AG130" s="349"/>
      <c r="AH130" s="349"/>
      <c r="AI130" s="349"/>
      <c r="AJ130" s="349">
        <f>600/89.7</f>
        <v>6.6889632107023411</v>
      </c>
      <c r="AK130" s="349"/>
      <c r="AL130" s="349"/>
      <c r="AM130" s="350">
        <f t="shared" si="7"/>
        <v>6.6889632107023411</v>
      </c>
      <c r="AN130" s="349"/>
      <c r="AO130" s="351">
        <f t="shared" si="6"/>
        <v>23.411371237458191</v>
      </c>
      <c r="AP130" s="352"/>
      <c r="AQ130" s="306"/>
      <c r="AR130" s="353">
        <f t="shared" si="8"/>
        <v>330.74802876254182</v>
      </c>
      <c r="AS130" s="239"/>
      <c r="AT130" s="239"/>
      <c r="AU130" s="239"/>
    </row>
    <row r="131" spans="1:47" x14ac:dyDescent="0.35">
      <c r="A131" s="332">
        <v>46109</v>
      </c>
      <c r="B131" s="371"/>
      <c r="C131" s="372">
        <f>'ODOMETERS Tekrit'!J127</f>
        <v>386</v>
      </c>
      <c r="D131" s="334">
        <v>1.3180000000000001</v>
      </c>
      <c r="E131" s="335">
        <f>'Daily Tekrit'!$C131*'Daily Tekrit'!$D131</f>
        <v>508.74800000000005</v>
      </c>
      <c r="F131" s="336">
        <f>'ODOMETERS Tekrit'!K127</f>
        <v>339</v>
      </c>
      <c r="G131" s="334">
        <v>1.3180000000000001</v>
      </c>
      <c r="H131" s="335">
        <f>'Daily Tekrit'!$F131*'Daily Tekrit'!$G131</f>
        <v>446.80200000000002</v>
      </c>
      <c r="I131" s="336">
        <f>'Daily Tekrit'!$C131+'Daily Tekrit'!$F131</f>
        <v>725</v>
      </c>
      <c r="J131" s="337">
        <f>'Daily Tekrit'!$E131+'Daily Tekrit'!$H131</f>
        <v>955.55000000000007</v>
      </c>
      <c r="K131" s="338">
        <f>'ODOMETERS Tekrit'!L127</f>
        <v>224</v>
      </c>
      <c r="L131" s="339">
        <v>1.2793000000000001</v>
      </c>
      <c r="M131" s="340">
        <f>'Daily Tekrit'!$K131*'Daily Tekrit'!$L131</f>
        <v>286.56320000000005</v>
      </c>
      <c r="N131" s="343">
        <f>600/89.7</f>
        <v>6.6889632107023411</v>
      </c>
      <c r="O131" s="343"/>
      <c r="P131" s="343"/>
      <c r="Q131" s="343"/>
      <c r="R131" s="343"/>
      <c r="S131" s="343"/>
      <c r="T131" s="343"/>
      <c r="U131" s="344">
        <f>'Daily Tekrit'!$J131+'Daily Tekrit'!$M131+SUM($N131:$T131)</f>
        <v>1248.8021632107025</v>
      </c>
      <c r="V131" s="306"/>
      <c r="W131" s="374">
        <f>600/89.7+10</f>
        <v>16.68896321070234</v>
      </c>
      <c r="X131" s="354">
        <f>18*1.318</f>
        <v>23.724</v>
      </c>
      <c r="Y131" s="354">
        <v>2</v>
      </c>
      <c r="Z131" s="346"/>
      <c r="AA131" s="347"/>
      <c r="AB131" s="347"/>
      <c r="AC131" s="347"/>
      <c r="AD131" s="348">
        <f t="shared" si="2"/>
        <v>0</v>
      </c>
      <c r="AE131" s="349"/>
      <c r="AF131" s="349"/>
      <c r="AG131" s="349"/>
      <c r="AH131" s="349">
        <f>700/89.7</f>
        <v>7.8037904124860642</v>
      </c>
      <c r="AI131" s="349"/>
      <c r="AJ131" s="349"/>
      <c r="AK131" s="349"/>
      <c r="AL131" s="349"/>
      <c r="AM131" s="350">
        <f t="shared" si="7"/>
        <v>7.8037904124860642</v>
      </c>
      <c r="AN131" s="349"/>
      <c r="AO131" s="351">
        <f t="shared" si="6"/>
        <v>50.21675362318841</v>
      </c>
      <c r="AP131" s="352"/>
      <c r="AQ131" s="306"/>
      <c r="AR131" s="353">
        <f t="shared" si="8"/>
        <v>1198.5854095875141</v>
      </c>
      <c r="AS131" s="239"/>
      <c r="AT131" s="239"/>
      <c r="AU131" s="239"/>
    </row>
    <row r="132" spans="1:47" x14ac:dyDescent="0.35">
      <c r="A132" s="332">
        <v>46110</v>
      </c>
      <c r="B132" s="371"/>
      <c r="C132" s="372">
        <f>'ODOMETERS Tekrit'!J128</f>
        <v>451</v>
      </c>
      <c r="D132" s="334">
        <v>1.3180000000000001</v>
      </c>
      <c r="E132" s="335">
        <f>'Daily Tekrit'!$C132*'Daily Tekrit'!$D132</f>
        <v>594.41800000000001</v>
      </c>
      <c r="F132" s="336">
        <f>'ODOMETERS Tekrit'!K128</f>
        <v>268</v>
      </c>
      <c r="G132" s="334">
        <v>1.3180000000000001</v>
      </c>
      <c r="H132" s="335">
        <f>'Daily Tekrit'!$F132*'Daily Tekrit'!$G132</f>
        <v>353.22399999999999</v>
      </c>
      <c r="I132" s="336">
        <f>'Daily Tekrit'!$C132+'Daily Tekrit'!$F132</f>
        <v>719</v>
      </c>
      <c r="J132" s="337">
        <f>'Daily Tekrit'!$E132+'Daily Tekrit'!$H132</f>
        <v>947.64200000000005</v>
      </c>
      <c r="K132" s="338">
        <f>'ODOMETERS Tekrit'!L128</f>
        <v>434</v>
      </c>
      <c r="L132" s="339">
        <v>1.2793000000000001</v>
      </c>
      <c r="M132" s="340">
        <f>'Daily Tekrit'!$K132*'Daily Tekrit'!$L132</f>
        <v>555.21620000000007</v>
      </c>
      <c r="N132" s="343">
        <f>300/89.7</f>
        <v>3.3444816053511706</v>
      </c>
      <c r="O132" s="343"/>
      <c r="P132" s="343"/>
      <c r="Q132" s="343"/>
      <c r="R132" s="343"/>
      <c r="S132" s="343"/>
      <c r="T132" s="343"/>
      <c r="U132" s="344">
        <f>'Daily Tekrit'!$J132+'Daily Tekrit'!$M132+SUM($N132:$T132)</f>
        <v>1506.2026816053512</v>
      </c>
      <c r="V132" s="306"/>
      <c r="W132" s="374">
        <f>600/89.7+10+20</f>
        <v>36.68896321070234</v>
      </c>
      <c r="X132" s="354"/>
      <c r="Y132" s="354">
        <v>2</v>
      </c>
      <c r="Z132" s="346"/>
      <c r="AA132" s="347"/>
      <c r="AB132" s="347"/>
      <c r="AC132" s="347"/>
      <c r="AD132" s="348">
        <f t="shared" si="2"/>
        <v>0</v>
      </c>
      <c r="AE132" s="349"/>
      <c r="AF132" s="349"/>
      <c r="AG132" s="349"/>
      <c r="AH132" s="349">
        <f>195+1200/89.7</f>
        <v>208.37792642140468</v>
      </c>
      <c r="AI132" s="349"/>
      <c r="AJ132" s="349"/>
      <c r="AK132" s="349"/>
      <c r="AL132" s="349"/>
      <c r="AM132" s="350">
        <f t="shared" si="7"/>
        <v>208.37792642140468</v>
      </c>
      <c r="AN132" s="349"/>
      <c r="AO132" s="351">
        <f t="shared" ref="AO132:AO195" si="9">SUM(W132:Y132,AD132,AM132,AN132)</f>
        <v>247.06688963210701</v>
      </c>
      <c r="AP132" s="352" t="s">
        <v>217</v>
      </c>
      <c r="AQ132" s="306"/>
      <c r="AR132" s="353">
        <f t="shared" si="8"/>
        <v>1259.1357919732443</v>
      </c>
      <c r="AS132" s="239"/>
      <c r="AT132" s="239"/>
      <c r="AU132" s="243"/>
    </row>
    <row r="133" spans="1:47" x14ac:dyDescent="0.35">
      <c r="A133" s="332">
        <v>46111</v>
      </c>
      <c r="B133" s="371"/>
      <c r="C133" s="372">
        <f>'ODOMETERS Tekrit'!J129</f>
        <v>381</v>
      </c>
      <c r="D133" s="334">
        <v>1.3180000000000001</v>
      </c>
      <c r="E133" s="335">
        <f>'Daily Tekrit'!$C133*'Daily Tekrit'!$D133</f>
        <v>502.15800000000002</v>
      </c>
      <c r="F133" s="336">
        <f>'ODOMETERS Tekrit'!K129</f>
        <v>240</v>
      </c>
      <c r="G133" s="334">
        <v>1.3180000000000001</v>
      </c>
      <c r="H133" s="335">
        <f>'Daily Tekrit'!$F133*'Daily Tekrit'!$G133</f>
        <v>316.32</v>
      </c>
      <c r="I133" s="336">
        <f>'Daily Tekrit'!$C133+'Daily Tekrit'!$F133</f>
        <v>621</v>
      </c>
      <c r="J133" s="337">
        <f>'Daily Tekrit'!$E133+'Daily Tekrit'!$H133</f>
        <v>818.47800000000007</v>
      </c>
      <c r="K133" s="338">
        <f>'ODOMETERS Tekrit'!L129</f>
        <v>380</v>
      </c>
      <c r="L133" s="339">
        <v>1.2793000000000001</v>
      </c>
      <c r="M133" s="340">
        <f>'Daily Tekrit'!$K133*'Daily Tekrit'!$L133</f>
        <v>486.13400000000001</v>
      </c>
      <c r="N133" s="343"/>
      <c r="O133" s="343"/>
      <c r="P133" s="343"/>
      <c r="Q133" s="343"/>
      <c r="R133" s="343"/>
      <c r="S133" s="343">
        <v>70</v>
      </c>
      <c r="T133" s="343"/>
      <c r="U133" s="344">
        <f>'Daily Tekrit'!$J133+'Daily Tekrit'!$M133+SUM($N133:$T133)</f>
        <v>1374.6120000000001</v>
      </c>
      <c r="V133" s="306"/>
      <c r="W133" s="374"/>
      <c r="X133" s="354"/>
      <c r="Y133" s="354">
        <v>3</v>
      </c>
      <c r="Z133" s="346"/>
      <c r="AA133" s="347"/>
      <c r="AB133" s="347"/>
      <c r="AC133" s="347"/>
      <c r="AD133" s="348">
        <f t="shared" si="2"/>
        <v>0</v>
      </c>
      <c r="AE133" s="349"/>
      <c r="AF133" s="349"/>
      <c r="AG133" s="349"/>
      <c r="AH133" s="349">
        <v>8</v>
      </c>
      <c r="AI133" s="349"/>
      <c r="AJ133" s="349"/>
      <c r="AK133" s="349"/>
      <c r="AL133" s="349"/>
      <c r="AM133" s="350">
        <f t="shared" si="7"/>
        <v>8</v>
      </c>
      <c r="AN133" s="349"/>
      <c r="AO133" s="351">
        <f t="shared" si="9"/>
        <v>11</v>
      </c>
      <c r="AP133" s="352"/>
      <c r="AQ133" s="306"/>
      <c r="AR133" s="353">
        <f t="shared" si="8"/>
        <v>1363.6120000000001</v>
      </c>
      <c r="AS133" s="239"/>
      <c r="AT133" s="239"/>
      <c r="AU133" s="239"/>
    </row>
    <row r="134" spans="1:47" x14ac:dyDescent="0.35">
      <c r="A134" s="332">
        <v>46112</v>
      </c>
      <c r="B134" s="371" t="s">
        <v>24</v>
      </c>
      <c r="C134" s="372">
        <f>'ODOMETERS Tekrit'!J130</f>
        <v>279</v>
      </c>
      <c r="D134" s="334">
        <v>1.3180000000000001</v>
      </c>
      <c r="E134" s="335">
        <f>'Daily Tekrit'!$C134*'Daily Tekrit'!$D134</f>
        <v>367.72200000000004</v>
      </c>
      <c r="F134" s="336">
        <f>'ODOMETERS Tekrit'!K130</f>
        <v>123</v>
      </c>
      <c r="G134" s="334">
        <v>1.3180000000000001</v>
      </c>
      <c r="H134" s="335">
        <f>'Daily Tekrit'!$F134*'Daily Tekrit'!$G134</f>
        <v>162.114</v>
      </c>
      <c r="I134" s="336">
        <f>'Daily Tekrit'!$C134+'Daily Tekrit'!$F134</f>
        <v>402</v>
      </c>
      <c r="J134" s="337">
        <f>'Daily Tekrit'!$E134+'Daily Tekrit'!$H134</f>
        <v>529.83600000000001</v>
      </c>
      <c r="K134" s="338">
        <f>'ODOMETERS Tekrit'!L130</f>
        <v>385</v>
      </c>
      <c r="L134" s="339">
        <v>1.2793000000000001</v>
      </c>
      <c r="M134" s="340">
        <f>'Daily Tekrit'!$K134*'Daily Tekrit'!$L134</f>
        <v>492.53050000000002</v>
      </c>
      <c r="N134" s="343"/>
      <c r="O134" s="343"/>
      <c r="P134" s="343"/>
      <c r="Q134" s="343"/>
      <c r="R134" s="343"/>
      <c r="S134" s="343">
        <v>20</v>
      </c>
      <c r="T134" s="343"/>
      <c r="U134" s="344">
        <f>'Daily Tekrit'!$J134+'Daily Tekrit'!$M134+SUM($N134:$T134)</f>
        <v>1042.3665000000001</v>
      </c>
      <c r="V134" s="306"/>
      <c r="W134" s="374">
        <v>40</v>
      </c>
      <c r="X134" s="354"/>
      <c r="Y134" s="354"/>
      <c r="Z134" s="346"/>
      <c r="AA134" s="347"/>
      <c r="AB134" s="347"/>
      <c r="AC134" s="347"/>
      <c r="AD134" s="348">
        <f t="shared" si="2"/>
        <v>0</v>
      </c>
      <c r="AE134" s="349"/>
      <c r="AF134" s="349"/>
      <c r="AG134" s="349"/>
      <c r="AH134" s="349">
        <f>700/89.7</f>
        <v>7.8037904124860642</v>
      </c>
      <c r="AI134" s="349"/>
      <c r="AJ134" s="349"/>
      <c r="AK134" s="349"/>
      <c r="AL134" s="349"/>
      <c r="AM134" s="350">
        <f t="shared" si="7"/>
        <v>7.8037904124860642</v>
      </c>
      <c r="AN134" s="349"/>
      <c r="AO134" s="351">
        <f t="shared" si="9"/>
        <v>47.803790412486066</v>
      </c>
      <c r="AP134" s="352"/>
      <c r="AQ134" s="306"/>
      <c r="AR134" s="353">
        <f t="shared" si="8"/>
        <v>994.56270958751406</v>
      </c>
      <c r="AS134" s="239"/>
      <c r="AT134" s="239"/>
      <c r="AU134" s="239"/>
    </row>
    <row r="135" spans="1:47" x14ac:dyDescent="0.35">
      <c r="A135" s="332">
        <v>46112</v>
      </c>
      <c r="B135" s="371" t="s">
        <v>25</v>
      </c>
      <c r="C135" s="372">
        <f>'ODOMETERS Tekrit'!J131</f>
        <v>190</v>
      </c>
      <c r="D135" s="334">
        <v>1.327</v>
      </c>
      <c r="E135" s="335">
        <f>'Daily Tekrit'!$C135*'Daily Tekrit'!$D135</f>
        <v>252.13</v>
      </c>
      <c r="F135" s="336">
        <f>'ODOMETERS Tekrit'!K131</f>
        <v>72</v>
      </c>
      <c r="G135" s="334">
        <v>1.327</v>
      </c>
      <c r="H135" s="335">
        <f>'Daily Tekrit'!$F135*'Daily Tekrit'!$G135</f>
        <v>95.543999999999997</v>
      </c>
      <c r="I135" s="336">
        <f>'Daily Tekrit'!$C135+'Daily Tekrit'!$F135</f>
        <v>262</v>
      </c>
      <c r="J135" s="337">
        <f>'Daily Tekrit'!$E135+'Daily Tekrit'!$H135</f>
        <v>347.67399999999998</v>
      </c>
      <c r="K135" s="338">
        <f>'ODOMETERS Tekrit'!L131</f>
        <v>76</v>
      </c>
      <c r="L135" s="339">
        <v>1.3116000000000001</v>
      </c>
      <c r="M135" s="340">
        <f>'Daily Tekrit'!$K135*'Daily Tekrit'!$L135</f>
        <v>99.681600000000003</v>
      </c>
      <c r="N135" s="343"/>
      <c r="O135" s="343">
        <f>600/89.7</f>
        <v>6.6889632107023411</v>
      </c>
      <c r="P135" s="343"/>
      <c r="Q135" s="343"/>
      <c r="R135" s="343"/>
      <c r="S135" s="343">
        <v>37</v>
      </c>
      <c r="T135" s="343"/>
      <c r="U135" s="344">
        <f>'Daily Tekrit'!$J135+'Daily Tekrit'!$M135+SUM($N135:$T135)</f>
        <v>491.04456321070234</v>
      </c>
      <c r="V135" s="306"/>
      <c r="W135" s="374"/>
      <c r="X135" s="354"/>
      <c r="Y135" s="354"/>
      <c r="Z135" s="346"/>
      <c r="AA135" s="347"/>
      <c r="AB135" s="347"/>
      <c r="AC135" s="347"/>
      <c r="AD135" s="348">
        <f t="shared" si="2"/>
        <v>0</v>
      </c>
      <c r="AE135" s="349"/>
      <c r="AF135" s="349"/>
      <c r="AG135" s="349"/>
      <c r="AH135" s="349">
        <f>100/89.7</f>
        <v>1.1148272017837235</v>
      </c>
      <c r="AI135" s="349"/>
      <c r="AJ135" s="349"/>
      <c r="AK135" s="349"/>
      <c r="AL135" s="349"/>
      <c r="AM135" s="350">
        <f t="shared" si="7"/>
        <v>1.1148272017837235</v>
      </c>
      <c r="AN135" s="349"/>
      <c r="AO135" s="351">
        <f t="shared" si="9"/>
        <v>1.1148272017837235</v>
      </c>
      <c r="AP135" s="352"/>
      <c r="AQ135" s="306"/>
      <c r="AR135" s="353">
        <f t="shared" si="8"/>
        <v>489.92973600891861</v>
      </c>
      <c r="AS135" s="239"/>
      <c r="AT135" s="239"/>
      <c r="AU135" s="239"/>
    </row>
    <row r="136" spans="1:47" x14ac:dyDescent="0.35">
      <c r="A136" s="332">
        <v>46113</v>
      </c>
      <c r="B136" s="371"/>
      <c r="C136" s="372">
        <f>'ODOMETERS Tekrit'!J132</f>
        <v>266</v>
      </c>
      <c r="D136" s="334">
        <v>1.327</v>
      </c>
      <c r="E136" s="335">
        <f>'Daily Tekrit'!$C136*'Daily Tekrit'!$D136</f>
        <v>352.98199999999997</v>
      </c>
      <c r="F136" s="336">
        <f>'ODOMETERS Tekrit'!K132</f>
        <v>196</v>
      </c>
      <c r="G136" s="334">
        <v>1.327</v>
      </c>
      <c r="H136" s="335">
        <f>'Daily Tekrit'!$F136*'Daily Tekrit'!$G136</f>
        <v>260.09199999999998</v>
      </c>
      <c r="I136" s="336">
        <f>'Daily Tekrit'!$C136+'Daily Tekrit'!$F136</f>
        <v>462</v>
      </c>
      <c r="J136" s="337">
        <f>'Daily Tekrit'!$E136+'Daily Tekrit'!$H136</f>
        <v>613.07399999999996</v>
      </c>
      <c r="K136" s="338">
        <f>'ODOMETERS Tekrit'!L132</f>
        <v>255</v>
      </c>
      <c r="L136" s="339">
        <v>1.3116000000000001</v>
      </c>
      <c r="M136" s="340">
        <f>'Daily Tekrit'!$K136*'Daily Tekrit'!$L136</f>
        <v>334.45800000000003</v>
      </c>
      <c r="N136" s="343">
        <v>3</v>
      </c>
      <c r="O136" s="343"/>
      <c r="P136" s="343"/>
      <c r="Q136" s="343"/>
      <c r="R136" s="343"/>
      <c r="S136" s="343">
        <v>350</v>
      </c>
      <c r="T136" s="343"/>
      <c r="U136" s="344">
        <f>'Daily Tekrit'!$J136+'Daily Tekrit'!$M136+SUM($N136:$T136)</f>
        <v>1300.5319999999999</v>
      </c>
      <c r="V136" s="306"/>
      <c r="W136" s="374">
        <f>600/89.7+10+30</f>
        <v>46.68896321070234</v>
      </c>
      <c r="X136" s="354"/>
      <c r="Y136" s="354">
        <v>1</v>
      </c>
      <c r="Z136" s="346"/>
      <c r="AA136" s="347"/>
      <c r="AB136" s="347"/>
      <c r="AC136" s="347"/>
      <c r="AD136" s="348">
        <f t="shared" si="2"/>
        <v>0</v>
      </c>
      <c r="AE136" s="349"/>
      <c r="AF136" s="349"/>
      <c r="AG136" s="349"/>
      <c r="AH136" s="349">
        <v>8</v>
      </c>
      <c r="AI136" s="349"/>
      <c r="AJ136" s="349"/>
      <c r="AK136" s="349"/>
      <c r="AL136" s="349"/>
      <c r="AM136" s="350">
        <f t="shared" ref="AM136:AM199" si="10">SUM(AE136:AL136)</f>
        <v>8</v>
      </c>
      <c r="AN136" s="349"/>
      <c r="AO136" s="351">
        <f t="shared" si="9"/>
        <v>55.68896321070234</v>
      </c>
      <c r="AP136" s="352"/>
      <c r="AQ136" s="306"/>
      <c r="AR136" s="353">
        <f t="shared" si="8"/>
        <v>1244.8430367892977</v>
      </c>
      <c r="AS136" s="239"/>
      <c r="AT136" s="239"/>
      <c r="AU136" s="239"/>
    </row>
    <row r="137" spans="1:47" x14ac:dyDescent="0.35">
      <c r="A137" s="332">
        <v>46114</v>
      </c>
      <c r="B137" s="371" t="s">
        <v>24</v>
      </c>
      <c r="C137" s="372">
        <f>'ODOMETERS Tekrit'!J133</f>
        <v>278</v>
      </c>
      <c r="D137" s="334">
        <v>1.327</v>
      </c>
      <c r="E137" s="335">
        <f>'Daily Tekrit'!$C137*'Daily Tekrit'!$D137</f>
        <v>368.90600000000001</v>
      </c>
      <c r="F137" s="336">
        <f>'ODOMETERS Tekrit'!K133</f>
        <v>120</v>
      </c>
      <c r="G137" s="334">
        <v>1.327</v>
      </c>
      <c r="H137" s="335">
        <f>'Daily Tekrit'!$F137*'Daily Tekrit'!$G137</f>
        <v>159.24</v>
      </c>
      <c r="I137" s="336">
        <f>'Daily Tekrit'!$C137+'Daily Tekrit'!$F137</f>
        <v>398</v>
      </c>
      <c r="J137" s="337">
        <f>'Daily Tekrit'!$E137+'Daily Tekrit'!$H137</f>
        <v>528.14599999999996</v>
      </c>
      <c r="K137" s="338">
        <f>'ODOMETERS Tekrit'!L133</f>
        <v>126</v>
      </c>
      <c r="L137" s="339">
        <v>1.3116000000000001</v>
      </c>
      <c r="M137" s="340">
        <f>'Daily Tekrit'!$K137*'Daily Tekrit'!$L137</f>
        <v>165.26160000000002</v>
      </c>
      <c r="N137" s="343"/>
      <c r="O137" s="343"/>
      <c r="P137" s="343"/>
      <c r="Q137" s="343"/>
      <c r="R137" s="343"/>
      <c r="S137" s="343">
        <v>30</v>
      </c>
      <c r="T137" s="343"/>
      <c r="U137" s="344">
        <f>'Daily Tekrit'!$J137+'Daily Tekrit'!$M137+SUM($N137:$T137)</f>
        <v>723.4076</v>
      </c>
      <c r="V137" s="306"/>
      <c r="W137" s="374">
        <v>20</v>
      </c>
      <c r="X137" s="354"/>
      <c r="Y137" s="354">
        <v>-3</v>
      </c>
      <c r="Z137" s="346"/>
      <c r="AA137" s="347"/>
      <c r="AB137" s="347"/>
      <c r="AC137" s="347"/>
      <c r="AD137" s="348">
        <f t="shared" si="2"/>
        <v>0</v>
      </c>
      <c r="AE137" s="349"/>
      <c r="AF137" s="349"/>
      <c r="AG137" s="349"/>
      <c r="AH137" s="349">
        <v>8</v>
      </c>
      <c r="AI137" s="349"/>
      <c r="AJ137" s="349"/>
      <c r="AK137" s="349"/>
      <c r="AL137" s="349"/>
      <c r="AM137" s="350">
        <f t="shared" si="10"/>
        <v>8</v>
      </c>
      <c r="AN137" s="349"/>
      <c r="AO137" s="351">
        <f t="shared" si="9"/>
        <v>25</v>
      </c>
      <c r="AP137" s="352"/>
      <c r="AQ137" s="306"/>
      <c r="AR137" s="353">
        <f t="shared" si="8"/>
        <v>698.4076</v>
      </c>
      <c r="AS137" s="239"/>
      <c r="AT137" s="239"/>
      <c r="AU137" s="239"/>
    </row>
    <row r="138" spans="1:47" x14ac:dyDescent="0.35">
      <c r="A138" s="332">
        <v>46114</v>
      </c>
      <c r="B138" s="371" t="s">
        <v>25</v>
      </c>
      <c r="C138" s="372">
        <f>'ODOMETERS Tekrit'!J134</f>
        <v>168</v>
      </c>
      <c r="D138" s="334">
        <v>1.3360000000000001</v>
      </c>
      <c r="E138" s="335">
        <f>'Daily Tekrit'!$C138*'Daily Tekrit'!$D138</f>
        <v>224.44800000000001</v>
      </c>
      <c r="F138" s="336">
        <f>'ODOMETERS Tekrit'!K134</f>
        <v>88</v>
      </c>
      <c r="G138" s="334">
        <v>1.3360000000000001</v>
      </c>
      <c r="H138" s="335">
        <f>'Daily Tekrit'!$F138*'Daily Tekrit'!$G138</f>
        <v>117.56800000000001</v>
      </c>
      <c r="I138" s="336">
        <f>'Daily Tekrit'!$C138+'Daily Tekrit'!$F138</f>
        <v>256</v>
      </c>
      <c r="J138" s="337">
        <f>'Daily Tekrit'!$E138+'Daily Tekrit'!$H138</f>
        <v>342.01600000000002</v>
      </c>
      <c r="K138" s="338">
        <f>'ODOMETERS Tekrit'!L134</f>
        <v>68</v>
      </c>
      <c r="L138" s="339">
        <v>1.3462000000000001</v>
      </c>
      <c r="M138" s="340">
        <f>'Daily Tekrit'!$K138*'Daily Tekrit'!$L138</f>
        <v>91.541600000000003</v>
      </c>
      <c r="N138" s="343"/>
      <c r="O138" s="343"/>
      <c r="P138" s="343"/>
      <c r="Q138" s="343"/>
      <c r="R138" s="343"/>
      <c r="S138" s="343">
        <v>20</v>
      </c>
      <c r="T138" s="343"/>
      <c r="U138" s="344">
        <f>'Daily Tekrit'!$J138+'Daily Tekrit'!$M138+SUM($N138:$T138)</f>
        <v>453.55760000000004</v>
      </c>
      <c r="V138" s="306"/>
      <c r="W138" s="374">
        <v>50</v>
      </c>
      <c r="X138" s="354"/>
      <c r="Y138" s="354"/>
      <c r="Z138" s="346"/>
      <c r="AA138" s="347"/>
      <c r="AB138" s="347"/>
      <c r="AC138" s="347"/>
      <c r="AD138" s="348">
        <f t="shared" si="2"/>
        <v>0</v>
      </c>
      <c r="AE138" s="349"/>
      <c r="AF138" s="349">
        <v>315</v>
      </c>
      <c r="AG138" s="349"/>
      <c r="AH138" s="349"/>
      <c r="AI138" s="349"/>
      <c r="AJ138" s="349"/>
      <c r="AK138" s="349"/>
      <c r="AL138" s="349"/>
      <c r="AM138" s="350">
        <f t="shared" si="10"/>
        <v>315</v>
      </c>
      <c r="AN138" s="349"/>
      <c r="AO138" s="351">
        <f t="shared" si="9"/>
        <v>365</v>
      </c>
      <c r="AP138" s="352"/>
      <c r="AQ138" s="306"/>
      <c r="AR138" s="353">
        <f t="shared" si="8"/>
        <v>88.557600000000036</v>
      </c>
      <c r="AS138" s="239"/>
      <c r="AT138" s="239"/>
      <c r="AU138" s="239"/>
    </row>
    <row r="139" spans="1:47" x14ac:dyDescent="0.35">
      <c r="A139" s="332">
        <v>46115</v>
      </c>
      <c r="B139" s="371"/>
      <c r="C139" s="372">
        <f>'ODOMETERS Tekrit'!J135</f>
        <v>413</v>
      </c>
      <c r="D139" s="334">
        <v>1.3360000000000001</v>
      </c>
      <c r="E139" s="335">
        <f>'Daily Tekrit'!$C139*'Daily Tekrit'!$D139</f>
        <v>551.76800000000003</v>
      </c>
      <c r="F139" s="336">
        <f>'ODOMETERS Tekrit'!K135</f>
        <v>193</v>
      </c>
      <c r="G139" s="334">
        <v>1.3360000000000001</v>
      </c>
      <c r="H139" s="335">
        <f>'Daily Tekrit'!$F139*'Daily Tekrit'!$G139</f>
        <v>257.84800000000001</v>
      </c>
      <c r="I139" s="336">
        <f>'Daily Tekrit'!$C139+'Daily Tekrit'!$F139</f>
        <v>606</v>
      </c>
      <c r="J139" s="337">
        <f>'Daily Tekrit'!$E139+'Daily Tekrit'!$H139</f>
        <v>809.61599999999999</v>
      </c>
      <c r="K139" s="338">
        <f>'ODOMETERS Tekrit'!L135</f>
        <v>183</v>
      </c>
      <c r="L139" s="339">
        <v>1.3462000000000001</v>
      </c>
      <c r="M139" s="340">
        <f>'Daily Tekrit'!$K139*'Daily Tekrit'!$L139</f>
        <v>246.3546</v>
      </c>
      <c r="N139" s="343">
        <f>600/89.7</f>
        <v>6.6889632107023411</v>
      </c>
      <c r="O139" s="343"/>
      <c r="P139" s="343"/>
      <c r="Q139" s="343"/>
      <c r="R139" s="343"/>
      <c r="S139" s="343"/>
      <c r="T139" s="343">
        <f>100/89.7</f>
        <v>1.1148272017837235</v>
      </c>
      <c r="U139" s="344">
        <f>'Daily Tekrit'!$J139+'Daily Tekrit'!$M139+SUM($N139:$T139)</f>
        <v>1063.7743904124861</v>
      </c>
      <c r="V139" s="306"/>
      <c r="W139" s="374"/>
      <c r="X139" s="354">
        <f>10*1.336</f>
        <v>13.360000000000001</v>
      </c>
      <c r="Y139" s="354">
        <v>2</v>
      </c>
      <c r="Z139" s="346"/>
      <c r="AA139" s="347"/>
      <c r="AB139" s="347"/>
      <c r="AC139" s="347"/>
      <c r="AD139" s="348">
        <f t="shared" si="2"/>
        <v>0</v>
      </c>
      <c r="AE139" s="349"/>
      <c r="AF139" s="349"/>
      <c r="AG139" s="349"/>
      <c r="AH139" s="349">
        <f>700/89.7</f>
        <v>7.8037904124860642</v>
      </c>
      <c r="AI139" s="349"/>
      <c r="AJ139" s="349"/>
      <c r="AK139" s="349"/>
      <c r="AL139" s="349"/>
      <c r="AM139" s="350">
        <f t="shared" si="10"/>
        <v>7.8037904124860642</v>
      </c>
      <c r="AN139" s="349"/>
      <c r="AO139" s="351">
        <f t="shared" si="9"/>
        <v>23.163790412486065</v>
      </c>
      <c r="AP139" s="352"/>
      <c r="AQ139" s="306"/>
      <c r="AR139" s="353">
        <f t="shared" si="8"/>
        <v>1040.6106</v>
      </c>
      <c r="AS139" s="239"/>
      <c r="AT139" s="239"/>
      <c r="AU139" s="239"/>
    </row>
    <row r="140" spans="1:47" x14ac:dyDescent="0.35">
      <c r="A140" s="332">
        <v>46116</v>
      </c>
      <c r="B140" s="371"/>
      <c r="C140" s="372">
        <f>'ODOMETERS Tekrit'!J136</f>
        <v>524</v>
      </c>
      <c r="D140" s="334">
        <v>1.3360000000000001</v>
      </c>
      <c r="E140" s="335">
        <f>'Daily Tekrit'!$C140*'Daily Tekrit'!$D140</f>
        <v>700.06400000000008</v>
      </c>
      <c r="F140" s="336">
        <f>'ODOMETERS Tekrit'!K136</f>
        <v>324</v>
      </c>
      <c r="G140" s="334">
        <v>1.3360000000000001</v>
      </c>
      <c r="H140" s="335">
        <f>'Daily Tekrit'!$F140*'Daily Tekrit'!$G140</f>
        <v>432.86400000000003</v>
      </c>
      <c r="I140" s="336">
        <f>'Daily Tekrit'!$C140+'Daily Tekrit'!$F140</f>
        <v>848</v>
      </c>
      <c r="J140" s="337">
        <f>'Daily Tekrit'!$E140+'Daily Tekrit'!$H140</f>
        <v>1132.9280000000001</v>
      </c>
      <c r="K140" s="338">
        <f>'ODOMETERS Tekrit'!L136</f>
        <v>198</v>
      </c>
      <c r="L140" s="339">
        <v>1.3462000000000001</v>
      </c>
      <c r="M140" s="340">
        <f>'Daily Tekrit'!$K140*'Daily Tekrit'!$L140</f>
        <v>266.54759999999999</v>
      </c>
      <c r="N140" s="343"/>
      <c r="O140" s="343"/>
      <c r="P140" s="343"/>
      <c r="Q140" s="343"/>
      <c r="R140" s="343"/>
      <c r="S140" s="343">
        <v>35</v>
      </c>
      <c r="T140" s="343"/>
      <c r="U140" s="344">
        <f>'Daily Tekrit'!$J140+'Daily Tekrit'!$M140+SUM($N140:$T140)</f>
        <v>1434.4756000000002</v>
      </c>
      <c r="V140" s="306"/>
      <c r="W140" s="374">
        <v>30</v>
      </c>
      <c r="X140" s="354"/>
      <c r="Y140" s="354">
        <v>27</v>
      </c>
      <c r="Z140" s="346"/>
      <c r="AA140" s="347"/>
      <c r="AB140" s="347"/>
      <c r="AC140" s="347"/>
      <c r="AD140" s="348">
        <f t="shared" si="2"/>
        <v>0</v>
      </c>
      <c r="AE140" s="349"/>
      <c r="AF140" s="349"/>
      <c r="AG140" s="349"/>
      <c r="AH140" s="349">
        <f>700/89.7</f>
        <v>7.8037904124860642</v>
      </c>
      <c r="AI140" s="349"/>
      <c r="AJ140" s="349"/>
      <c r="AK140" s="349"/>
      <c r="AL140" s="349"/>
      <c r="AM140" s="350">
        <f t="shared" si="10"/>
        <v>7.8037904124860642</v>
      </c>
      <c r="AN140" s="349"/>
      <c r="AO140" s="351">
        <f t="shared" si="9"/>
        <v>64.803790412486066</v>
      </c>
      <c r="AP140" s="352"/>
      <c r="AQ140" s="306"/>
      <c r="AR140" s="353">
        <f t="shared" si="8"/>
        <v>1369.6718095875142</v>
      </c>
      <c r="AS140" s="239"/>
      <c r="AT140" s="239"/>
      <c r="AU140" s="243"/>
    </row>
    <row r="141" spans="1:47" x14ac:dyDescent="0.35">
      <c r="A141" s="332">
        <v>46117</v>
      </c>
      <c r="B141" s="371"/>
      <c r="C141" s="372">
        <f>'ODOMETERS Tekrit'!J137</f>
        <v>402</v>
      </c>
      <c r="D141" s="334">
        <v>1.3360000000000001</v>
      </c>
      <c r="E141" s="335">
        <f>'Daily Tekrit'!$C141*'Daily Tekrit'!$D141</f>
        <v>537.072</v>
      </c>
      <c r="F141" s="336">
        <f>'ODOMETERS Tekrit'!K137</f>
        <v>260</v>
      </c>
      <c r="G141" s="334">
        <v>1.3360000000000001</v>
      </c>
      <c r="H141" s="335">
        <f>'Daily Tekrit'!$F141*'Daily Tekrit'!$G141</f>
        <v>347.36</v>
      </c>
      <c r="I141" s="336">
        <f>'Daily Tekrit'!$C141+'Daily Tekrit'!$F141</f>
        <v>662</v>
      </c>
      <c r="J141" s="337">
        <f>'Daily Tekrit'!$E141+'Daily Tekrit'!$H141</f>
        <v>884.43200000000002</v>
      </c>
      <c r="K141" s="338">
        <f>'ODOMETERS Tekrit'!L137</f>
        <v>526</v>
      </c>
      <c r="L141" s="339">
        <v>1.3462000000000001</v>
      </c>
      <c r="M141" s="340">
        <f>'Daily Tekrit'!$K141*'Daily Tekrit'!$L141</f>
        <v>708.10120000000006</v>
      </c>
      <c r="N141" s="343"/>
      <c r="O141" s="343">
        <f>300/89.7</f>
        <v>3.3444816053511706</v>
      </c>
      <c r="P141" s="343"/>
      <c r="Q141" s="343"/>
      <c r="R141" s="343"/>
      <c r="S141" s="343">
        <v>100</v>
      </c>
      <c r="T141" s="343">
        <f>150/89.7</f>
        <v>1.6722408026755853</v>
      </c>
      <c r="U141" s="344">
        <f>'Daily Tekrit'!$J141+'Daily Tekrit'!$M141+SUM($N141:$T141)</f>
        <v>1697.5499224080268</v>
      </c>
      <c r="V141" s="306"/>
      <c r="W141" s="374">
        <f>400*1.3462+12</f>
        <v>550.48</v>
      </c>
      <c r="X141" s="354">
        <f>20*1.336</f>
        <v>26.720000000000002</v>
      </c>
      <c r="Y141" s="354">
        <v>2</v>
      </c>
      <c r="Z141" s="346"/>
      <c r="AA141" s="347"/>
      <c r="AB141" s="347"/>
      <c r="AC141" s="347"/>
      <c r="AD141" s="348">
        <f t="shared" si="2"/>
        <v>0</v>
      </c>
      <c r="AE141" s="349"/>
      <c r="AF141" s="349"/>
      <c r="AG141" s="349"/>
      <c r="AH141" s="349">
        <f>700/89.7+4</f>
        <v>11.803790412486064</v>
      </c>
      <c r="AI141" s="349"/>
      <c r="AJ141" s="349"/>
      <c r="AK141" s="349"/>
      <c r="AL141" s="349"/>
      <c r="AM141" s="350">
        <f t="shared" si="10"/>
        <v>11.803790412486064</v>
      </c>
      <c r="AN141" s="349"/>
      <c r="AO141" s="351">
        <f t="shared" si="9"/>
        <v>591.00379041248607</v>
      </c>
      <c r="AP141" s="352"/>
      <c r="AQ141" s="306"/>
      <c r="AR141" s="353">
        <f t="shared" si="8"/>
        <v>1106.5461319955407</v>
      </c>
      <c r="AS141" s="239"/>
      <c r="AT141" s="239"/>
      <c r="AU141" s="239"/>
    </row>
    <row r="142" spans="1:47" x14ac:dyDescent="0.35">
      <c r="A142" s="332">
        <v>46118</v>
      </c>
      <c r="B142" s="371"/>
      <c r="C142" s="372">
        <f>'ODOMETERS Tekrit'!J138</f>
        <v>348</v>
      </c>
      <c r="D142" s="334">
        <v>1.3360000000000001</v>
      </c>
      <c r="E142" s="335">
        <f>'Daily Tekrit'!$C142*'Daily Tekrit'!$D142</f>
        <v>464.92800000000005</v>
      </c>
      <c r="F142" s="336">
        <f>'ODOMETERS Tekrit'!K138</f>
        <v>316</v>
      </c>
      <c r="G142" s="334">
        <v>1.3360000000000001</v>
      </c>
      <c r="H142" s="335">
        <f>'Daily Tekrit'!$F142*'Daily Tekrit'!$G142</f>
        <v>422.17600000000004</v>
      </c>
      <c r="I142" s="336">
        <f>'Daily Tekrit'!$C142+'Daily Tekrit'!$F142</f>
        <v>664</v>
      </c>
      <c r="J142" s="337">
        <f>'Daily Tekrit'!$E142+'Daily Tekrit'!$H142</f>
        <v>887.10400000000004</v>
      </c>
      <c r="K142" s="338">
        <f>'ODOMETERS Tekrit'!L138</f>
        <v>175</v>
      </c>
      <c r="L142" s="339">
        <v>1.3462000000000001</v>
      </c>
      <c r="M142" s="340">
        <f>'Daily Tekrit'!$K142*'Daily Tekrit'!$L142</f>
        <v>235.58500000000001</v>
      </c>
      <c r="N142" s="343">
        <f>300/89.7</f>
        <v>3.3444816053511706</v>
      </c>
      <c r="O142" s="343"/>
      <c r="P142" s="343"/>
      <c r="Q142" s="343"/>
      <c r="R142" s="343"/>
      <c r="S142" s="343"/>
      <c r="T142" s="343"/>
      <c r="U142" s="344">
        <f>'Daily Tekrit'!$J142+'Daily Tekrit'!$M142+SUM($N142:$T142)</f>
        <v>1126.0334816053512</v>
      </c>
      <c r="V142" s="306"/>
      <c r="W142" s="374"/>
      <c r="X142" s="354"/>
      <c r="Y142" s="354">
        <v>1</v>
      </c>
      <c r="Z142" s="346"/>
      <c r="AA142" s="347"/>
      <c r="AB142" s="347"/>
      <c r="AC142" s="347"/>
      <c r="AD142" s="348">
        <f t="shared" si="2"/>
        <v>0</v>
      </c>
      <c r="AE142" s="349"/>
      <c r="AF142" s="349"/>
      <c r="AG142" s="349"/>
      <c r="AH142" s="349">
        <f>700/89.7</f>
        <v>7.8037904124860642</v>
      </c>
      <c r="AI142" s="349"/>
      <c r="AJ142" s="349"/>
      <c r="AK142" s="349"/>
      <c r="AL142" s="349"/>
      <c r="AM142" s="350">
        <f t="shared" si="10"/>
        <v>7.8037904124860642</v>
      </c>
      <c r="AN142" s="349"/>
      <c r="AO142" s="351">
        <f t="shared" si="9"/>
        <v>8.8037904124860642</v>
      </c>
      <c r="AP142" s="352"/>
      <c r="AQ142" s="306"/>
      <c r="AR142" s="353">
        <f t="shared" ref="AR142:AR205" si="11">U142-AO142</f>
        <v>1117.2296911928652</v>
      </c>
      <c r="AS142" s="239"/>
      <c r="AT142" s="239"/>
      <c r="AU142" s="239"/>
    </row>
    <row r="143" spans="1:47" x14ac:dyDescent="0.35">
      <c r="A143" s="332">
        <v>46119</v>
      </c>
      <c r="B143" s="371"/>
      <c r="C143" s="372">
        <f>'ODOMETERS Tekrit'!J139</f>
        <v>337</v>
      </c>
      <c r="D143" s="334">
        <v>1.3360000000000001</v>
      </c>
      <c r="E143" s="335">
        <f>'Daily Tekrit'!$C143*'Daily Tekrit'!$D143</f>
        <v>450.23200000000003</v>
      </c>
      <c r="F143" s="336">
        <f>'ODOMETERS Tekrit'!K139</f>
        <v>258</v>
      </c>
      <c r="G143" s="334">
        <v>1.3360000000000001</v>
      </c>
      <c r="H143" s="335">
        <f>'Daily Tekrit'!$F143*'Daily Tekrit'!$G143</f>
        <v>344.68800000000005</v>
      </c>
      <c r="I143" s="336">
        <f>'Daily Tekrit'!$C143+'Daily Tekrit'!$F143</f>
        <v>595</v>
      </c>
      <c r="J143" s="337">
        <f>'Daily Tekrit'!$E143+'Daily Tekrit'!$H143</f>
        <v>794.92000000000007</v>
      </c>
      <c r="K143" s="338">
        <f>'ODOMETERS Tekrit'!L139</f>
        <v>186</v>
      </c>
      <c r="L143" s="339">
        <v>1.3462000000000001</v>
      </c>
      <c r="M143" s="340">
        <f>'Daily Tekrit'!$K143*'Daily Tekrit'!$L143</f>
        <v>250.39320000000001</v>
      </c>
      <c r="N143" s="343"/>
      <c r="O143" s="343"/>
      <c r="P143" s="343"/>
      <c r="Q143" s="343"/>
      <c r="R143" s="343"/>
      <c r="S143" s="343"/>
      <c r="T143" s="343"/>
      <c r="U143" s="344">
        <f>'Daily Tekrit'!$J143+'Daily Tekrit'!$M143+SUM($N143:$T143)</f>
        <v>1045.3132000000001</v>
      </c>
      <c r="V143" s="306"/>
      <c r="W143" s="374">
        <f>11+500/89.7</f>
        <v>16.574136008918618</v>
      </c>
      <c r="X143" s="354"/>
      <c r="Y143" s="354">
        <v>-2</v>
      </c>
      <c r="Z143" s="346"/>
      <c r="AA143" s="347"/>
      <c r="AB143" s="347"/>
      <c r="AC143" s="347"/>
      <c r="AD143" s="348">
        <f t="shared" si="2"/>
        <v>0</v>
      </c>
      <c r="AE143" s="349"/>
      <c r="AF143" s="349"/>
      <c r="AG143" s="349"/>
      <c r="AH143" s="349">
        <f>700/89.7</f>
        <v>7.8037904124860642</v>
      </c>
      <c r="AI143" s="349"/>
      <c r="AJ143" s="349"/>
      <c r="AK143" s="349"/>
      <c r="AL143" s="349"/>
      <c r="AM143" s="350">
        <f t="shared" si="10"/>
        <v>7.8037904124860642</v>
      </c>
      <c r="AN143" s="349"/>
      <c r="AO143" s="351">
        <f t="shared" si="9"/>
        <v>22.37792642140468</v>
      </c>
      <c r="AP143" s="352"/>
      <c r="AQ143" s="306"/>
      <c r="AR143" s="353">
        <f t="shared" si="11"/>
        <v>1022.9352735785953</v>
      </c>
      <c r="AS143" s="239"/>
      <c r="AT143" s="239"/>
      <c r="AU143" s="239"/>
    </row>
    <row r="144" spans="1:47" x14ac:dyDescent="0.35">
      <c r="A144" s="332">
        <v>46120</v>
      </c>
      <c r="B144" s="371"/>
      <c r="C144" s="372">
        <f>'ODOMETERS Tekrit'!J140</f>
        <v>474</v>
      </c>
      <c r="D144" s="334">
        <v>1.3244</v>
      </c>
      <c r="E144" s="335">
        <f>'Daily Tekrit'!$C144*'Daily Tekrit'!$D144</f>
        <v>627.76560000000006</v>
      </c>
      <c r="F144" s="336">
        <f>'ODOMETERS Tekrit'!K140</f>
        <v>297</v>
      </c>
      <c r="G144" s="334">
        <v>1.3244</v>
      </c>
      <c r="H144" s="335">
        <f>'Daily Tekrit'!$F144*'Daily Tekrit'!$G144</f>
        <v>393.34680000000003</v>
      </c>
      <c r="I144" s="336">
        <f>'Daily Tekrit'!$C144+'Daily Tekrit'!$F144</f>
        <v>771</v>
      </c>
      <c r="J144" s="337">
        <f>'Daily Tekrit'!$E144+'Daily Tekrit'!$H144</f>
        <v>1021.1124000000001</v>
      </c>
      <c r="K144" s="338">
        <f>'ODOMETERS Tekrit'!L140</f>
        <v>254</v>
      </c>
      <c r="L144" s="339">
        <v>1.3612</v>
      </c>
      <c r="M144" s="340">
        <f>'Daily Tekrit'!$K144*'Daily Tekrit'!$L144</f>
        <v>345.7448</v>
      </c>
      <c r="N144" s="343"/>
      <c r="O144" s="343"/>
      <c r="P144" s="343"/>
      <c r="Q144" s="343"/>
      <c r="R144" s="343"/>
      <c r="S144" s="343"/>
      <c r="T144" s="343"/>
      <c r="U144" s="344">
        <f>'Daily Tekrit'!$J144+'Daily Tekrit'!$M144+SUM($N144:$T144)</f>
        <v>1366.8572000000001</v>
      </c>
      <c r="V144" s="306"/>
      <c r="W144" s="374">
        <f>1000/89.7+5</f>
        <v>16.148272017837236</v>
      </c>
      <c r="X144" s="354">
        <f>18*1.3612</f>
        <v>24.5016</v>
      </c>
      <c r="Y144" s="354">
        <v>4</v>
      </c>
      <c r="Z144" s="346"/>
      <c r="AA144" s="347"/>
      <c r="AB144" s="347"/>
      <c r="AC144" s="347"/>
      <c r="AD144" s="348">
        <f t="shared" si="2"/>
        <v>0</v>
      </c>
      <c r="AE144" s="349"/>
      <c r="AF144" s="349"/>
      <c r="AG144" s="349">
        <f>860/89.7+8</f>
        <v>17.58751393534002</v>
      </c>
      <c r="AH144" s="349"/>
      <c r="AI144" s="349"/>
      <c r="AJ144" s="349"/>
      <c r="AK144" s="349"/>
      <c r="AL144" s="349"/>
      <c r="AM144" s="350">
        <f t="shared" si="10"/>
        <v>17.58751393534002</v>
      </c>
      <c r="AN144" s="349"/>
      <c r="AO144" s="351">
        <f t="shared" si="9"/>
        <v>62.23738595317726</v>
      </c>
      <c r="AP144" s="352"/>
      <c r="AQ144" s="306"/>
      <c r="AR144" s="353">
        <f t="shared" si="11"/>
        <v>1304.619814046823</v>
      </c>
      <c r="AS144" s="239"/>
      <c r="AT144" s="239"/>
      <c r="AU144" s="239"/>
    </row>
    <row r="145" spans="1:47" x14ac:dyDescent="0.35">
      <c r="A145" s="332">
        <v>46121</v>
      </c>
      <c r="B145" s="371"/>
      <c r="C145" s="372">
        <f>'ODOMETERS Tekrit'!J141</f>
        <v>165</v>
      </c>
      <c r="D145" s="334">
        <v>1.3244</v>
      </c>
      <c r="E145" s="335">
        <f>'Daily Tekrit'!$C145*'Daily Tekrit'!$D145</f>
        <v>218.52600000000001</v>
      </c>
      <c r="F145" s="336">
        <f>'ODOMETERS Tekrit'!K141</f>
        <v>290</v>
      </c>
      <c r="G145" s="334">
        <v>1.3244</v>
      </c>
      <c r="H145" s="335">
        <f>'Daily Tekrit'!$F145*'Daily Tekrit'!$G145</f>
        <v>384.07600000000002</v>
      </c>
      <c r="I145" s="336">
        <f>'Daily Tekrit'!$C145+'Daily Tekrit'!$F145</f>
        <v>455</v>
      </c>
      <c r="J145" s="337">
        <f>'Daily Tekrit'!$E145+'Daily Tekrit'!$H145</f>
        <v>602.60200000000009</v>
      </c>
      <c r="K145" s="338">
        <f>'ODOMETERS Tekrit'!L141</f>
        <v>172</v>
      </c>
      <c r="L145" s="339">
        <v>1.3612</v>
      </c>
      <c r="M145" s="340">
        <f>'Daily Tekrit'!$K145*'Daily Tekrit'!$L145</f>
        <v>234.12639999999999</v>
      </c>
      <c r="N145" s="343"/>
      <c r="O145" s="343"/>
      <c r="P145" s="343"/>
      <c r="Q145" s="343"/>
      <c r="R145" s="343"/>
      <c r="S145" s="343">
        <v>20</v>
      </c>
      <c r="T145" s="343"/>
      <c r="U145" s="344">
        <f>'Daily Tekrit'!$J145+'Daily Tekrit'!$M145+SUM($N145:$T145)</f>
        <v>856.72840000000008</v>
      </c>
      <c r="V145" s="306"/>
      <c r="W145" s="374"/>
      <c r="X145" s="354">
        <v>24</v>
      </c>
      <c r="Y145" s="354">
        <v>-1</v>
      </c>
      <c r="Z145" s="346"/>
      <c r="AA145" s="347"/>
      <c r="AB145" s="347"/>
      <c r="AC145" s="347"/>
      <c r="AD145" s="348">
        <f t="shared" si="2"/>
        <v>0</v>
      </c>
      <c r="AE145" s="349"/>
      <c r="AF145" s="349"/>
      <c r="AG145" s="349"/>
      <c r="AH145" s="349">
        <f>11+8</f>
        <v>19</v>
      </c>
      <c r="AI145" s="349"/>
      <c r="AJ145" s="349"/>
      <c r="AK145" s="349"/>
      <c r="AL145" s="349"/>
      <c r="AM145" s="350">
        <f t="shared" si="10"/>
        <v>19</v>
      </c>
      <c r="AN145" s="349"/>
      <c r="AO145" s="351">
        <f t="shared" si="9"/>
        <v>42</v>
      </c>
      <c r="AP145" s="352"/>
      <c r="AQ145" s="306"/>
      <c r="AR145" s="353">
        <f t="shared" si="11"/>
        <v>814.72840000000008</v>
      </c>
      <c r="AS145" s="239"/>
      <c r="AT145" s="239"/>
      <c r="AU145" s="239"/>
    </row>
    <row r="146" spans="1:47" x14ac:dyDescent="0.35">
      <c r="A146" s="332">
        <v>46122</v>
      </c>
      <c r="B146" s="371"/>
      <c r="C146" s="372">
        <f>'ODOMETERS Tekrit'!J142</f>
        <v>211</v>
      </c>
      <c r="D146" s="334">
        <v>1.3244</v>
      </c>
      <c r="E146" s="335">
        <f>'Daily Tekrit'!$C146*'Daily Tekrit'!$D146</f>
        <v>279.44839999999999</v>
      </c>
      <c r="F146" s="336">
        <f>'ODOMETERS Tekrit'!K142</f>
        <v>255</v>
      </c>
      <c r="G146" s="334">
        <v>1.3244</v>
      </c>
      <c r="H146" s="335">
        <f>'Daily Tekrit'!$F146*'Daily Tekrit'!$G146</f>
        <v>337.72199999999998</v>
      </c>
      <c r="I146" s="336">
        <f>'Daily Tekrit'!$C146+'Daily Tekrit'!$F146</f>
        <v>466</v>
      </c>
      <c r="J146" s="337">
        <f>'Daily Tekrit'!$E146+'Daily Tekrit'!$H146</f>
        <v>617.17039999999997</v>
      </c>
      <c r="K146" s="338">
        <f>'ODOMETERS Tekrit'!L142</f>
        <v>4129</v>
      </c>
      <c r="L146" s="339">
        <v>1.3612</v>
      </c>
      <c r="M146" s="340">
        <f>'Daily Tekrit'!$K146*'Daily Tekrit'!$L146</f>
        <v>5620.3948</v>
      </c>
      <c r="N146" s="343">
        <v>6</v>
      </c>
      <c r="O146" s="343">
        <f>400/89.7</f>
        <v>4.4593088071348941</v>
      </c>
      <c r="P146" s="343"/>
      <c r="Q146" s="343"/>
      <c r="R146" s="343"/>
      <c r="S146" s="343"/>
      <c r="T146" s="343"/>
      <c r="U146" s="344">
        <f>'Daily Tekrit'!$J146+'Daily Tekrit'!$M146+SUM($N146:$T146)</f>
        <v>6248.0245088071351</v>
      </c>
      <c r="V146" s="306"/>
      <c r="W146" s="374">
        <f>4000*1.3612</f>
        <v>5444.8</v>
      </c>
      <c r="X146" s="354"/>
      <c r="Y146" s="354">
        <v>6</v>
      </c>
      <c r="Z146" s="346"/>
      <c r="AA146" s="347"/>
      <c r="AB146" s="347"/>
      <c r="AC146" s="347"/>
      <c r="AD146" s="348">
        <f t="shared" si="2"/>
        <v>0</v>
      </c>
      <c r="AE146" s="349"/>
      <c r="AF146" s="349"/>
      <c r="AG146" s="349">
        <f>18*1.3244</f>
        <v>23.839200000000002</v>
      </c>
      <c r="AH146" s="349">
        <f>700/89.7</f>
        <v>7.8037904124860642</v>
      </c>
      <c r="AI146" s="349"/>
      <c r="AJ146" s="349"/>
      <c r="AK146" s="349"/>
      <c r="AL146" s="349"/>
      <c r="AM146" s="350">
        <f t="shared" si="10"/>
        <v>31.642990412486064</v>
      </c>
      <c r="AN146" s="349"/>
      <c r="AO146" s="351">
        <f t="shared" si="9"/>
        <v>5482.4429904124863</v>
      </c>
      <c r="AP146" s="352"/>
      <c r="AQ146" s="306"/>
      <c r="AR146" s="353">
        <f t="shared" si="11"/>
        <v>765.58151839464881</v>
      </c>
      <c r="AS146" s="239"/>
      <c r="AT146" s="239"/>
      <c r="AU146" s="239"/>
    </row>
    <row r="147" spans="1:47" x14ac:dyDescent="0.35">
      <c r="A147" s="332">
        <v>46123</v>
      </c>
      <c r="B147" s="371"/>
      <c r="C147" s="372">
        <f>'ODOMETERS Tekrit'!J143</f>
        <v>257</v>
      </c>
      <c r="D147" s="334">
        <v>1.3244</v>
      </c>
      <c r="E147" s="335">
        <f>'Daily Tekrit'!$C147*'Daily Tekrit'!$D147</f>
        <v>340.37080000000003</v>
      </c>
      <c r="F147" s="336">
        <f>'ODOMETERS Tekrit'!K143</f>
        <v>187</v>
      </c>
      <c r="G147" s="334">
        <v>1.3244</v>
      </c>
      <c r="H147" s="335">
        <f>'Daily Tekrit'!$F147*'Daily Tekrit'!$G147</f>
        <v>247.6628</v>
      </c>
      <c r="I147" s="336">
        <f>'Daily Tekrit'!$C147+'Daily Tekrit'!$F147</f>
        <v>444</v>
      </c>
      <c r="J147" s="337">
        <f>'Daily Tekrit'!$E147+'Daily Tekrit'!$H147</f>
        <v>588.03359999999998</v>
      </c>
      <c r="K147" s="338">
        <f>'ODOMETERS Tekrit'!L143</f>
        <v>156</v>
      </c>
      <c r="L147" s="339">
        <v>1.3612</v>
      </c>
      <c r="M147" s="340">
        <f>'Daily Tekrit'!$K147*'Daily Tekrit'!$L147</f>
        <v>212.34719999999999</v>
      </c>
      <c r="N147" s="343">
        <v>9</v>
      </c>
      <c r="O147" s="343"/>
      <c r="P147" s="343"/>
      <c r="Q147" s="343"/>
      <c r="R147" s="343"/>
      <c r="S147" s="343"/>
      <c r="T147" s="343"/>
      <c r="U147" s="344">
        <f>'Daily Tekrit'!$J147+'Daily Tekrit'!$M147+SUM($N147:$T147)</f>
        <v>809.38079999999991</v>
      </c>
      <c r="V147" s="306"/>
      <c r="W147" s="374">
        <v>20</v>
      </c>
      <c r="X147" s="354"/>
      <c r="Y147" s="354">
        <v>1</v>
      </c>
      <c r="Z147" s="346"/>
      <c r="AA147" s="347"/>
      <c r="AB147" s="347"/>
      <c r="AC147" s="347"/>
      <c r="AD147" s="348">
        <f t="shared" si="2"/>
        <v>0</v>
      </c>
      <c r="AE147" s="349"/>
      <c r="AF147" s="349"/>
      <c r="AG147" s="349"/>
      <c r="AH147" s="349">
        <v>8</v>
      </c>
      <c r="AI147" s="349"/>
      <c r="AJ147" s="349"/>
      <c r="AK147" s="349"/>
      <c r="AL147" s="349"/>
      <c r="AM147" s="350">
        <f t="shared" si="10"/>
        <v>8</v>
      </c>
      <c r="AN147" s="349"/>
      <c r="AO147" s="351">
        <f t="shared" si="9"/>
        <v>29</v>
      </c>
      <c r="AP147" s="352"/>
      <c r="AQ147" s="306"/>
      <c r="AR147" s="353">
        <f t="shared" si="11"/>
        <v>780.38079999999991</v>
      </c>
      <c r="AS147" s="239"/>
      <c r="AT147" s="239"/>
      <c r="AU147" s="239"/>
    </row>
    <row r="148" spans="1:47" x14ac:dyDescent="0.35">
      <c r="A148" s="332">
        <v>46124</v>
      </c>
      <c r="B148" s="371"/>
      <c r="C148" s="372">
        <f>'ODOMETERS Tekrit'!J144</f>
        <v>306</v>
      </c>
      <c r="D148" s="334">
        <v>1.3244</v>
      </c>
      <c r="E148" s="335">
        <f>'Daily Tekrit'!$C148*'Daily Tekrit'!$D148</f>
        <v>405.26640000000003</v>
      </c>
      <c r="F148" s="336">
        <f>'ODOMETERS Tekrit'!K144</f>
        <v>332</v>
      </c>
      <c r="G148" s="334">
        <v>1.3244</v>
      </c>
      <c r="H148" s="335">
        <f>'Daily Tekrit'!$F148*'Daily Tekrit'!$G148</f>
        <v>439.70080000000002</v>
      </c>
      <c r="I148" s="336">
        <f>'Daily Tekrit'!$C148+'Daily Tekrit'!$F148</f>
        <v>638</v>
      </c>
      <c r="J148" s="337">
        <f>'Daily Tekrit'!$E148+'Daily Tekrit'!$H148</f>
        <v>844.96720000000005</v>
      </c>
      <c r="K148" s="338">
        <f>'ODOMETERS Tekrit'!L144</f>
        <v>149</v>
      </c>
      <c r="L148" s="339">
        <v>1.3612</v>
      </c>
      <c r="M148" s="340">
        <f>'Daily Tekrit'!$K148*'Daily Tekrit'!$L148</f>
        <v>202.81879999999998</v>
      </c>
      <c r="N148" s="343"/>
      <c r="O148" s="343"/>
      <c r="P148" s="343"/>
      <c r="Q148" s="343"/>
      <c r="R148" s="343"/>
      <c r="S148" s="343"/>
      <c r="T148" s="343"/>
      <c r="U148" s="344">
        <f>'Daily Tekrit'!$J148+'Daily Tekrit'!$M148+SUM($N148:$T148)</f>
        <v>1047.7860000000001</v>
      </c>
      <c r="V148" s="306"/>
      <c r="W148" s="374">
        <f>30+88</f>
        <v>118</v>
      </c>
      <c r="X148" s="354"/>
      <c r="Y148" s="354"/>
      <c r="Z148" s="346"/>
      <c r="AA148" s="347"/>
      <c r="AB148" s="347"/>
      <c r="AC148" s="347"/>
      <c r="AD148" s="348">
        <f t="shared" si="2"/>
        <v>0</v>
      </c>
      <c r="AE148" s="349"/>
      <c r="AF148" s="349"/>
      <c r="AG148" s="349"/>
      <c r="AH148" s="349">
        <v>8</v>
      </c>
      <c r="AI148" s="349"/>
      <c r="AJ148" s="349"/>
      <c r="AK148" s="349"/>
      <c r="AL148" s="349"/>
      <c r="AM148" s="350">
        <f t="shared" si="10"/>
        <v>8</v>
      </c>
      <c r="AN148" s="349"/>
      <c r="AO148" s="351">
        <f t="shared" si="9"/>
        <v>126</v>
      </c>
      <c r="AP148" s="352"/>
      <c r="AQ148" s="306"/>
      <c r="AR148" s="353">
        <f t="shared" si="11"/>
        <v>921.78600000000006</v>
      </c>
      <c r="AS148" s="239"/>
      <c r="AT148" s="239"/>
      <c r="AU148" s="239"/>
    </row>
    <row r="149" spans="1:47" x14ac:dyDescent="0.35">
      <c r="A149" s="332">
        <v>46125</v>
      </c>
      <c r="B149" s="371"/>
      <c r="C149" s="372">
        <f>'ODOMETERS Tekrit'!J145</f>
        <v>418</v>
      </c>
      <c r="D149" s="334">
        <v>1.3244</v>
      </c>
      <c r="E149" s="335">
        <f>'Daily Tekrit'!$C149*'Daily Tekrit'!$D149</f>
        <v>553.5992</v>
      </c>
      <c r="F149" s="336">
        <f>'ODOMETERS Tekrit'!K145</f>
        <v>204</v>
      </c>
      <c r="G149" s="334">
        <v>1.3244</v>
      </c>
      <c r="H149" s="335">
        <f>'Daily Tekrit'!$F149*'Daily Tekrit'!$G149</f>
        <v>270.17759999999998</v>
      </c>
      <c r="I149" s="336">
        <f>'Daily Tekrit'!$C149+'Daily Tekrit'!$F149</f>
        <v>622</v>
      </c>
      <c r="J149" s="337">
        <f>'Daily Tekrit'!$E149+'Daily Tekrit'!$H149</f>
        <v>823.77679999999998</v>
      </c>
      <c r="K149" s="338">
        <f>'ODOMETERS Tekrit'!L145</f>
        <v>217</v>
      </c>
      <c r="L149" s="339">
        <v>1.3612</v>
      </c>
      <c r="M149" s="340">
        <f>'Daily Tekrit'!$K149*'Daily Tekrit'!$L149</f>
        <v>295.38040000000001</v>
      </c>
      <c r="N149" s="343"/>
      <c r="O149" s="343"/>
      <c r="P149" s="343"/>
      <c r="Q149" s="343"/>
      <c r="R149" s="343"/>
      <c r="S149" s="343"/>
      <c r="T149" s="343"/>
      <c r="U149" s="344">
        <f>'Daily Tekrit'!$J149+'Daily Tekrit'!$M149+SUM($N149:$T149)</f>
        <v>1119.1572000000001</v>
      </c>
      <c r="V149" s="306"/>
      <c r="W149" s="374">
        <f>10+1000/89.7+9+20</f>
        <v>50.148272017837236</v>
      </c>
      <c r="X149" s="354"/>
      <c r="Y149" s="354">
        <v>-8</v>
      </c>
      <c r="Z149" s="346"/>
      <c r="AA149" s="347"/>
      <c r="AB149" s="347"/>
      <c r="AC149" s="347"/>
      <c r="AD149" s="348">
        <f t="shared" si="2"/>
        <v>0</v>
      </c>
      <c r="AE149" s="349"/>
      <c r="AF149" s="349"/>
      <c r="AG149" s="349"/>
      <c r="AH149" s="349">
        <f>700/89.7</f>
        <v>7.8037904124860642</v>
      </c>
      <c r="AI149" s="349"/>
      <c r="AJ149" s="349"/>
      <c r="AK149" s="349"/>
      <c r="AL149" s="349"/>
      <c r="AM149" s="350">
        <f t="shared" si="10"/>
        <v>7.8037904124860642</v>
      </c>
      <c r="AN149" s="349"/>
      <c r="AO149" s="351">
        <f t="shared" si="9"/>
        <v>49.952062430323302</v>
      </c>
      <c r="AP149" s="352"/>
      <c r="AQ149" s="306"/>
      <c r="AR149" s="353">
        <f t="shared" si="11"/>
        <v>1069.2051375696767</v>
      </c>
      <c r="AS149" s="239"/>
      <c r="AT149" s="239"/>
      <c r="AU149" s="239"/>
    </row>
    <row r="150" spans="1:47" x14ac:dyDescent="0.35">
      <c r="A150" s="332">
        <v>46126</v>
      </c>
      <c r="B150" s="371" t="s">
        <v>24</v>
      </c>
      <c r="C150" s="372">
        <f>'ODOMETERS Tekrit'!J146</f>
        <v>245</v>
      </c>
      <c r="D150" s="334">
        <v>1.325</v>
      </c>
      <c r="E150" s="335">
        <f>'Daily Tekrit'!$C150*'Daily Tekrit'!$D150</f>
        <v>324.625</v>
      </c>
      <c r="F150" s="336">
        <f>'ODOMETERS Tekrit'!K146</f>
        <v>164</v>
      </c>
      <c r="G150" s="334">
        <v>1.325</v>
      </c>
      <c r="H150" s="335">
        <f>'Daily Tekrit'!$F150*'Daily Tekrit'!$G150</f>
        <v>217.29999999999998</v>
      </c>
      <c r="I150" s="336">
        <f>'Daily Tekrit'!$C150+'Daily Tekrit'!$F150</f>
        <v>409</v>
      </c>
      <c r="J150" s="337">
        <f>'Daily Tekrit'!$E150+'Daily Tekrit'!$H150</f>
        <v>541.92499999999995</v>
      </c>
      <c r="K150" s="338">
        <f>'ODOMETERS Tekrit'!L146</f>
        <v>89</v>
      </c>
      <c r="L150" s="339">
        <v>1.3612</v>
      </c>
      <c r="M150" s="340">
        <f>'Daily Tekrit'!$K150*'Daily Tekrit'!$L150</f>
        <v>121.1468</v>
      </c>
      <c r="N150" s="343"/>
      <c r="O150" s="343"/>
      <c r="P150" s="343"/>
      <c r="Q150" s="343"/>
      <c r="R150" s="343"/>
      <c r="S150" s="343"/>
      <c r="T150" s="343"/>
      <c r="U150" s="344">
        <f>'Daily Tekrit'!$J150+'Daily Tekrit'!$M150+SUM($N150:$T150)</f>
        <v>663.07179999999994</v>
      </c>
      <c r="V150" s="306"/>
      <c r="W150" s="374">
        <v>20</v>
      </c>
      <c r="X150" s="354"/>
      <c r="Y150" s="354">
        <v>3</v>
      </c>
      <c r="Z150" s="346"/>
      <c r="AA150" s="347"/>
      <c r="AB150" s="347"/>
      <c r="AC150" s="347"/>
      <c r="AD150" s="348">
        <f t="shared" si="2"/>
        <v>0</v>
      </c>
      <c r="AE150" s="349"/>
      <c r="AF150" s="349"/>
      <c r="AG150" s="349"/>
      <c r="AH150" s="349">
        <v>8</v>
      </c>
      <c r="AI150" s="349"/>
      <c r="AJ150" s="349"/>
      <c r="AK150" s="349"/>
      <c r="AL150" s="349"/>
      <c r="AM150" s="350">
        <f t="shared" si="10"/>
        <v>8</v>
      </c>
      <c r="AN150" s="349"/>
      <c r="AO150" s="351">
        <f t="shared" si="9"/>
        <v>31</v>
      </c>
      <c r="AP150" s="352"/>
      <c r="AQ150" s="306"/>
      <c r="AR150" s="353">
        <f t="shared" si="11"/>
        <v>632.07179999999994</v>
      </c>
      <c r="AS150" s="239"/>
      <c r="AT150" s="239"/>
      <c r="AU150" s="239"/>
    </row>
    <row r="151" spans="1:47" x14ac:dyDescent="0.35">
      <c r="A151" s="332">
        <v>46126</v>
      </c>
      <c r="B151" s="371" t="s">
        <v>25</v>
      </c>
      <c r="C151" s="372">
        <f>'ODOMETERS Tekrit'!J147</f>
        <v>79</v>
      </c>
      <c r="D151" s="334">
        <v>1.33</v>
      </c>
      <c r="E151" s="335">
        <f>'Daily Tekrit'!$C151*'Daily Tekrit'!$D151</f>
        <v>105.07000000000001</v>
      </c>
      <c r="F151" s="336">
        <f>'ODOMETERS Tekrit'!K147</f>
        <v>26</v>
      </c>
      <c r="G151" s="334">
        <v>1.33</v>
      </c>
      <c r="H151" s="335">
        <f>'Daily Tekrit'!$F151*'Daily Tekrit'!$G151</f>
        <v>34.58</v>
      </c>
      <c r="I151" s="336">
        <f>'Daily Tekrit'!$C151+'Daily Tekrit'!$F151</f>
        <v>105</v>
      </c>
      <c r="J151" s="337">
        <f>'Daily Tekrit'!$E151+'Daily Tekrit'!$H151</f>
        <v>139.65</v>
      </c>
      <c r="K151" s="338">
        <f>'ODOMETERS Tekrit'!L147</f>
        <v>7</v>
      </c>
      <c r="L151" s="339">
        <v>1.3907</v>
      </c>
      <c r="M151" s="340">
        <f>'Daily Tekrit'!$K151*'Daily Tekrit'!$L151</f>
        <v>9.7348999999999997</v>
      </c>
      <c r="N151" s="343"/>
      <c r="O151" s="343"/>
      <c r="P151" s="343"/>
      <c r="Q151" s="343"/>
      <c r="R151" s="343"/>
      <c r="S151" s="343"/>
      <c r="T151" s="343"/>
      <c r="U151" s="344">
        <f>'Daily Tekrit'!$J151+'Daily Tekrit'!$M151+SUM($N151:$T151)</f>
        <v>149.38490000000002</v>
      </c>
      <c r="V151" s="306"/>
      <c r="W151" s="374"/>
      <c r="X151" s="354">
        <f>10*1.33</f>
        <v>13.3</v>
      </c>
      <c r="Y151" s="354"/>
      <c r="Z151" s="346"/>
      <c r="AA151" s="347"/>
      <c r="AB151" s="347"/>
      <c r="AC151" s="347"/>
      <c r="AD151" s="348">
        <f t="shared" si="2"/>
        <v>0</v>
      </c>
      <c r="AE151" s="349"/>
      <c r="AF151" s="349"/>
      <c r="AG151" s="349"/>
      <c r="AH151" s="349"/>
      <c r="AI151" s="349"/>
      <c r="AJ151" s="349"/>
      <c r="AK151" s="349"/>
      <c r="AL151" s="349"/>
      <c r="AM151" s="350">
        <f t="shared" si="10"/>
        <v>0</v>
      </c>
      <c r="AN151" s="349"/>
      <c r="AO151" s="351">
        <f t="shared" si="9"/>
        <v>13.3</v>
      </c>
      <c r="AP151" s="352"/>
      <c r="AQ151" s="306"/>
      <c r="AR151" s="353">
        <f t="shared" si="11"/>
        <v>136.0849</v>
      </c>
      <c r="AS151" s="239"/>
      <c r="AT151" s="239"/>
      <c r="AU151" s="239"/>
    </row>
    <row r="152" spans="1:47" x14ac:dyDescent="0.35">
      <c r="A152" s="332">
        <v>46127</v>
      </c>
      <c r="B152" s="371"/>
      <c r="C152" s="372">
        <f>'ODOMETERS Tekrit'!J148</f>
        <v>244</v>
      </c>
      <c r="D152" s="334">
        <v>1.33</v>
      </c>
      <c r="E152" s="335">
        <f>'Daily Tekrit'!$C152*'Daily Tekrit'!$D152</f>
        <v>324.52000000000004</v>
      </c>
      <c r="F152" s="336">
        <f>'ODOMETERS Tekrit'!K148</f>
        <v>223</v>
      </c>
      <c r="G152" s="334">
        <v>1.33</v>
      </c>
      <c r="H152" s="335">
        <f>'Daily Tekrit'!$F152*'Daily Tekrit'!$G152</f>
        <v>296.59000000000003</v>
      </c>
      <c r="I152" s="336">
        <f>'Daily Tekrit'!$C152+'Daily Tekrit'!$F152</f>
        <v>467</v>
      </c>
      <c r="J152" s="337">
        <f>'Daily Tekrit'!$E152+'Daily Tekrit'!$H152</f>
        <v>621.11000000000013</v>
      </c>
      <c r="K152" s="338">
        <f>'ODOMETERS Tekrit'!L148</f>
        <v>75</v>
      </c>
      <c r="L152" s="339">
        <v>1.3907</v>
      </c>
      <c r="M152" s="340">
        <f>'Daily Tekrit'!$K152*'Daily Tekrit'!$L152</f>
        <v>104.30250000000001</v>
      </c>
      <c r="N152" s="343">
        <v>6</v>
      </c>
      <c r="O152" s="343">
        <f>600/89.7</f>
        <v>6.6889632107023411</v>
      </c>
      <c r="P152" s="343"/>
      <c r="Q152" s="343"/>
      <c r="R152" s="343"/>
      <c r="S152" s="343"/>
      <c r="T152" s="343">
        <f>100/89.7</f>
        <v>1.1148272017837235</v>
      </c>
      <c r="U152" s="344">
        <f>'Daily Tekrit'!$J152+'Daily Tekrit'!$M152+SUM($N152:$T152)</f>
        <v>739.21629041248616</v>
      </c>
      <c r="V152" s="306"/>
      <c r="W152" s="374">
        <f>10*1.33</f>
        <v>13.3</v>
      </c>
      <c r="X152" s="354"/>
      <c r="Y152" s="354">
        <v>2</v>
      </c>
      <c r="Z152" s="346"/>
      <c r="AA152" s="347"/>
      <c r="AB152" s="347"/>
      <c r="AC152" s="347"/>
      <c r="AD152" s="348">
        <f t="shared" si="2"/>
        <v>0</v>
      </c>
      <c r="AE152" s="349"/>
      <c r="AF152" s="349"/>
      <c r="AG152" s="349"/>
      <c r="AH152" s="349">
        <f>800/89.7</f>
        <v>8.9186176142697882</v>
      </c>
      <c r="AI152" s="349"/>
      <c r="AJ152" s="349"/>
      <c r="AK152" s="349"/>
      <c r="AL152" s="349"/>
      <c r="AM152" s="350">
        <f t="shared" si="10"/>
        <v>8.9186176142697882</v>
      </c>
      <c r="AN152" s="349"/>
      <c r="AO152" s="351">
        <f t="shared" si="9"/>
        <v>24.218617614269789</v>
      </c>
      <c r="AP152" s="352"/>
      <c r="AQ152" s="306"/>
      <c r="AR152" s="353">
        <f t="shared" si="11"/>
        <v>714.9976727982164</v>
      </c>
      <c r="AS152" s="239"/>
      <c r="AT152" s="239"/>
      <c r="AU152" s="239"/>
    </row>
    <row r="153" spans="1:47" x14ac:dyDescent="0.35">
      <c r="A153" s="332">
        <v>46128</v>
      </c>
      <c r="B153" s="371"/>
      <c r="C153" s="372">
        <f>'ODOMETERS Tekrit'!J149</f>
        <v>317</v>
      </c>
      <c r="D153" s="334">
        <v>1.33</v>
      </c>
      <c r="E153" s="335">
        <f>'Daily Tekrit'!$C153*'Daily Tekrit'!$D153</f>
        <v>421.61</v>
      </c>
      <c r="F153" s="336">
        <f>'ODOMETERS Tekrit'!K149</f>
        <v>142</v>
      </c>
      <c r="G153" s="334">
        <v>1.33</v>
      </c>
      <c r="H153" s="335">
        <f>'Daily Tekrit'!$F153*'Daily Tekrit'!$G153</f>
        <v>188.86</v>
      </c>
      <c r="I153" s="336">
        <f>'Daily Tekrit'!$C153+'Daily Tekrit'!$F153</f>
        <v>459</v>
      </c>
      <c r="J153" s="337">
        <f>'Daily Tekrit'!$E153+'Daily Tekrit'!$H153</f>
        <v>610.47</v>
      </c>
      <c r="K153" s="338">
        <f>'ODOMETERS Tekrit'!L149</f>
        <v>44</v>
      </c>
      <c r="L153" s="339">
        <v>1.3907</v>
      </c>
      <c r="M153" s="340">
        <f>'Daily Tekrit'!$K153*'Daily Tekrit'!$L153</f>
        <v>61.190800000000003</v>
      </c>
      <c r="N153" s="343"/>
      <c r="O153" s="343">
        <f>300/89.7</f>
        <v>3.3444816053511706</v>
      </c>
      <c r="P153" s="343"/>
      <c r="Q153" s="343"/>
      <c r="R153" s="343"/>
      <c r="S153" s="343"/>
      <c r="T153" s="343"/>
      <c r="U153" s="344">
        <f>'Daily Tekrit'!$J153+'Daily Tekrit'!$M153+SUM($N153:$T153)</f>
        <v>675.00528160535112</v>
      </c>
      <c r="V153" s="306"/>
      <c r="W153" s="374">
        <f>600/89.7</f>
        <v>6.6889632107023411</v>
      </c>
      <c r="X153" s="354">
        <f>(9*1.33)+49</f>
        <v>60.97</v>
      </c>
      <c r="Y153" s="354">
        <v>2</v>
      </c>
      <c r="Z153" s="346"/>
      <c r="AA153" s="347"/>
      <c r="AB153" s="347"/>
      <c r="AC153" s="347"/>
      <c r="AD153" s="348">
        <f t="shared" si="2"/>
        <v>0</v>
      </c>
      <c r="AE153" s="349"/>
      <c r="AF153" s="349">
        <v>5</v>
      </c>
      <c r="AG153" s="349"/>
      <c r="AH153" s="349">
        <f>700/89.7</f>
        <v>7.8037904124860642</v>
      </c>
      <c r="AI153" s="349"/>
      <c r="AJ153" s="349">
        <f>300/89.7</f>
        <v>3.3444816053511706</v>
      </c>
      <c r="AK153" s="349"/>
      <c r="AL153" s="349"/>
      <c r="AM153" s="350">
        <f t="shared" si="10"/>
        <v>16.148272017837236</v>
      </c>
      <c r="AN153" s="349"/>
      <c r="AO153" s="351">
        <f t="shared" si="9"/>
        <v>85.807235228539582</v>
      </c>
      <c r="AP153" s="352"/>
      <c r="AQ153" s="306"/>
      <c r="AR153" s="353">
        <f t="shared" si="11"/>
        <v>589.19804637681159</v>
      </c>
      <c r="AS153" s="239"/>
      <c r="AT153" s="239"/>
      <c r="AU153" s="239"/>
    </row>
    <row r="154" spans="1:47" x14ac:dyDescent="0.35">
      <c r="A154" s="332">
        <v>46129</v>
      </c>
      <c r="B154" s="371" t="s">
        <v>24</v>
      </c>
      <c r="C154" s="372">
        <f>'ODOMETERS Tekrit'!J150</f>
        <v>184</v>
      </c>
      <c r="D154" s="334">
        <v>1.33</v>
      </c>
      <c r="E154" s="335">
        <f>'Daily Tekrit'!$C154*'Daily Tekrit'!$D154</f>
        <v>244.72000000000003</v>
      </c>
      <c r="F154" s="336">
        <f>'ODOMETERS Tekrit'!K150</f>
        <v>141</v>
      </c>
      <c r="G154" s="334">
        <v>1.33</v>
      </c>
      <c r="H154" s="335">
        <f>'Daily Tekrit'!$F154*'Daily Tekrit'!$G154</f>
        <v>187.53</v>
      </c>
      <c r="I154" s="336">
        <f>'Daily Tekrit'!$C154+'Daily Tekrit'!$F154</f>
        <v>325</v>
      </c>
      <c r="J154" s="337">
        <f>'Daily Tekrit'!$E154+'Daily Tekrit'!$H154</f>
        <v>432.25</v>
      </c>
      <c r="K154" s="338">
        <f>'ODOMETERS Tekrit'!L150</f>
        <v>21</v>
      </c>
      <c r="L154" s="339">
        <v>1.3907</v>
      </c>
      <c r="M154" s="340">
        <f>'Daily Tekrit'!$K154*'Daily Tekrit'!$L154</f>
        <v>29.204700000000003</v>
      </c>
      <c r="N154" s="343"/>
      <c r="O154" s="343"/>
      <c r="P154" s="343"/>
      <c r="Q154" s="343"/>
      <c r="R154" s="343"/>
      <c r="S154" s="343"/>
      <c r="T154" s="343">
        <v>1.5</v>
      </c>
      <c r="U154" s="344">
        <f>'Daily Tekrit'!$J154+'Daily Tekrit'!$M154+SUM($N154:$T154)</f>
        <v>462.9547</v>
      </c>
      <c r="V154" s="306"/>
      <c r="W154" s="374">
        <v>26.5</v>
      </c>
      <c r="X154" s="354"/>
      <c r="Y154" s="354"/>
      <c r="Z154" s="346"/>
      <c r="AA154" s="347"/>
      <c r="AB154" s="347"/>
      <c r="AC154" s="347"/>
      <c r="AD154" s="348">
        <f t="shared" si="2"/>
        <v>0</v>
      </c>
      <c r="AE154" s="349"/>
      <c r="AF154" s="349"/>
      <c r="AG154" s="349"/>
      <c r="AH154" s="349"/>
      <c r="AI154" s="349"/>
      <c r="AJ154" s="349"/>
      <c r="AK154" s="349"/>
      <c r="AL154" s="349"/>
      <c r="AM154" s="350">
        <f t="shared" si="10"/>
        <v>0</v>
      </c>
      <c r="AN154" s="349"/>
      <c r="AO154" s="351">
        <f t="shared" si="9"/>
        <v>26.5</v>
      </c>
      <c r="AP154" s="352"/>
      <c r="AQ154" s="306"/>
      <c r="AR154" s="353">
        <f t="shared" si="11"/>
        <v>436.4547</v>
      </c>
      <c r="AS154" s="239"/>
      <c r="AT154" s="239"/>
      <c r="AU154" s="239"/>
    </row>
    <row r="155" spans="1:47" x14ac:dyDescent="0.35">
      <c r="A155" s="332">
        <v>46129</v>
      </c>
      <c r="B155" s="371" t="s">
        <v>25</v>
      </c>
      <c r="C155" s="372">
        <f>'ODOMETERS Tekrit'!J151</f>
        <v>11</v>
      </c>
      <c r="D155" s="334">
        <v>1.3320000000000001</v>
      </c>
      <c r="E155" s="335">
        <f>'Daily Tekrit'!$C155*'Daily Tekrit'!$D155</f>
        <v>14.652000000000001</v>
      </c>
      <c r="F155" s="336">
        <f>'ODOMETERS Tekrit'!K151</f>
        <v>271</v>
      </c>
      <c r="G155" s="334">
        <v>1.3320000000000001</v>
      </c>
      <c r="H155" s="335">
        <f>'Daily Tekrit'!$F155*'Daily Tekrit'!$G155</f>
        <v>360.97200000000004</v>
      </c>
      <c r="I155" s="336">
        <f>'Daily Tekrit'!$C155+'Daily Tekrit'!$F155</f>
        <v>282</v>
      </c>
      <c r="J155" s="337">
        <f>'Daily Tekrit'!$E155+'Daily Tekrit'!$H155</f>
        <v>375.62400000000002</v>
      </c>
      <c r="K155" s="338">
        <f>'ODOMETERS Tekrit'!L151</f>
        <v>18</v>
      </c>
      <c r="L155" s="339">
        <v>1.3918999999999999</v>
      </c>
      <c r="M155" s="340">
        <f>'Daily Tekrit'!$K155*'Daily Tekrit'!$L155</f>
        <v>25.054199999999998</v>
      </c>
      <c r="N155" s="343"/>
      <c r="O155" s="343">
        <v>6.5</v>
      </c>
      <c r="P155" s="343"/>
      <c r="Q155" s="343"/>
      <c r="R155" s="343"/>
      <c r="S155" s="343"/>
      <c r="T155" s="343">
        <v>1.5</v>
      </c>
      <c r="U155" s="344">
        <f>'Daily Tekrit'!$J155+'Daily Tekrit'!$M155+SUM($N155:$T155)</f>
        <v>408.6782</v>
      </c>
      <c r="V155" s="306"/>
      <c r="W155" s="374">
        <v>141</v>
      </c>
      <c r="X155" s="354">
        <v>26.5</v>
      </c>
      <c r="Y155" s="354"/>
      <c r="Z155" s="346"/>
      <c r="AA155" s="347"/>
      <c r="AB155" s="347"/>
      <c r="AC155" s="347"/>
      <c r="AD155" s="348">
        <f t="shared" si="2"/>
        <v>0</v>
      </c>
      <c r="AE155" s="349"/>
      <c r="AF155" s="349"/>
      <c r="AG155" s="349"/>
      <c r="AH155" s="349">
        <v>1</v>
      </c>
      <c r="AI155" s="349"/>
      <c r="AJ155" s="349"/>
      <c r="AK155" s="349"/>
      <c r="AL155" s="349"/>
      <c r="AM155" s="350">
        <f t="shared" si="10"/>
        <v>1</v>
      </c>
      <c r="AN155" s="349"/>
      <c r="AO155" s="351">
        <f t="shared" si="9"/>
        <v>168.5</v>
      </c>
      <c r="AP155" s="352"/>
      <c r="AQ155" s="306"/>
      <c r="AR155" s="353">
        <f t="shared" si="11"/>
        <v>240.1782</v>
      </c>
      <c r="AS155" s="239"/>
      <c r="AT155" s="239"/>
      <c r="AU155" s="239"/>
    </row>
    <row r="156" spans="1:47" x14ac:dyDescent="0.35">
      <c r="A156" s="332">
        <v>46130</v>
      </c>
      <c r="B156" s="371"/>
      <c r="C156" s="372">
        <f>'ODOMETERS Tekrit'!J152</f>
        <v>72</v>
      </c>
      <c r="D156" s="334">
        <v>1.3320000000000001</v>
      </c>
      <c r="E156" s="335">
        <f>'Daily Tekrit'!$C156*'Daily Tekrit'!$D156</f>
        <v>95.904000000000011</v>
      </c>
      <c r="F156" s="336">
        <f>'ODOMETERS Tekrit'!K152</f>
        <v>737</v>
      </c>
      <c r="G156" s="334">
        <v>1.3320000000000001</v>
      </c>
      <c r="H156" s="335">
        <f>'Daily Tekrit'!$F156*'Daily Tekrit'!$G156</f>
        <v>981.68400000000008</v>
      </c>
      <c r="I156" s="336">
        <f>'Daily Tekrit'!$C156+'Daily Tekrit'!$F156</f>
        <v>809</v>
      </c>
      <c r="J156" s="337">
        <f>'Daily Tekrit'!$E156+'Daily Tekrit'!$H156</f>
        <v>1077.5880000000002</v>
      </c>
      <c r="K156" s="338">
        <f>'ODOMETERS Tekrit'!L152</f>
        <v>45</v>
      </c>
      <c r="L156" s="339">
        <v>1.3918999999999999</v>
      </c>
      <c r="M156" s="340">
        <f>'Daily Tekrit'!$K156*'Daily Tekrit'!$L156</f>
        <v>62.635499999999993</v>
      </c>
      <c r="N156" s="343">
        <v>6</v>
      </c>
      <c r="O156" s="343"/>
      <c r="P156" s="343"/>
      <c r="Q156" s="343"/>
      <c r="R156" s="343"/>
      <c r="S156" s="343"/>
      <c r="T156" s="343"/>
      <c r="U156" s="344">
        <f>'Daily Tekrit'!$J156+'Daily Tekrit'!$M156+SUM($N156:$T156)</f>
        <v>1146.2235000000003</v>
      </c>
      <c r="V156" s="306"/>
      <c r="W156" s="374"/>
      <c r="X156" s="354"/>
      <c r="Y156" s="354">
        <v>-2</v>
      </c>
      <c r="Z156" s="346"/>
      <c r="AA156" s="347"/>
      <c r="AB156" s="347"/>
      <c r="AC156" s="347"/>
      <c r="AD156" s="348">
        <f t="shared" si="2"/>
        <v>0</v>
      </c>
      <c r="AE156" s="349"/>
      <c r="AF156" s="349">
        <v>350</v>
      </c>
      <c r="AG156" s="349"/>
      <c r="AH156" s="349">
        <f>20</f>
        <v>20</v>
      </c>
      <c r="AI156" s="349"/>
      <c r="AJ156" s="349"/>
      <c r="AK156" s="349"/>
      <c r="AL156" s="349"/>
      <c r="AM156" s="350">
        <f t="shared" si="10"/>
        <v>370</v>
      </c>
      <c r="AN156" s="349"/>
      <c r="AO156" s="351">
        <f t="shared" si="9"/>
        <v>368</v>
      </c>
      <c r="AP156" s="352"/>
      <c r="AQ156" s="306"/>
      <c r="AR156" s="353">
        <f t="shared" si="11"/>
        <v>778.22350000000029</v>
      </c>
      <c r="AS156" s="239"/>
      <c r="AT156" s="239"/>
      <c r="AU156" s="239"/>
    </row>
    <row r="157" spans="1:47" x14ac:dyDescent="0.35">
      <c r="A157" s="332">
        <v>46131</v>
      </c>
      <c r="B157" s="371"/>
      <c r="C157" s="372">
        <f>'ODOMETERS Tekrit'!J153</f>
        <v>167</v>
      </c>
      <c r="D157" s="334">
        <v>1.3320000000000001</v>
      </c>
      <c r="E157" s="335">
        <f>'Daily Tekrit'!$C157*'Daily Tekrit'!$D157</f>
        <v>222.44400000000002</v>
      </c>
      <c r="F157" s="336">
        <f>'ODOMETERS Tekrit'!K153</f>
        <v>458</v>
      </c>
      <c r="G157" s="334">
        <v>1.3320000000000001</v>
      </c>
      <c r="H157" s="335">
        <f>'Daily Tekrit'!$F157*'Daily Tekrit'!$G157</f>
        <v>610.05600000000004</v>
      </c>
      <c r="I157" s="336">
        <f>'Daily Tekrit'!$C157+'Daily Tekrit'!$F157</f>
        <v>625</v>
      </c>
      <c r="J157" s="337">
        <f>'Daily Tekrit'!$E157+'Daily Tekrit'!$H157</f>
        <v>832.5</v>
      </c>
      <c r="K157" s="338">
        <f>'ODOMETERS Tekrit'!L153</f>
        <v>59</v>
      </c>
      <c r="L157" s="339">
        <v>1.3918999999999999</v>
      </c>
      <c r="M157" s="340">
        <f>'Daily Tekrit'!$K157*'Daily Tekrit'!$L157</f>
        <v>82.122099999999989</v>
      </c>
      <c r="N157" s="343"/>
      <c r="O157" s="343"/>
      <c r="P157" s="343"/>
      <c r="Q157" s="343"/>
      <c r="R157" s="343"/>
      <c r="S157" s="343"/>
      <c r="T157" s="343"/>
      <c r="U157" s="344">
        <f>'Daily Tekrit'!$J157+'Daily Tekrit'!$M157+SUM($N157:$T157)</f>
        <v>914.62210000000005</v>
      </c>
      <c r="V157" s="306"/>
      <c r="W157" s="374">
        <f>500/89.7</f>
        <v>5.5741360089186172</v>
      </c>
      <c r="X157" s="354"/>
      <c r="Y157" s="354"/>
      <c r="Z157" s="346"/>
      <c r="AA157" s="347"/>
      <c r="AB157" s="347"/>
      <c r="AC157" s="347"/>
      <c r="AD157" s="348">
        <f t="shared" si="2"/>
        <v>0</v>
      </c>
      <c r="AE157" s="349"/>
      <c r="AF157" s="349"/>
      <c r="AG157" s="349"/>
      <c r="AH157" s="349">
        <v>8</v>
      </c>
      <c r="AI157" s="349"/>
      <c r="AJ157" s="349"/>
      <c r="AK157" s="349"/>
      <c r="AL157" s="349"/>
      <c r="AM157" s="350">
        <f t="shared" si="10"/>
        <v>8</v>
      </c>
      <c r="AN157" s="349"/>
      <c r="AO157" s="351">
        <f t="shared" si="9"/>
        <v>13.574136008918618</v>
      </c>
      <c r="AP157" s="352"/>
      <c r="AQ157" s="306"/>
      <c r="AR157" s="353">
        <f t="shared" si="11"/>
        <v>901.04796399108147</v>
      </c>
      <c r="AS157" s="239"/>
      <c r="AT157" s="239"/>
      <c r="AU157" s="239"/>
    </row>
    <row r="158" spans="1:47" x14ac:dyDescent="0.35">
      <c r="A158" s="332">
        <v>46132</v>
      </c>
      <c r="B158" s="371"/>
      <c r="C158" s="372">
        <f>'ODOMETERS Tekrit'!J154</f>
        <v>274</v>
      </c>
      <c r="D158" s="334">
        <v>1.3320000000000001</v>
      </c>
      <c r="E158" s="335">
        <f>'Daily Tekrit'!$C158*'Daily Tekrit'!$D158</f>
        <v>364.96800000000002</v>
      </c>
      <c r="F158" s="336">
        <f>'ODOMETERS Tekrit'!K154</f>
        <v>393</v>
      </c>
      <c r="G158" s="334">
        <v>1.3320000000000001</v>
      </c>
      <c r="H158" s="335">
        <f>'Daily Tekrit'!$F158*'Daily Tekrit'!$G158</f>
        <v>523.476</v>
      </c>
      <c r="I158" s="336">
        <f>'Daily Tekrit'!$C158+'Daily Tekrit'!$F158</f>
        <v>667</v>
      </c>
      <c r="J158" s="337">
        <f>'Daily Tekrit'!$E158+'Daily Tekrit'!$H158</f>
        <v>888.44399999999996</v>
      </c>
      <c r="K158" s="338">
        <f>'ODOMETERS Tekrit'!L154</f>
        <v>72</v>
      </c>
      <c r="L158" s="339">
        <v>1.3918999999999999</v>
      </c>
      <c r="M158" s="340">
        <f>'Daily Tekrit'!$K158*'Daily Tekrit'!$L158</f>
        <v>100.21679999999999</v>
      </c>
      <c r="N158" s="343">
        <f>350/98.7</f>
        <v>3.5460992907801416</v>
      </c>
      <c r="O158" s="343"/>
      <c r="P158" s="343"/>
      <c r="Q158" s="343"/>
      <c r="R158" s="343"/>
      <c r="S158" s="343">
        <v>35</v>
      </c>
      <c r="T158" s="343"/>
      <c r="U158" s="344">
        <f>'Daily Tekrit'!$J158+'Daily Tekrit'!$M158+SUM($N158:$T158)</f>
        <v>1027.20689929078</v>
      </c>
      <c r="V158" s="306"/>
      <c r="W158" s="374">
        <v>20</v>
      </c>
      <c r="X158" s="354"/>
      <c r="Y158" s="354">
        <v>2</v>
      </c>
      <c r="Z158" s="346"/>
      <c r="AA158" s="347"/>
      <c r="AB158" s="347"/>
      <c r="AC158" s="347"/>
      <c r="AD158" s="348">
        <f t="shared" si="2"/>
        <v>0</v>
      </c>
      <c r="AE158" s="349"/>
      <c r="AF158" s="349"/>
      <c r="AG158" s="349"/>
      <c r="AH158" s="349">
        <v>8</v>
      </c>
      <c r="AI158" s="349"/>
      <c r="AJ158" s="349"/>
      <c r="AK158" s="349"/>
      <c r="AL158" s="349"/>
      <c r="AM158" s="350">
        <f t="shared" si="10"/>
        <v>8</v>
      </c>
      <c r="AN158" s="349"/>
      <c r="AO158" s="351">
        <f t="shared" si="9"/>
        <v>30</v>
      </c>
      <c r="AP158" s="352"/>
      <c r="AQ158" s="306"/>
      <c r="AR158" s="353">
        <f t="shared" si="11"/>
        <v>997.20689929078003</v>
      </c>
      <c r="AS158" s="239"/>
      <c r="AT158" s="239"/>
      <c r="AU158" s="239"/>
    </row>
    <row r="159" spans="1:47" x14ac:dyDescent="0.35">
      <c r="A159" s="332">
        <v>46133</v>
      </c>
      <c r="B159" s="371" t="s">
        <v>24</v>
      </c>
      <c r="C159" s="372">
        <f>'ODOMETERS Tekrit'!J155</f>
        <v>166</v>
      </c>
      <c r="D159" s="334">
        <v>1.3320000000000001</v>
      </c>
      <c r="E159" s="335">
        <f>'Daily Tekrit'!$C159*'Daily Tekrit'!$D159</f>
        <v>221.11200000000002</v>
      </c>
      <c r="F159" s="336">
        <f>'ODOMETERS Tekrit'!K155</f>
        <v>189</v>
      </c>
      <c r="G159" s="334">
        <v>1.3320000000000001</v>
      </c>
      <c r="H159" s="335">
        <f>'Daily Tekrit'!$F159*'Daily Tekrit'!$G159</f>
        <v>251.74800000000002</v>
      </c>
      <c r="I159" s="336">
        <f>'Daily Tekrit'!$C159+'Daily Tekrit'!$F159</f>
        <v>355</v>
      </c>
      <c r="J159" s="337">
        <f>'Daily Tekrit'!$E159+'Daily Tekrit'!$H159</f>
        <v>472.86</v>
      </c>
      <c r="K159" s="338">
        <f>'ODOMETERS Tekrit'!L155</f>
        <v>488</v>
      </c>
      <c r="L159" s="339">
        <v>1.3918999999999999</v>
      </c>
      <c r="M159" s="340">
        <f>'Daily Tekrit'!$K159*'Daily Tekrit'!$L159</f>
        <v>679.24719999999991</v>
      </c>
      <c r="N159" s="343"/>
      <c r="O159" s="343"/>
      <c r="P159" s="343"/>
      <c r="Q159" s="343"/>
      <c r="R159" s="343"/>
      <c r="S159" s="343"/>
      <c r="T159" s="343"/>
      <c r="U159" s="344">
        <f>'Daily Tekrit'!$J159+'Daily Tekrit'!$M159+SUM($N159:$T159)</f>
        <v>1152.1071999999999</v>
      </c>
      <c r="V159" s="306"/>
      <c r="W159" s="374">
        <f>1000/89.7+40+400*1.3919</f>
        <v>607.90827201783725</v>
      </c>
      <c r="X159" s="354"/>
      <c r="Y159" s="354">
        <v>3</v>
      </c>
      <c r="Z159" s="346"/>
      <c r="AA159" s="347"/>
      <c r="AB159" s="347"/>
      <c r="AC159" s="347"/>
      <c r="AD159" s="348">
        <f t="shared" si="2"/>
        <v>0</v>
      </c>
      <c r="AE159" s="349"/>
      <c r="AF159" s="349"/>
      <c r="AG159" s="349"/>
      <c r="AH159" s="349">
        <f>8+500/89.7</f>
        <v>13.574136008918618</v>
      </c>
      <c r="AI159" s="349"/>
      <c r="AJ159" s="349"/>
      <c r="AK159" s="349"/>
      <c r="AL159" s="349"/>
      <c r="AM159" s="350">
        <f t="shared" si="10"/>
        <v>13.574136008918618</v>
      </c>
      <c r="AN159" s="349"/>
      <c r="AO159" s="351">
        <f t="shared" si="9"/>
        <v>624.48240802675582</v>
      </c>
      <c r="AP159" s="352"/>
      <c r="AQ159" s="306"/>
      <c r="AR159" s="353">
        <f t="shared" si="11"/>
        <v>527.6247919732441</v>
      </c>
      <c r="AS159" s="239"/>
      <c r="AT159" s="239"/>
      <c r="AU159" s="239"/>
    </row>
    <row r="160" spans="1:47" x14ac:dyDescent="0.35">
      <c r="A160" s="332">
        <v>46133</v>
      </c>
      <c r="B160" s="371" t="s">
        <v>25</v>
      </c>
      <c r="C160" s="372">
        <f>'ODOMETERS Tekrit'!J156</f>
        <v>74</v>
      </c>
      <c r="D160" s="334">
        <v>1.3280000000000001</v>
      </c>
      <c r="E160" s="335">
        <f>'Daily Tekrit'!$C160*'Daily Tekrit'!$D160</f>
        <v>98.272000000000006</v>
      </c>
      <c r="F160" s="336">
        <f>'ODOMETERS Tekrit'!K156</f>
        <v>82</v>
      </c>
      <c r="G160" s="334">
        <v>1.3280000000000001</v>
      </c>
      <c r="H160" s="335">
        <f>'Daily Tekrit'!$F160*'Daily Tekrit'!$G160</f>
        <v>108.896</v>
      </c>
      <c r="I160" s="336">
        <f>'Daily Tekrit'!$C160+'Daily Tekrit'!$F160</f>
        <v>156</v>
      </c>
      <c r="J160" s="337">
        <f>'Daily Tekrit'!$E160+'Daily Tekrit'!$H160</f>
        <v>207.16800000000001</v>
      </c>
      <c r="K160" s="338">
        <f>'ODOMETERS Tekrit'!L156</f>
        <v>28</v>
      </c>
      <c r="L160" s="339">
        <v>1.3746</v>
      </c>
      <c r="M160" s="340">
        <f>'Daily Tekrit'!$K160*'Daily Tekrit'!$L160</f>
        <v>38.488799999999998</v>
      </c>
      <c r="N160" s="343"/>
      <c r="O160" s="343"/>
      <c r="P160" s="343"/>
      <c r="Q160" s="343"/>
      <c r="R160" s="343"/>
      <c r="S160" s="343"/>
      <c r="T160" s="343">
        <f>150/89.7</f>
        <v>1.6722408026755853</v>
      </c>
      <c r="U160" s="344">
        <f>'Daily Tekrit'!$J160+'Daily Tekrit'!$M160+SUM($N160:$T160)</f>
        <v>247.32904080267559</v>
      </c>
      <c r="V160" s="306"/>
      <c r="W160" s="374"/>
      <c r="X160" s="354">
        <f>20*1.328</f>
        <v>26.560000000000002</v>
      </c>
      <c r="Y160" s="354">
        <v>5</v>
      </c>
      <c r="Z160" s="346"/>
      <c r="AA160" s="347"/>
      <c r="AB160" s="347"/>
      <c r="AC160" s="347"/>
      <c r="AD160" s="348">
        <f t="shared" si="2"/>
        <v>0</v>
      </c>
      <c r="AE160" s="349"/>
      <c r="AF160" s="349"/>
      <c r="AG160" s="349"/>
      <c r="AH160" s="349"/>
      <c r="AI160" s="349"/>
      <c r="AJ160" s="349"/>
      <c r="AK160" s="349"/>
      <c r="AL160" s="349"/>
      <c r="AM160" s="350">
        <f t="shared" si="10"/>
        <v>0</v>
      </c>
      <c r="AN160" s="349"/>
      <c r="AO160" s="351">
        <f t="shared" si="9"/>
        <v>31.560000000000002</v>
      </c>
      <c r="AP160" s="352"/>
      <c r="AQ160" s="306"/>
      <c r="AR160" s="353">
        <f t="shared" si="11"/>
        <v>215.76904080267559</v>
      </c>
      <c r="AS160" s="239"/>
      <c r="AT160" s="239"/>
      <c r="AU160" s="239"/>
    </row>
    <row r="161" spans="1:47" x14ac:dyDescent="0.35">
      <c r="A161" s="332">
        <v>46134</v>
      </c>
      <c r="B161" s="371"/>
      <c r="C161" s="372">
        <f>'ODOMETERS Tekrit'!J157</f>
        <v>201</v>
      </c>
      <c r="D161" s="334">
        <v>1.3280000000000001</v>
      </c>
      <c r="E161" s="335">
        <f>'Daily Tekrit'!$C161*'Daily Tekrit'!$D161</f>
        <v>266.928</v>
      </c>
      <c r="F161" s="336">
        <f>'ODOMETERS Tekrit'!K157</f>
        <v>185</v>
      </c>
      <c r="G161" s="334">
        <v>1.3280000000000001</v>
      </c>
      <c r="H161" s="335">
        <f>'Daily Tekrit'!$F161*'Daily Tekrit'!$G161</f>
        <v>245.68</v>
      </c>
      <c r="I161" s="336">
        <f>'Daily Tekrit'!$C161+'Daily Tekrit'!$F161</f>
        <v>386</v>
      </c>
      <c r="J161" s="337">
        <f>'Daily Tekrit'!$E161+'Daily Tekrit'!$H161</f>
        <v>512.60799999999995</v>
      </c>
      <c r="K161" s="338">
        <f>'ODOMETERS Tekrit'!L157</f>
        <v>167</v>
      </c>
      <c r="L161" s="339">
        <v>1.3746</v>
      </c>
      <c r="M161" s="340">
        <f>'Daily Tekrit'!$K161*'Daily Tekrit'!$L161</f>
        <v>229.5582</v>
      </c>
      <c r="N161" s="343">
        <f>200/89.7+350/89.7</f>
        <v>6.1315496098104791</v>
      </c>
      <c r="O161" s="343"/>
      <c r="P161" s="343"/>
      <c r="Q161" s="343"/>
      <c r="R161" s="343"/>
      <c r="S161" s="343">
        <v>40</v>
      </c>
      <c r="T161" s="343"/>
      <c r="U161" s="344">
        <f>'Daily Tekrit'!$J161+'Daily Tekrit'!$M161+SUM($N161:$T161)</f>
        <v>788.29774960981035</v>
      </c>
      <c r="V161" s="306"/>
      <c r="W161" s="374"/>
      <c r="X161" s="354"/>
      <c r="Y161" s="354">
        <v>1.5</v>
      </c>
      <c r="Z161" s="346"/>
      <c r="AA161" s="347"/>
      <c r="AB161" s="347"/>
      <c r="AC161" s="347"/>
      <c r="AD161" s="348">
        <f t="shared" si="2"/>
        <v>0</v>
      </c>
      <c r="AE161" s="349"/>
      <c r="AF161" s="349"/>
      <c r="AG161" s="349"/>
      <c r="AH161" s="349">
        <v>8</v>
      </c>
      <c r="AI161" s="349"/>
      <c r="AJ161" s="349">
        <f>300/89.7</f>
        <v>3.3444816053511706</v>
      </c>
      <c r="AK161" s="349"/>
      <c r="AL161" s="349"/>
      <c r="AM161" s="350">
        <f t="shared" si="10"/>
        <v>11.34448160535117</v>
      </c>
      <c r="AN161" s="349"/>
      <c r="AO161" s="351">
        <f t="shared" si="9"/>
        <v>12.84448160535117</v>
      </c>
      <c r="AP161" s="352"/>
      <c r="AQ161" s="306"/>
      <c r="AR161" s="353">
        <f t="shared" si="11"/>
        <v>775.45326800445923</v>
      </c>
      <c r="AS161" s="239"/>
      <c r="AT161" s="239"/>
      <c r="AU161" s="239"/>
    </row>
    <row r="162" spans="1:47" x14ac:dyDescent="0.35">
      <c r="A162" s="332">
        <v>46135</v>
      </c>
      <c r="B162" s="371"/>
      <c r="C162" s="372">
        <f>'ODOMETERS Tekrit'!J158</f>
        <v>112</v>
      </c>
      <c r="D162" s="334">
        <v>1.3280000000000001</v>
      </c>
      <c r="E162" s="335">
        <f>'Daily Tekrit'!$C162*'Daily Tekrit'!$D162</f>
        <v>148.73600000000002</v>
      </c>
      <c r="F162" s="336">
        <f>'ODOMETERS Tekrit'!K158</f>
        <v>415</v>
      </c>
      <c r="G162" s="334">
        <v>1.3280000000000001</v>
      </c>
      <c r="H162" s="335">
        <f>'Daily Tekrit'!$F162*'Daily Tekrit'!$G162</f>
        <v>551.12</v>
      </c>
      <c r="I162" s="336">
        <f>'Daily Tekrit'!$C162+'Daily Tekrit'!$F162</f>
        <v>527</v>
      </c>
      <c r="J162" s="337">
        <f>'Daily Tekrit'!$E162+'Daily Tekrit'!$H162</f>
        <v>699.85599999999999</v>
      </c>
      <c r="K162" s="338">
        <f>'ODOMETERS Tekrit'!L158</f>
        <v>2588</v>
      </c>
      <c r="L162" s="339">
        <v>1.3746</v>
      </c>
      <c r="M162" s="340">
        <f>'Daily Tekrit'!$K162*'Daily Tekrit'!$L162</f>
        <v>3557.4648000000002</v>
      </c>
      <c r="N162" s="343">
        <f>300/89.7</f>
        <v>3.3444816053511706</v>
      </c>
      <c r="O162" s="343"/>
      <c r="P162" s="343"/>
      <c r="Q162" s="343"/>
      <c r="R162" s="343"/>
      <c r="S162" s="343"/>
      <c r="T162" s="343"/>
      <c r="U162" s="344">
        <f>'Daily Tekrit'!$J162+'Daily Tekrit'!$M162+SUM($N162:$T162)</f>
        <v>4260.665281605352</v>
      </c>
      <c r="V162" s="306"/>
      <c r="W162" s="374">
        <f>20+30+2500*1.3746</f>
        <v>3486.5</v>
      </c>
      <c r="X162" s="354"/>
      <c r="Y162" s="354">
        <v>4</v>
      </c>
      <c r="Z162" s="346"/>
      <c r="AA162" s="347"/>
      <c r="AB162" s="347"/>
      <c r="AC162" s="347"/>
      <c r="AD162" s="348">
        <f t="shared" si="2"/>
        <v>0</v>
      </c>
      <c r="AE162" s="349"/>
      <c r="AF162" s="349"/>
      <c r="AG162" s="349"/>
      <c r="AH162" s="349">
        <v>8</v>
      </c>
      <c r="AI162" s="349"/>
      <c r="AJ162" s="349"/>
      <c r="AK162" s="349"/>
      <c r="AL162" s="349"/>
      <c r="AM162" s="350">
        <f t="shared" si="10"/>
        <v>8</v>
      </c>
      <c r="AN162" s="349"/>
      <c r="AO162" s="351">
        <f t="shared" si="9"/>
        <v>3498.5</v>
      </c>
      <c r="AP162" s="352"/>
      <c r="AQ162" s="306"/>
      <c r="AR162" s="353">
        <f t="shared" si="11"/>
        <v>762.16528160535199</v>
      </c>
      <c r="AS162" s="239"/>
      <c r="AT162" s="239"/>
      <c r="AU162" s="239"/>
    </row>
    <row r="163" spans="1:47" x14ac:dyDescent="0.35">
      <c r="A163" s="332">
        <v>46136</v>
      </c>
      <c r="B163" s="371" t="s">
        <v>24</v>
      </c>
      <c r="C163" s="372">
        <f>'ODOMETERS Tekrit'!J159</f>
        <v>252</v>
      </c>
      <c r="D163" s="334">
        <v>1.3280000000000001</v>
      </c>
      <c r="E163" s="335">
        <f>'Daily Tekrit'!$C163*'Daily Tekrit'!$D163</f>
        <v>334.65600000000001</v>
      </c>
      <c r="F163" s="336">
        <f>'ODOMETERS Tekrit'!K159</f>
        <v>176</v>
      </c>
      <c r="G163" s="334">
        <v>1.3280000000000001</v>
      </c>
      <c r="H163" s="335">
        <f>'Daily Tekrit'!$F163*'Daily Tekrit'!$G163</f>
        <v>233.72800000000001</v>
      </c>
      <c r="I163" s="336">
        <f>'Daily Tekrit'!$C163+'Daily Tekrit'!$F163</f>
        <v>428</v>
      </c>
      <c r="J163" s="337">
        <f>'Daily Tekrit'!$E163+'Daily Tekrit'!$H163</f>
        <v>568.38400000000001</v>
      </c>
      <c r="K163" s="338">
        <f>'ODOMETERS Tekrit'!L159</f>
        <v>65</v>
      </c>
      <c r="L163" s="339">
        <v>1.3746</v>
      </c>
      <c r="M163" s="340">
        <f>'Daily Tekrit'!$K163*'Daily Tekrit'!$L163</f>
        <v>89.349000000000004</v>
      </c>
      <c r="N163" s="343">
        <f>700/89.7</f>
        <v>7.8037904124860642</v>
      </c>
      <c r="O163" s="343"/>
      <c r="P163" s="343"/>
      <c r="Q163" s="343"/>
      <c r="R163" s="343"/>
      <c r="S163" s="343"/>
      <c r="T163" s="343"/>
      <c r="U163" s="344">
        <f>'Daily Tekrit'!$J163+'Daily Tekrit'!$M163+SUM($N163:$T163)</f>
        <v>665.53679041248608</v>
      </c>
      <c r="V163" s="306"/>
      <c r="W163" s="374"/>
      <c r="X163" s="354"/>
      <c r="Y163" s="354"/>
      <c r="Z163" s="346"/>
      <c r="AA163" s="347"/>
      <c r="AB163" s="347"/>
      <c r="AC163" s="347"/>
      <c r="AD163" s="348">
        <f t="shared" si="2"/>
        <v>0</v>
      </c>
      <c r="AE163" s="349"/>
      <c r="AF163" s="349"/>
      <c r="AG163" s="349"/>
      <c r="AH163" s="349">
        <v>8</v>
      </c>
      <c r="AI163" s="349"/>
      <c r="AJ163" s="349"/>
      <c r="AK163" s="349"/>
      <c r="AL163" s="349"/>
      <c r="AM163" s="350">
        <f t="shared" si="10"/>
        <v>8</v>
      </c>
      <c r="AN163" s="349"/>
      <c r="AO163" s="351">
        <f t="shared" si="9"/>
        <v>8</v>
      </c>
      <c r="AP163" s="352"/>
      <c r="AQ163" s="306"/>
      <c r="AR163" s="353">
        <f t="shared" si="11"/>
        <v>657.53679041248608</v>
      </c>
      <c r="AS163" s="239"/>
      <c r="AT163" s="239"/>
      <c r="AU163" s="239"/>
    </row>
    <row r="164" spans="1:47" x14ac:dyDescent="0.35">
      <c r="A164" s="332">
        <v>46136</v>
      </c>
      <c r="B164" s="371" t="s">
        <v>25</v>
      </c>
      <c r="C164" s="372">
        <f>'ODOMETERS Tekrit'!J160</f>
        <v>99</v>
      </c>
      <c r="D164" s="334">
        <v>1.3254999999999999</v>
      </c>
      <c r="E164" s="335">
        <f>'Daily Tekrit'!$C164*'Daily Tekrit'!$D164</f>
        <v>131.22449999999998</v>
      </c>
      <c r="F164" s="336">
        <f>'ODOMETERS Tekrit'!K160</f>
        <v>19</v>
      </c>
      <c r="G164" s="334">
        <v>1.3254999999999999</v>
      </c>
      <c r="H164" s="335">
        <f>'Daily Tekrit'!$F164*'Daily Tekrit'!$G164</f>
        <v>25.1845</v>
      </c>
      <c r="I164" s="336">
        <f>'Daily Tekrit'!$C164+'Daily Tekrit'!$F164</f>
        <v>118</v>
      </c>
      <c r="J164" s="337">
        <f>'Daily Tekrit'!$E164+'Daily Tekrit'!$H164</f>
        <v>156.40899999999999</v>
      </c>
      <c r="K164" s="338">
        <f>'ODOMETERS Tekrit'!L160</f>
        <v>19</v>
      </c>
      <c r="L164" s="339">
        <v>1.3416999999999999</v>
      </c>
      <c r="M164" s="340">
        <f>'Daily Tekrit'!$K164*'Daily Tekrit'!$L164</f>
        <v>25.492299999999997</v>
      </c>
      <c r="N164" s="343">
        <f>300/89.7</f>
        <v>3.3444816053511706</v>
      </c>
      <c r="O164" s="343">
        <f>600/89.7</f>
        <v>6.6889632107023411</v>
      </c>
      <c r="P164" s="343"/>
      <c r="Q164" s="343"/>
      <c r="R164" s="343"/>
      <c r="S164" s="343"/>
      <c r="T164" s="343"/>
      <c r="U164" s="344">
        <f>'Daily Tekrit'!$J164+'Daily Tekrit'!$M164+SUM($N164:$T164)</f>
        <v>191.9347448160535</v>
      </c>
      <c r="V164" s="306"/>
      <c r="W164" s="374"/>
      <c r="X164" s="354">
        <f>18*1.3255</f>
        <v>23.858999999999998</v>
      </c>
      <c r="Y164" s="354"/>
      <c r="Z164" s="346"/>
      <c r="AA164" s="347"/>
      <c r="AB164" s="347"/>
      <c r="AC164" s="347"/>
      <c r="AD164" s="348">
        <f t="shared" si="2"/>
        <v>0</v>
      </c>
      <c r="AE164" s="349"/>
      <c r="AF164" s="349"/>
      <c r="AG164" s="349"/>
      <c r="AH164" s="349"/>
      <c r="AI164" s="349"/>
      <c r="AJ164" s="349"/>
      <c r="AK164" s="349"/>
      <c r="AL164" s="349"/>
      <c r="AM164" s="350">
        <f t="shared" si="10"/>
        <v>0</v>
      </c>
      <c r="AN164" s="349"/>
      <c r="AO164" s="351">
        <f t="shared" si="9"/>
        <v>23.858999999999998</v>
      </c>
      <c r="AP164" s="352"/>
      <c r="AQ164" s="306"/>
      <c r="AR164" s="353">
        <f t="shared" si="11"/>
        <v>168.07574481605349</v>
      </c>
      <c r="AS164" s="239"/>
      <c r="AT164" s="239"/>
      <c r="AU164" s="239"/>
    </row>
    <row r="165" spans="1:47" x14ac:dyDescent="0.35">
      <c r="A165" s="332">
        <v>46137</v>
      </c>
      <c r="B165" s="371"/>
      <c r="C165" s="372">
        <f>'ODOMETERS Tekrit'!J161</f>
        <v>495</v>
      </c>
      <c r="D165" s="334">
        <v>1.3254999999999999</v>
      </c>
      <c r="E165" s="335">
        <f>'Daily Tekrit'!$C165*'Daily Tekrit'!$D165</f>
        <v>656.12249999999995</v>
      </c>
      <c r="F165" s="336">
        <f>'ODOMETERS Tekrit'!K161</f>
        <v>0</v>
      </c>
      <c r="G165" s="334">
        <v>1.3254999999999999</v>
      </c>
      <c r="H165" s="335">
        <f>'Daily Tekrit'!$F165*'Daily Tekrit'!$G165</f>
        <v>0</v>
      </c>
      <c r="I165" s="336">
        <f>'Daily Tekrit'!$C165+'Daily Tekrit'!$F165</f>
        <v>495</v>
      </c>
      <c r="J165" s="337">
        <f>'Daily Tekrit'!$E165+'Daily Tekrit'!$H165</f>
        <v>656.12249999999995</v>
      </c>
      <c r="K165" s="338">
        <f>'ODOMETERS Tekrit'!L161</f>
        <v>72</v>
      </c>
      <c r="L165" s="339">
        <v>1.3416999999999999</v>
      </c>
      <c r="M165" s="340">
        <f>'Daily Tekrit'!$K165*'Daily Tekrit'!$L165</f>
        <v>96.602399999999989</v>
      </c>
      <c r="N165" s="343">
        <f>200/89.7+350/89.7</f>
        <v>6.1315496098104791</v>
      </c>
      <c r="O165" s="343">
        <f>300/89.7</f>
        <v>3.3444816053511706</v>
      </c>
      <c r="P165" s="343"/>
      <c r="Q165" s="343"/>
      <c r="R165" s="343"/>
      <c r="S165" s="343"/>
      <c r="T165" s="343"/>
      <c r="U165" s="344">
        <f>'Daily Tekrit'!$J165+'Daily Tekrit'!$M165+SUM($N165:$T165)</f>
        <v>762.20093121516163</v>
      </c>
      <c r="V165" s="306"/>
      <c r="W165" s="374"/>
      <c r="X165" s="354"/>
      <c r="Y165" s="354"/>
      <c r="Z165" s="346"/>
      <c r="AA165" s="347"/>
      <c r="AB165" s="347"/>
      <c r="AC165" s="347"/>
      <c r="AD165" s="348">
        <f t="shared" si="2"/>
        <v>0</v>
      </c>
      <c r="AE165" s="349"/>
      <c r="AF165" s="349"/>
      <c r="AG165" s="349"/>
      <c r="AH165" s="349">
        <v>8</v>
      </c>
      <c r="AI165" s="349"/>
      <c r="AJ165" s="349"/>
      <c r="AK165" s="349"/>
      <c r="AL165" s="349"/>
      <c r="AM165" s="350">
        <f t="shared" si="10"/>
        <v>8</v>
      </c>
      <c r="AN165" s="349"/>
      <c r="AO165" s="351">
        <f t="shared" si="9"/>
        <v>8</v>
      </c>
      <c r="AP165" s="352"/>
      <c r="AQ165" s="306"/>
      <c r="AR165" s="353">
        <f t="shared" si="11"/>
        <v>754.20093121516163</v>
      </c>
      <c r="AS165" s="239"/>
      <c r="AT165" s="239"/>
      <c r="AU165" s="239"/>
    </row>
    <row r="166" spans="1:47" x14ac:dyDescent="0.35">
      <c r="A166" s="332">
        <v>46138</v>
      </c>
      <c r="B166" s="371"/>
      <c r="C166" s="372">
        <f>'ODOMETERS Tekrit'!J162</f>
        <v>617</v>
      </c>
      <c r="D166" s="334">
        <v>1.3254999999999999</v>
      </c>
      <c r="E166" s="335">
        <f>'Daily Tekrit'!$C166*'Daily Tekrit'!$D166</f>
        <v>817.83349999999996</v>
      </c>
      <c r="F166" s="336">
        <f>'ODOMETERS Tekrit'!K162</f>
        <v>0</v>
      </c>
      <c r="G166" s="334">
        <v>1.3254999999999999</v>
      </c>
      <c r="H166" s="335">
        <f>'Daily Tekrit'!$F166*'Daily Tekrit'!$G166</f>
        <v>0</v>
      </c>
      <c r="I166" s="336">
        <f>'Daily Tekrit'!$C166+'Daily Tekrit'!$F166</f>
        <v>617</v>
      </c>
      <c r="J166" s="337">
        <f>'Daily Tekrit'!$E166+'Daily Tekrit'!$H166</f>
        <v>817.83349999999996</v>
      </c>
      <c r="K166" s="338">
        <f>'ODOMETERS Tekrit'!L162</f>
        <v>62</v>
      </c>
      <c r="L166" s="339">
        <v>1.3416999999999999</v>
      </c>
      <c r="M166" s="340">
        <f>'Daily Tekrit'!$K166*'Daily Tekrit'!$L166</f>
        <v>83.185399999999987</v>
      </c>
      <c r="N166" s="343">
        <f>200/89.7</f>
        <v>2.229654403567447</v>
      </c>
      <c r="O166" s="343"/>
      <c r="P166" s="343"/>
      <c r="Q166" s="343"/>
      <c r="R166" s="343"/>
      <c r="S166" s="343"/>
      <c r="T166" s="343"/>
      <c r="U166" s="344">
        <f>'Daily Tekrit'!$J166+'Daily Tekrit'!$M166+SUM($N166:$T166)</f>
        <v>903.24855440356737</v>
      </c>
      <c r="V166" s="306"/>
      <c r="W166" s="374"/>
      <c r="X166" s="354"/>
      <c r="Y166" s="354">
        <v>-1</v>
      </c>
      <c r="Z166" s="346"/>
      <c r="AA166" s="347"/>
      <c r="AB166" s="347"/>
      <c r="AC166" s="347"/>
      <c r="AD166" s="348">
        <f t="shared" si="2"/>
        <v>0</v>
      </c>
      <c r="AE166" s="349"/>
      <c r="AF166" s="349"/>
      <c r="AG166" s="349"/>
      <c r="AH166" s="349">
        <v>8</v>
      </c>
      <c r="AI166" s="349"/>
      <c r="AJ166" s="349"/>
      <c r="AK166" s="349"/>
      <c r="AL166" s="349"/>
      <c r="AM166" s="350">
        <f t="shared" si="10"/>
        <v>8</v>
      </c>
      <c r="AN166" s="349"/>
      <c r="AO166" s="351">
        <f t="shared" si="9"/>
        <v>7</v>
      </c>
      <c r="AP166" s="352"/>
      <c r="AQ166" s="306"/>
      <c r="AR166" s="353">
        <f t="shared" si="11"/>
        <v>896.24855440356737</v>
      </c>
      <c r="AS166" s="239"/>
      <c r="AT166" s="239"/>
      <c r="AU166" s="239"/>
    </row>
    <row r="167" spans="1:47" x14ac:dyDescent="0.35">
      <c r="A167" s="332">
        <v>46139</v>
      </c>
      <c r="B167" s="371"/>
      <c r="C167" s="372">
        <f>'ODOMETERS Tekrit'!J163</f>
        <v>562</v>
      </c>
      <c r="D167" s="334">
        <v>1.3254999999999999</v>
      </c>
      <c r="E167" s="335">
        <f>'Daily Tekrit'!$C167*'Daily Tekrit'!$D167</f>
        <v>744.93099999999993</v>
      </c>
      <c r="F167" s="336">
        <f>'ODOMETERS Tekrit'!K163</f>
        <v>0</v>
      </c>
      <c r="G167" s="334">
        <v>1.3254999999999999</v>
      </c>
      <c r="H167" s="335">
        <f>'Daily Tekrit'!$F167*'Daily Tekrit'!$G167</f>
        <v>0</v>
      </c>
      <c r="I167" s="336">
        <f>'Daily Tekrit'!$C167+'Daily Tekrit'!$F167</f>
        <v>562</v>
      </c>
      <c r="J167" s="337">
        <f>'Daily Tekrit'!$E167+'Daily Tekrit'!$H167</f>
        <v>744.93099999999993</v>
      </c>
      <c r="K167" s="338">
        <f>'ODOMETERS Tekrit'!L163</f>
        <v>32</v>
      </c>
      <c r="L167" s="339">
        <v>1.3416999999999999</v>
      </c>
      <c r="M167" s="340">
        <f>'Daily Tekrit'!$K167*'Daily Tekrit'!$L167</f>
        <v>42.934399999999997</v>
      </c>
      <c r="N167" s="343"/>
      <c r="O167" s="343"/>
      <c r="P167" s="343"/>
      <c r="Q167" s="343"/>
      <c r="R167" s="343"/>
      <c r="S167" s="343"/>
      <c r="T167" s="343"/>
      <c r="U167" s="344">
        <f>'Daily Tekrit'!$J167+'Daily Tekrit'!$M167+SUM($N167:$T167)</f>
        <v>787.86539999999991</v>
      </c>
      <c r="V167" s="306"/>
      <c r="W167" s="374">
        <v>10</v>
      </c>
      <c r="X167" s="354"/>
      <c r="Y167" s="354"/>
      <c r="Z167" s="346"/>
      <c r="AA167" s="347"/>
      <c r="AB167" s="347"/>
      <c r="AC167" s="347"/>
      <c r="AD167" s="348">
        <f t="shared" si="2"/>
        <v>0</v>
      </c>
      <c r="AE167" s="349"/>
      <c r="AF167" s="349">
        <v>5</v>
      </c>
      <c r="AG167" s="349">
        <f>9*1.3255</f>
        <v>11.929499999999999</v>
      </c>
      <c r="AH167" s="349">
        <v>8</v>
      </c>
      <c r="AI167" s="349"/>
      <c r="AJ167" s="349">
        <f>300/89.7</f>
        <v>3.3444816053511706</v>
      </c>
      <c r="AK167" s="349"/>
      <c r="AL167" s="349"/>
      <c r="AM167" s="350">
        <f t="shared" si="10"/>
        <v>28.273981605351167</v>
      </c>
      <c r="AN167" s="349"/>
      <c r="AO167" s="351">
        <f t="shared" si="9"/>
        <v>38.273981605351167</v>
      </c>
      <c r="AP167" s="352"/>
      <c r="AQ167" s="306"/>
      <c r="AR167" s="353">
        <f t="shared" si="11"/>
        <v>749.59141839464871</v>
      </c>
      <c r="AS167" s="239"/>
      <c r="AT167" s="239"/>
      <c r="AU167" s="239"/>
    </row>
    <row r="168" spans="1:47" x14ac:dyDescent="0.35">
      <c r="A168" s="332">
        <v>46140</v>
      </c>
      <c r="B168" s="371"/>
      <c r="C168" s="372">
        <f>'ODOMETERS Tekrit'!J164</f>
        <v>45</v>
      </c>
      <c r="D168" s="334">
        <v>1.3254999999999999</v>
      </c>
      <c r="E168" s="335">
        <f>'Daily Tekrit'!$C168*'Daily Tekrit'!$D168</f>
        <v>59.647499999999994</v>
      </c>
      <c r="F168" s="336">
        <f>'ODOMETERS Tekrit'!K164</f>
        <v>0</v>
      </c>
      <c r="G168" s="334">
        <v>1.3254999999999999</v>
      </c>
      <c r="H168" s="335">
        <f>'Daily Tekrit'!$F168*'Daily Tekrit'!$G168</f>
        <v>0</v>
      </c>
      <c r="I168" s="336">
        <f>'Daily Tekrit'!$C168+'Daily Tekrit'!$F168</f>
        <v>45</v>
      </c>
      <c r="J168" s="337">
        <f>'Daily Tekrit'!$E168+'Daily Tekrit'!$H168</f>
        <v>59.647499999999994</v>
      </c>
      <c r="K168" s="338">
        <f>'ODOMETERS Tekrit'!L164</f>
        <v>33</v>
      </c>
      <c r="L168" s="339">
        <v>1.3416999999999999</v>
      </c>
      <c r="M168" s="340">
        <f>'Daily Tekrit'!$K168*'Daily Tekrit'!$L168</f>
        <v>44.2761</v>
      </c>
      <c r="N168" s="343"/>
      <c r="O168" s="343"/>
      <c r="P168" s="343"/>
      <c r="Q168" s="343"/>
      <c r="R168" s="343"/>
      <c r="S168" s="343"/>
      <c r="T168" s="343"/>
      <c r="U168" s="344">
        <f>'Daily Tekrit'!$J168+'Daily Tekrit'!$M168+SUM($N168:$T168)</f>
        <v>103.92359999999999</v>
      </c>
      <c r="V168" s="306"/>
      <c r="W168" s="374">
        <v>30</v>
      </c>
      <c r="X168" s="354"/>
      <c r="Y168" s="354"/>
      <c r="Z168" s="346"/>
      <c r="AA168" s="347"/>
      <c r="AB168" s="347"/>
      <c r="AC168" s="347"/>
      <c r="AD168" s="348">
        <f t="shared" si="2"/>
        <v>0</v>
      </c>
      <c r="AE168" s="349"/>
      <c r="AF168" s="349"/>
      <c r="AG168" s="349"/>
      <c r="AH168" s="349">
        <f>8*3</f>
        <v>24</v>
      </c>
      <c r="AI168" s="349"/>
      <c r="AJ168" s="349"/>
      <c r="AK168" s="349"/>
      <c r="AL168" s="349"/>
      <c r="AM168" s="350">
        <f t="shared" si="10"/>
        <v>24</v>
      </c>
      <c r="AN168" s="349"/>
      <c r="AO168" s="351">
        <f t="shared" si="9"/>
        <v>54</v>
      </c>
      <c r="AP168" s="352"/>
      <c r="AQ168" s="306"/>
      <c r="AR168" s="353">
        <f t="shared" si="11"/>
        <v>49.923599999999993</v>
      </c>
      <c r="AS168" s="239"/>
      <c r="AT168" s="239"/>
      <c r="AU168" s="239"/>
    </row>
    <row r="169" spans="1:47" x14ac:dyDescent="0.35">
      <c r="A169" s="332">
        <v>46143</v>
      </c>
      <c r="B169" s="371"/>
      <c r="C169" s="372">
        <f>'ODOMETERS Tekrit'!J165</f>
        <v>100</v>
      </c>
      <c r="D169" s="334">
        <v>1.333</v>
      </c>
      <c r="E169" s="335">
        <f>'Daily Tekrit'!$C169*'Daily Tekrit'!$D169</f>
        <v>133.29999999999998</v>
      </c>
      <c r="F169" s="336">
        <f>'ODOMETERS Tekrit'!K165</f>
        <v>90</v>
      </c>
      <c r="G169" s="334">
        <v>1.333</v>
      </c>
      <c r="H169" s="335">
        <f>'Daily Tekrit'!$F169*'Daily Tekrit'!$G169</f>
        <v>119.97</v>
      </c>
      <c r="I169" s="336">
        <f>'Daily Tekrit'!$C169+'Daily Tekrit'!$F169</f>
        <v>190</v>
      </c>
      <c r="J169" s="337">
        <f>'Daily Tekrit'!$E169+'Daily Tekrit'!$H169</f>
        <v>253.26999999999998</v>
      </c>
      <c r="K169" s="338">
        <f>'ODOMETERS Tekrit'!L165</f>
        <v>11</v>
      </c>
      <c r="L169" s="339">
        <v>1.2988</v>
      </c>
      <c r="M169" s="340">
        <f>'Daily Tekrit'!$K169*'Daily Tekrit'!$L169</f>
        <v>14.286799999999999</v>
      </c>
      <c r="N169" s="343"/>
      <c r="O169" s="343"/>
      <c r="P169" s="343"/>
      <c r="Q169" s="343"/>
      <c r="R169" s="343"/>
      <c r="S169" s="343"/>
      <c r="T169" s="343"/>
      <c r="U169" s="344">
        <f>'Daily Tekrit'!$J169+'Daily Tekrit'!$M169+SUM($N169:$T169)</f>
        <v>267.55679999999995</v>
      </c>
      <c r="V169" s="306"/>
      <c r="W169" s="374">
        <f>66</f>
        <v>66</v>
      </c>
      <c r="X169" s="354"/>
      <c r="Y169" s="354">
        <v>-1</v>
      </c>
      <c r="Z169" s="346"/>
      <c r="AA169" s="347"/>
      <c r="AB169" s="347"/>
      <c r="AC169" s="347"/>
      <c r="AD169" s="348">
        <f t="shared" si="2"/>
        <v>0</v>
      </c>
      <c r="AE169" s="349"/>
      <c r="AF169" s="349"/>
      <c r="AG169" s="349">
        <f>7*1.333</f>
        <v>9.3309999999999995</v>
      </c>
      <c r="AH169" s="349">
        <f>100/89.7</f>
        <v>1.1148272017837235</v>
      </c>
      <c r="AI169" s="349"/>
      <c r="AJ169" s="349"/>
      <c r="AK169" s="349"/>
      <c r="AL169" s="349"/>
      <c r="AM169" s="350">
        <f t="shared" si="10"/>
        <v>10.445827201783723</v>
      </c>
      <c r="AN169" s="349"/>
      <c r="AO169" s="351">
        <f t="shared" si="9"/>
        <v>75.445827201783729</v>
      </c>
      <c r="AP169" s="352"/>
      <c r="AQ169" s="306"/>
      <c r="AR169" s="353">
        <f t="shared" si="11"/>
        <v>192.11097279821621</v>
      </c>
      <c r="AS169" s="239"/>
      <c r="AT169" s="239"/>
      <c r="AU169" s="239"/>
    </row>
    <row r="170" spans="1:47" x14ac:dyDescent="0.35">
      <c r="A170" s="332">
        <v>46144</v>
      </c>
      <c r="B170" s="371"/>
      <c r="C170" s="372">
        <f>'ODOMETERS Tekrit'!J166</f>
        <v>130</v>
      </c>
      <c r="D170" s="334">
        <v>1.333</v>
      </c>
      <c r="E170" s="335">
        <f>'Daily Tekrit'!$C170*'Daily Tekrit'!$D170</f>
        <v>173.29</v>
      </c>
      <c r="F170" s="336">
        <f>'ODOMETERS Tekrit'!K166</f>
        <v>325</v>
      </c>
      <c r="G170" s="334">
        <v>1.333</v>
      </c>
      <c r="H170" s="335">
        <f>'Daily Tekrit'!$F170*'Daily Tekrit'!$G170</f>
        <v>433.22499999999997</v>
      </c>
      <c r="I170" s="336">
        <f>'Daily Tekrit'!$C170+'Daily Tekrit'!$F170</f>
        <v>455</v>
      </c>
      <c r="J170" s="337">
        <f>'Daily Tekrit'!$E170+'Daily Tekrit'!$H170</f>
        <v>606.51499999999999</v>
      </c>
      <c r="K170" s="338">
        <f>'ODOMETERS Tekrit'!L166</f>
        <v>55</v>
      </c>
      <c r="L170" s="339">
        <v>1.2988</v>
      </c>
      <c r="M170" s="340">
        <f>'Daily Tekrit'!$K170*'Daily Tekrit'!$L170</f>
        <v>71.433999999999997</v>
      </c>
      <c r="N170" s="343">
        <f>650/89.7</f>
        <v>7.2463768115942031</v>
      </c>
      <c r="O170" s="343"/>
      <c r="P170" s="343"/>
      <c r="Q170" s="343"/>
      <c r="R170" s="343"/>
      <c r="S170" s="343">
        <v>30</v>
      </c>
      <c r="T170" s="343"/>
      <c r="U170" s="344">
        <f>'Daily Tekrit'!$J170+'Daily Tekrit'!$M170+SUM($N170:$T170)</f>
        <v>715.1953768115942</v>
      </c>
      <c r="V170" s="306"/>
      <c r="W170" s="374"/>
      <c r="X170" s="354"/>
      <c r="Y170" s="354"/>
      <c r="Z170" s="346"/>
      <c r="AA170" s="347"/>
      <c r="AB170" s="347"/>
      <c r="AC170" s="347"/>
      <c r="AD170" s="348">
        <f t="shared" si="2"/>
        <v>0</v>
      </c>
      <c r="AE170" s="349"/>
      <c r="AF170" s="349"/>
      <c r="AG170" s="349"/>
      <c r="AH170" s="349">
        <v>8</v>
      </c>
      <c r="AI170" s="349"/>
      <c r="AJ170" s="349"/>
      <c r="AK170" s="349"/>
      <c r="AL170" s="349"/>
      <c r="AM170" s="350">
        <f t="shared" si="10"/>
        <v>8</v>
      </c>
      <c r="AN170" s="349"/>
      <c r="AO170" s="351">
        <f t="shared" si="9"/>
        <v>8</v>
      </c>
      <c r="AP170" s="352"/>
      <c r="AQ170" s="306"/>
      <c r="AR170" s="353">
        <f t="shared" si="11"/>
        <v>707.1953768115942</v>
      </c>
      <c r="AS170" s="239"/>
      <c r="AT170" s="239"/>
      <c r="AU170" s="239"/>
    </row>
    <row r="171" spans="1:47" x14ac:dyDescent="0.35">
      <c r="A171" s="332">
        <v>46145</v>
      </c>
      <c r="B171" s="371"/>
      <c r="C171" s="372">
        <f>'ODOMETERS Tekrit'!J167</f>
        <v>71</v>
      </c>
      <c r="D171" s="334">
        <v>1.333</v>
      </c>
      <c r="E171" s="335">
        <f>'Daily Tekrit'!$C171*'Daily Tekrit'!$D171</f>
        <v>94.643000000000001</v>
      </c>
      <c r="F171" s="336">
        <f>'ODOMETERS Tekrit'!K167</f>
        <v>461</v>
      </c>
      <c r="G171" s="334">
        <v>1.333</v>
      </c>
      <c r="H171" s="335">
        <f>'Daily Tekrit'!$F171*'Daily Tekrit'!$G171</f>
        <v>614.51300000000003</v>
      </c>
      <c r="I171" s="336">
        <f>'Daily Tekrit'!$C171+'Daily Tekrit'!$F171</f>
        <v>532</v>
      </c>
      <c r="J171" s="337">
        <f>'Daily Tekrit'!$E171+'Daily Tekrit'!$H171</f>
        <v>709.15600000000006</v>
      </c>
      <c r="K171" s="338">
        <f>'ODOMETERS Tekrit'!L167</f>
        <v>2081</v>
      </c>
      <c r="L171" s="339">
        <v>1.2988</v>
      </c>
      <c r="M171" s="340">
        <f>'Daily Tekrit'!$K171*'Daily Tekrit'!$L171</f>
        <v>2702.8027999999999</v>
      </c>
      <c r="N171" s="343"/>
      <c r="O171" s="343"/>
      <c r="P171" s="343"/>
      <c r="Q171" s="343"/>
      <c r="R171" s="343"/>
      <c r="S171" s="343"/>
      <c r="T171" s="343">
        <f>50/89.7</f>
        <v>0.55741360089186176</v>
      </c>
      <c r="U171" s="344">
        <f>'Daily Tekrit'!$J171+'Daily Tekrit'!$M171+SUM($N171:$T171)</f>
        <v>3412.5162136008917</v>
      </c>
      <c r="V171" s="306"/>
      <c r="W171" s="374">
        <f>2000*1.2988+97</f>
        <v>2694.6</v>
      </c>
      <c r="X171" s="354">
        <f>10*1.333</f>
        <v>13.33</v>
      </c>
      <c r="Y171" s="354">
        <v>2</v>
      </c>
      <c r="Z171" s="346"/>
      <c r="AA171" s="347"/>
      <c r="AB171" s="347"/>
      <c r="AC171" s="347"/>
      <c r="AD171" s="348">
        <f t="shared" si="2"/>
        <v>0</v>
      </c>
      <c r="AE171" s="349"/>
      <c r="AF171" s="349">
        <v>145</v>
      </c>
      <c r="AG171" s="349">
        <v>20</v>
      </c>
      <c r="AH171" s="349">
        <f>16</f>
        <v>16</v>
      </c>
      <c r="AI171" s="349"/>
      <c r="AJ171" s="349"/>
      <c r="AK171" s="349"/>
      <c r="AL171" s="349"/>
      <c r="AM171" s="350">
        <f t="shared" si="10"/>
        <v>181</v>
      </c>
      <c r="AN171" s="349"/>
      <c r="AO171" s="351">
        <f>SUM(W171:Y171,AD171,AM171,AN171)</f>
        <v>2890.93</v>
      </c>
      <c r="AP171" s="352"/>
      <c r="AQ171" s="306"/>
      <c r="AR171" s="353">
        <f t="shared" si="11"/>
        <v>521.58621360089182</v>
      </c>
      <c r="AS171" s="239"/>
      <c r="AT171" s="239"/>
      <c r="AU171" s="239"/>
    </row>
    <row r="172" spans="1:47" x14ac:dyDescent="0.35">
      <c r="A172" s="332">
        <v>46146</v>
      </c>
      <c r="B172" s="371"/>
      <c r="C172" s="372">
        <f>'ODOMETERS Tekrit'!J168</f>
        <v>77</v>
      </c>
      <c r="D172" s="334">
        <v>1.333</v>
      </c>
      <c r="E172" s="335">
        <f>'Daily Tekrit'!$C172*'Daily Tekrit'!$D172</f>
        <v>102.64099999999999</v>
      </c>
      <c r="F172" s="336">
        <f>'ODOMETERS Tekrit'!K168</f>
        <v>411</v>
      </c>
      <c r="G172" s="334">
        <v>1.333</v>
      </c>
      <c r="H172" s="335">
        <f>'Daily Tekrit'!$F172*'Daily Tekrit'!$G172</f>
        <v>547.86299999999994</v>
      </c>
      <c r="I172" s="336">
        <f>'Daily Tekrit'!$C172+'Daily Tekrit'!$F172</f>
        <v>488</v>
      </c>
      <c r="J172" s="337">
        <f>'Daily Tekrit'!$E172+'Daily Tekrit'!$H172</f>
        <v>650.50399999999991</v>
      </c>
      <c r="K172" s="338">
        <f>'ODOMETERS Tekrit'!L168</f>
        <v>129</v>
      </c>
      <c r="L172" s="339">
        <v>1.2988</v>
      </c>
      <c r="M172" s="340">
        <f>'Daily Tekrit'!$K172*'Daily Tekrit'!$L172</f>
        <v>167.54519999999999</v>
      </c>
      <c r="N172" s="343">
        <f>600/89.7</f>
        <v>6.6889632107023411</v>
      </c>
      <c r="O172" s="343"/>
      <c r="P172" s="343"/>
      <c r="Q172" s="343"/>
      <c r="R172" s="343"/>
      <c r="S172" s="343"/>
      <c r="T172" s="343"/>
      <c r="U172" s="344">
        <f>'Daily Tekrit'!$J172+'Daily Tekrit'!$M172+SUM($N172:$T172)</f>
        <v>824.73816321070228</v>
      </c>
      <c r="V172" s="306"/>
      <c r="W172" s="374">
        <f>2450/89.7</f>
        <v>27.313266443701224</v>
      </c>
      <c r="X172" s="354"/>
      <c r="Y172" s="354">
        <v>-2</v>
      </c>
      <c r="Z172" s="346"/>
      <c r="AA172" s="347"/>
      <c r="AB172" s="347"/>
      <c r="AC172" s="347"/>
      <c r="AD172" s="348">
        <f t="shared" si="2"/>
        <v>0</v>
      </c>
      <c r="AE172" s="349"/>
      <c r="AF172" s="349"/>
      <c r="AG172" s="349"/>
      <c r="AH172" s="349">
        <v>8</v>
      </c>
      <c r="AI172" s="349"/>
      <c r="AJ172" s="349"/>
      <c r="AK172" s="349"/>
      <c r="AL172" s="349"/>
      <c r="AM172" s="350">
        <f t="shared" si="10"/>
        <v>8</v>
      </c>
      <c r="AN172" s="349"/>
      <c r="AO172" s="351">
        <f t="shared" si="9"/>
        <v>33.313266443701224</v>
      </c>
      <c r="AP172" s="352"/>
      <c r="AQ172" s="306"/>
      <c r="AR172" s="353">
        <f t="shared" si="11"/>
        <v>791.42489676700109</v>
      </c>
      <c r="AS172" s="239"/>
      <c r="AT172" s="239"/>
      <c r="AU172" s="239"/>
    </row>
    <row r="173" spans="1:47" x14ac:dyDescent="0.35">
      <c r="A173" s="332">
        <v>46147</v>
      </c>
      <c r="B173" s="371" t="s">
        <v>24</v>
      </c>
      <c r="C173" s="372">
        <f>'ODOMETERS Tekrit'!J169</f>
        <v>64</v>
      </c>
      <c r="D173" s="334">
        <v>1.333</v>
      </c>
      <c r="E173" s="335">
        <f>'Daily Tekrit'!$C173*'Daily Tekrit'!$D173</f>
        <v>85.311999999999998</v>
      </c>
      <c r="F173" s="336">
        <f>'ODOMETERS Tekrit'!K169</f>
        <v>297</v>
      </c>
      <c r="G173" s="334">
        <v>1.333</v>
      </c>
      <c r="H173" s="335">
        <f>'Daily Tekrit'!$F173*'Daily Tekrit'!$G173</f>
        <v>395.90100000000001</v>
      </c>
      <c r="I173" s="336">
        <f>'Daily Tekrit'!$C173+'Daily Tekrit'!$F173</f>
        <v>361</v>
      </c>
      <c r="J173" s="337">
        <f>'Daily Tekrit'!$E173+'Daily Tekrit'!$H173</f>
        <v>481.21300000000002</v>
      </c>
      <c r="K173" s="338">
        <f>'ODOMETERS Tekrit'!L169</f>
        <v>98</v>
      </c>
      <c r="L173" s="339">
        <v>1.2988</v>
      </c>
      <c r="M173" s="340">
        <f>'Daily Tekrit'!$K173*'Daily Tekrit'!$L173</f>
        <v>127.2824</v>
      </c>
      <c r="N173" s="343"/>
      <c r="O173" s="343"/>
      <c r="P173" s="343"/>
      <c r="Q173" s="343"/>
      <c r="R173" s="343"/>
      <c r="S173" s="343"/>
      <c r="T173" s="343"/>
      <c r="U173" s="344">
        <f>'Daily Tekrit'!$J173+'Daily Tekrit'!$M173+SUM($N173:$T173)</f>
        <v>608.49540000000002</v>
      </c>
      <c r="V173" s="306"/>
      <c r="W173" s="374">
        <v>20</v>
      </c>
      <c r="X173" s="354"/>
      <c r="Y173" s="354"/>
      <c r="Z173" s="346"/>
      <c r="AA173" s="347"/>
      <c r="AB173" s="347"/>
      <c r="AC173" s="347"/>
      <c r="AD173" s="348">
        <f t="shared" si="2"/>
        <v>0</v>
      </c>
      <c r="AE173" s="349"/>
      <c r="AF173" s="349"/>
      <c r="AG173" s="349"/>
      <c r="AH173" s="349">
        <v>8</v>
      </c>
      <c r="AI173" s="349"/>
      <c r="AJ173" s="349"/>
      <c r="AK173" s="349"/>
      <c r="AL173" s="349"/>
      <c r="AM173" s="350">
        <f t="shared" si="10"/>
        <v>8</v>
      </c>
      <c r="AN173" s="349"/>
      <c r="AO173" s="351">
        <f t="shared" si="9"/>
        <v>28</v>
      </c>
      <c r="AP173" s="352"/>
      <c r="AQ173" s="306"/>
      <c r="AR173" s="353">
        <f t="shared" si="11"/>
        <v>580.49540000000002</v>
      </c>
      <c r="AS173" s="239"/>
      <c r="AT173" s="239"/>
      <c r="AU173" s="239"/>
    </row>
    <row r="174" spans="1:47" x14ac:dyDescent="0.35">
      <c r="A174" s="332">
        <v>46147</v>
      </c>
      <c r="B174" s="371" t="s">
        <v>25</v>
      </c>
      <c r="C174" s="372">
        <f>'ODOMETERS Tekrit'!J170</f>
        <v>10</v>
      </c>
      <c r="D174" s="334">
        <v>1.369</v>
      </c>
      <c r="E174" s="335">
        <f>'Daily Tekrit'!$C174*'Daily Tekrit'!$D174</f>
        <v>13.69</v>
      </c>
      <c r="F174" s="336">
        <f>'ODOMETERS Tekrit'!K170</f>
        <v>136</v>
      </c>
      <c r="G174" s="334">
        <v>1.369</v>
      </c>
      <c r="H174" s="335">
        <f>'Daily Tekrit'!$F174*'Daily Tekrit'!$G174</f>
        <v>186.184</v>
      </c>
      <c r="I174" s="336">
        <f>'Daily Tekrit'!$C174+'Daily Tekrit'!$F174</f>
        <v>146</v>
      </c>
      <c r="J174" s="337">
        <f>'Daily Tekrit'!$E174+'Daily Tekrit'!$H174</f>
        <v>199.874</v>
      </c>
      <c r="K174" s="338">
        <f>'ODOMETERS Tekrit'!L170</f>
        <v>110</v>
      </c>
      <c r="L174" s="339">
        <v>1.2899</v>
      </c>
      <c r="M174" s="340">
        <f>'Daily Tekrit'!$K174*'Daily Tekrit'!$L174</f>
        <v>141.88900000000001</v>
      </c>
      <c r="N174" s="343"/>
      <c r="O174" s="343"/>
      <c r="P174" s="343"/>
      <c r="Q174" s="343"/>
      <c r="R174" s="343"/>
      <c r="S174" s="343"/>
      <c r="T174" s="343"/>
      <c r="U174" s="344">
        <f>'Daily Tekrit'!$J174+'Daily Tekrit'!$M174+SUM($N174:$T174)</f>
        <v>341.76300000000003</v>
      </c>
      <c r="V174" s="306"/>
      <c r="W174" s="374">
        <f>30+650/89.7</f>
        <v>37.246376811594203</v>
      </c>
      <c r="X174" s="354"/>
      <c r="Y174" s="354"/>
      <c r="Z174" s="346"/>
      <c r="AA174" s="347"/>
      <c r="AB174" s="347"/>
      <c r="AC174" s="347"/>
      <c r="AD174" s="348">
        <f t="shared" si="2"/>
        <v>0</v>
      </c>
      <c r="AE174" s="349"/>
      <c r="AF174" s="349"/>
      <c r="AG174" s="349"/>
      <c r="AH174" s="349"/>
      <c r="AI174" s="349"/>
      <c r="AJ174" s="349"/>
      <c r="AK174" s="349"/>
      <c r="AL174" s="349"/>
      <c r="AM174" s="350">
        <f t="shared" si="10"/>
        <v>0</v>
      </c>
      <c r="AN174" s="349"/>
      <c r="AO174" s="351">
        <f t="shared" si="9"/>
        <v>37.246376811594203</v>
      </c>
      <c r="AP174" s="352"/>
      <c r="AQ174" s="306"/>
      <c r="AR174" s="353">
        <f t="shared" si="11"/>
        <v>304.51662318840584</v>
      </c>
      <c r="AS174" s="239"/>
      <c r="AT174" s="239"/>
      <c r="AU174" s="239"/>
    </row>
    <row r="175" spans="1:47" x14ac:dyDescent="0.35">
      <c r="A175" s="332">
        <v>46148</v>
      </c>
      <c r="B175" s="371"/>
      <c r="C175" s="372">
        <f>'ODOMETERS Tekrit'!J171</f>
        <v>75</v>
      </c>
      <c r="D175" s="334">
        <v>1.369</v>
      </c>
      <c r="E175" s="335">
        <f>'Daily Tekrit'!$C175*'Daily Tekrit'!$D175</f>
        <v>102.675</v>
      </c>
      <c r="F175" s="336">
        <f>'ODOMETERS Tekrit'!K171</f>
        <v>168</v>
      </c>
      <c r="G175" s="334">
        <v>1.369</v>
      </c>
      <c r="H175" s="335">
        <f>'Daily Tekrit'!$F175*'Daily Tekrit'!$G175</f>
        <v>229.99199999999999</v>
      </c>
      <c r="I175" s="336">
        <f>'Daily Tekrit'!$C175+'Daily Tekrit'!$F175</f>
        <v>243</v>
      </c>
      <c r="J175" s="337">
        <f>'Daily Tekrit'!$E175+'Daily Tekrit'!$H175</f>
        <v>332.66699999999997</v>
      </c>
      <c r="K175" s="338">
        <f>'ODOMETERS Tekrit'!L171</f>
        <v>142</v>
      </c>
      <c r="L175" s="339">
        <v>1.2899</v>
      </c>
      <c r="M175" s="340">
        <f>'Daily Tekrit'!$K175*'Daily Tekrit'!$L175</f>
        <v>183.16580000000002</v>
      </c>
      <c r="N175" s="343">
        <f>300/89.7</f>
        <v>3.3444816053511706</v>
      </c>
      <c r="O175" s="343"/>
      <c r="P175" s="343"/>
      <c r="Q175" s="343"/>
      <c r="R175" s="343"/>
      <c r="S175" s="343"/>
      <c r="T175" s="343">
        <f>150/89.7</f>
        <v>1.6722408026755853</v>
      </c>
      <c r="U175" s="344">
        <f>'Daily Tekrit'!$J175+'Daily Tekrit'!$M175+SUM($N175:$T175)</f>
        <v>520.84952240802681</v>
      </c>
      <c r="V175" s="306"/>
      <c r="W175" s="374">
        <f>1100/89.7</f>
        <v>12.263099219620958</v>
      </c>
      <c r="X175" s="354">
        <f>20*1.3685</f>
        <v>27.37</v>
      </c>
      <c r="Y175" s="354"/>
      <c r="Z175" s="346"/>
      <c r="AA175" s="347"/>
      <c r="AB175" s="347"/>
      <c r="AC175" s="347"/>
      <c r="AD175" s="348">
        <f t="shared" si="2"/>
        <v>0</v>
      </c>
      <c r="AE175" s="349"/>
      <c r="AF175" s="349"/>
      <c r="AG175" s="349"/>
      <c r="AH175" s="349">
        <v>8</v>
      </c>
      <c r="AI175" s="349"/>
      <c r="AJ175" s="349"/>
      <c r="AK175" s="349"/>
      <c r="AL175" s="349"/>
      <c r="AM175" s="350">
        <f t="shared" si="10"/>
        <v>8</v>
      </c>
      <c r="AN175" s="349"/>
      <c r="AO175" s="351">
        <f t="shared" si="9"/>
        <v>47.633099219620959</v>
      </c>
      <c r="AP175" s="352"/>
      <c r="AQ175" s="306"/>
      <c r="AR175" s="353">
        <f t="shared" si="11"/>
        <v>473.21642318840588</v>
      </c>
      <c r="AS175" s="239"/>
      <c r="AT175" s="239"/>
      <c r="AU175" s="239"/>
    </row>
    <row r="176" spans="1:47" x14ac:dyDescent="0.35">
      <c r="A176" s="332">
        <v>46149</v>
      </c>
      <c r="B176" s="371"/>
      <c r="C176" s="372">
        <f>'ODOMETERS Tekrit'!J172</f>
        <v>76</v>
      </c>
      <c r="D176" s="334">
        <v>1.369</v>
      </c>
      <c r="E176" s="335">
        <f>'Daily Tekrit'!$C176*'Daily Tekrit'!$D176</f>
        <v>104.044</v>
      </c>
      <c r="F176" s="336">
        <f>'ODOMETERS Tekrit'!K172</f>
        <v>319</v>
      </c>
      <c r="G176" s="334">
        <v>1.369</v>
      </c>
      <c r="H176" s="335">
        <f>'Daily Tekrit'!$F176*'Daily Tekrit'!$G176</f>
        <v>436.71100000000001</v>
      </c>
      <c r="I176" s="336">
        <f>'Daily Tekrit'!$C176+'Daily Tekrit'!$F176</f>
        <v>395</v>
      </c>
      <c r="J176" s="337">
        <f>'Daily Tekrit'!$E176+'Daily Tekrit'!$H176</f>
        <v>540.755</v>
      </c>
      <c r="K176" s="338">
        <f>'ODOMETERS Tekrit'!L172</f>
        <v>169</v>
      </c>
      <c r="L176" s="339">
        <v>1.2899</v>
      </c>
      <c r="M176" s="340">
        <f>'Daily Tekrit'!$K176*'Daily Tekrit'!$L176</f>
        <v>217.9931</v>
      </c>
      <c r="N176" s="343">
        <f>700/89.7+350/89.7</f>
        <v>11.705685618729095</v>
      </c>
      <c r="O176" s="343"/>
      <c r="P176" s="343"/>
      <c r="Q176" s="343"/>
      <c r="R176" s="343"/>
      <c r="S176" s="343"/>
      <c r="T176" s="343"/>
      <c r="U176" s="344">
        <f>'Daily Tekrit'!$J176+'Daily Tekrit'!$M176+SUM($N176:$T176)</f>
        <v>770.45378561872917</v>
      </c>
      <c r="V176" s="306"/>
      <c r="W176" s="374">
        <f>22+1000/89.7</f>
        <v>33.148272017837236</v>
      </c>
      <c r="X176" s="354"/>
      <c r="Y176" s="354"/>
      <c r="Z176" s="346"/>
      <c r="AA176" s="347"/>
      <c r="AB176" s="347"/>
      <c r="AC176" s="347"/>
      <c r="AD176" s="348">
        <f t="shared" si="2"/>
        <v>0</v>
      </c>
      <c r="AE176" s="349"/>
      <c r="AF176" s="349"/>
      <c r="AG176" s="349"/>
      <c r="AH176" s="349">
        <v>8</v>
      </c>
      <c r="AI176" s="349"/>
      <c r="AJ176" s="349"/>
      <c r="AK176" s="349"/>
      <c r="AL176" s="349"/>
      <c r="AM176" s="350">
        <f t="shared" si="10"/>
        <v>8</v>
      </c>
      <c r="AN176" s="349"/>
      <c r="AO176" s="351">
        <f t="shared" si="9"/>
        <v>41.148272017837236</v>
      </c>
      <c r="AP176" s="352"/>
      <c r="AQ176" s="306"/>
      <c r="AR176" s="353">
        <f t="shared" si="11"/>
        <v>729.30551360089191</v>
      </c>
      <c r="AS176" s="239"/>
      <c r="AT176" s="239"/>
      <c r="AU176" s="239"/>
    </row>
    <row r="177" spans="1:47" x14ac:dyDescent="0.35">
      <c r="A177" s="332">
        <v>46150</v>
      </c>
      <c r="B177" s="371" t="s">
        <v>24</v>
      </c>
      <c r="C177" s="372">
        <f>'ODOMETERS Tekrit'!J173</f>
        <v>59</v>
      </c>
      <c r="D177" s="334">
        <v>1.369</v>
      </c>
      <c r="E177" s="335">
        <f>'Daily Tekrit'!$C177*'Daily Tekrit'!$D177</f>
        <v>80.771000000000001</v>
      </c>
      <c r="F177" s="336">
        <f>'ODOMETERS Tekrit'!K173</f>
        <v>296</v>
      </c>
      <c r="G177" s="334">
        <v>1.369</v>
      </c>
      <c r="H177" s="335">
        <f>'Daily Tekrit'!$F177*'Daily Tekrit'!$G177</f>
        <v>405.22399999999999</v>
      </c>
      <c r="I177" s="336">
        <f>'Daily Tekrit'!$C177+'Daily Tekrit'!$F177</f>
        <v>355</v>
      </c>
      <c r="J177" s="337">
        <f>'Daily Tekrit'!$E177+'Daily Tekrit'!$H177</f>
        <v>485.995</v>
      </c>
      <c r="K177" s="338">
        <f>'ODOMETERS Tekrit'!L173</f>
        <v>47</v>
      </c>
      <c r="L177" s="339">
        <v>1.2899</v>
      </c>
      <c r="M177" s="340">
        <f>'Daily Tekrit'!$K177*'Daily Tekrit'!$L177</f>
        <v>60.625300000000003</v>
      </c>
      <c r="N177" s="343"/>
      <c r="O177" s="343"/>
      <c r="P177" s="343"/>
      <c r="Q177" s="343"/>
      <c r="R177" s="343"/>
      <c r="S177" s="343">
        <f>2000/89.7</f>
        <v>22.296544035674469</v>
      </c>
      <c r="T177" s="343"/>
      <c r="U177" s="344">
        <f>'Daily Tekrit'!$J177+'Daily Tekrit'!$M177+SUM($N177:$T177)</f>
        <v>568.91684403567456</v>
      </c>
      <c r="V177" s="306"/>
      <c r="W177" s="374"/>
      <c r="X177" s="354">
        <f>28*1.3685</f>
        <v>38.317999999999998</v>
      </c>
      <c r="Y177" s="354"/>
      <c r="Z177" s="346"/>
      <c r="AA177" s="347"/>
      <c r="AB177" s="347"/>
      <c r="AC177" s="347"/>
      <c r="AD177" s="348">
        <f t="shared" si="2"/>
        <v>0</v>
      </c>
      <c r="AE177" s="349"/>
      <c r="AF177" s="349"/>
      <c r="AG177" s="349"/>
      <c r="AH177" s="349">
        <v>8</v>
      </c>
      <c r="AI177" s="349"/>
      <c r="AJ177" s="349"/>
      <c r="AK177" s="349"/>
      <c r="AL177" s="349"/>
      <c r="AM177" s="350">
        <f t="shared" si="10"/>
        <v>8</v>
      </c>
      <c r="AN177" s="349"/>
      <c r="AO177" s="351">
        <f t="shared" si="9"/>
        <v>46.317999999999998</v>
      </c>
      <c r="AP177" s="352"/>
      <c r="AQ177" s="306"/>
      <c r="AR177" s="353">
        <f t="shared" si="11"/>
        <v>522.59884403567457</v>
      </c>
      <c r="AS177" s="239"/>
      <c r="AT177" s="239"/>
      <c r="AU177" s="239"/>
    </row>
    <row r="178" spans="1:47" x14ac:dyDescent="0.35">
      <c r="A178" s="332">
        <v>46150</v>
      </c>
      <c r="B178" s="371" t="s">
        <v>25</v>
      </c>
      <c r="C178" s="372">
        <f>'ODOMETERS Tekrit'!J174</f>
        <v>21</v>
      </c>
      <c r="D178" s="334">
        <v>1.3779999999999999</v>
      </c>
      <c r="E178" s="335">
        <f>'Daily Tekrit'!$C178*'Daily Tekrit'!$D178</f>
        <v>28.937999999999999</v>
      </c>
      <c r="F178" s="336">
        <f>'ODOMETERS Tekrit'!K174</f>
        <v>329</v>
      </c>
      <c r="G178" s="334">
        <v>1.3779999999999999</v>
      </c>
      <c r="H178" s="335">
        <f>'Daily Tekrit'!$F178*'Daily Tekrit'!$G178</f>
        <v>453.36199999999997</v>
      </c>
      <c r="I178" s="336">
        <f>'Daily Tekrit'!$C178+'Daily Tekrit'!$F178</f>
        <v>350</v>
      </c>
      <c r="J178" s="337">
        <f>'Daily Tekrit'!$E178+'Daily Tekrit'!$H178</f>
        <v>482.29999999999995</v>
      </c>
      <c r="K178" s="338">
        <f>'ODOMETERS Tekrit'!L174</f>
        <v>30</v>
      </c>
      <c r="L178" s="339">
        <v>1.2808999999999999</v>
      </c>
      <c r="M178" s="340">
        <f>'Daily Tekrit'!$K178*'Daily Tekrit'!$L178</f>
        <v>38.427</v>
      </c>
      <c r="N178" s="343"/>
      <c r="O178" s="343"/>
      <c r="P178" s="343"/>
      <c r="Q178" s="343"/>
      <c r="R178" s="343"/>
      <c r="S178" s="343"/>
      <c r="T178" s="343">
        <f>400/89.7</f>
        <v>4.4593088071348941</v>
      </c>
      <c r="U178" s="344">
        <f>'Daily Tekrit'!$J178+'Daily Tekrit'!$M178+SUM($N178:$T178)</f>
        <v>525.18630880713488</v>
      </c>
      <c r="V178" s="306"/>
      <c r="W178" s="374">
        <f>2400/89.7</f>
        <v>26.755852842809364</v>
      </c>
      <c r="X178" s="354">
        <f>50*1.378</f>
        <v>68.899999999999991</v>
      </c>
      <c r="Y178" s="354"/>
      <c r="Z178" s="346"/>
      <c r="AA178" s="347"/>
      <c r="AB178" s="347"/>
      <c r="AC178" s="347"/>
      <c r="AD178" s="348">
        <f t="shared" si="2"/>
        <v>0</v>
      </c>
      <c r="AE178" s="349"/>
      <c r="AF178" s="349"/>
      <c r="AG178" s="349"/>
      <c r="AH178" s="349"/>
      <c r="AI178" s="349"/>
      <c r="AJ178" s="349"/>
      <c r="AK178" s="349"/>
      <c r="AL178" s="349"/>
      <c r="AM178" s="350">
        <f t="shared" si="10"/>
        <v>0</v>
      </c>
      <c r="AN178" s="349"/>
      <c r="AO178" s="351">
        <f t="shared" si="9"/>
        <v>95.655852842809352</v>
      </c>
      <c r="AP178" s="352"/>
      <c r="AQ178" s="306"/>
      <c r="AR178" s="353">
        <f t="shared" si="11"/>
        <v>429.53045596432554</v>
      </c>
      <c r="AS178" s="239"/>
      <c r="AT178" s="239"/>
      <c r="AU178" s="239"/>
    </row>
    <row r="179" spans="1:47" x14ac:dyDescent="0.35">
      <c r="A179" s="332">
        <v>46151</v>
      </c>
      <c r="B179" s="371"/>
      <c r="C179" s="372">
        <f>'ODOMETERS Tekrit'!J175</f>
        <v>113</v>
      </c>
      <c r="D179" s="334">
        <v>1.3779999999999999</v>
      </c>
      <c r="E179" s="335">
        <f>'Daily Tekrit'!$C179*'Daily Tekrit'!$D179</f>
        <v>155.714</v>
      </c>
      <c r="F179" s="336">
        <f>'ODOMETERS Tekrit'!K175</f>
        <v>466</v>
      </c>
      <c r="G179" s="334">
        <v>1.3779999999999999</v>
      </c>
      <c r="H179" s="335">
        <f>'Daily Tekrit'!$F179*'Daily Tekrit'!$G179</f>
        <v>642.14799999999991</v>
      </c>
      <c r="I179" s="336">
        <f>'Daily Tekrit'!$C179+'Daily Tekrit'!$F179</f>
        <v>579</v>
      </c>
      <c r="J179" s="337">
        <f>'Daily Tekrit'!$E179+'Daily Tekrit'!$H179</f>
        <v>797.86199999999985</v>
      </c>
      <c r="K179" s="338">
        <f>'ODOMETERS Tekrit'!L175</f>
        <v>96</v>
      </c>
      <c r="L179" s="339">
        <v>1.2808999999999999</v>
      </c>
      <c r="M179" s="340">
        <f>'Daily Tekrit'!$K179*'Daily Tekrit'!$L179</f>
        <v>122.96639999999999</v>
      </c>
      <c r="N179" s="343"/>
      <c r="O179" s="343"/>
      <c r="P179" s="343"/>
      <c r="Q179" s="343"/>
      <c r="R179" s="343"/>
      <c r="S179" s="343"/>
      <c r="T179" s="343">
        <f>150/89.7</f>
        <v>1.6722408026755853</v>
      </c>
      <c r="U179" s="344">
        <f>'Daily Tekrit'!$J179+'Daily Tekrit'!$M179+SUM($N179:$T179)</f>
        <v>922.50064080267543</v>
      </c>
      <c r="V179" s="306"/>
      <c r="W179" s="374">
        <f>150+20</f>
        <v>170</v>
      </c>
      <c r="X179" s="354">
        <f>20*1.378</f>
        <v>27.56</v>
      </c>
      <c r="Y179" s="354">
        <v>4</v>
      </c>
      <c r="Z179" s="346"/>
      <c r="AA179" s="347"/>
      <c r="AB179" s="347"/>
      <c r="AC179" s="347"/>
      <c r="AD179" s="348">
        <f t="shared" si="2"/>
        <v>0</v>
      </c>
      <c r="AE179" s="349"/>
      <c r="AF179" s="349">
        <v>100</v>
      </c>
      <c r="AG179" s="349"/>
      <c r="AH179" s="349">
        <v>8</v>
      </c>
      <c r="AI179" s="349"/>
      <c r="AJ179" s="349"/>
      <c r="AK179" s="349"/>
      <c r="AL179" s="349"/>
      <c r="AM179" s="350">
        <f t="shared" si="10"/>
        <v>108</v>
      </c>
      <c r="AN179" s="349"/>
      <c r="AO179" s="351">
        <f t="shared" si="9"/>
        <v>309.56</v>
      </c>
      <c r="AP179" s="352"/>
      <c r="AQ179" s="306"/>
      <c r="AR179" s="353">
        <f t="shared" si="11"/>
        <v>612.94064080267549</v>
      </c>
      <c r="AS179" s="239"/>
      <c r="AT179" s="239"/>
      <c r="AU179" s="239"/>
    </row>
    <row r="180" spans="1:47" x14ac:dyDescent="0.35">
      <c r="A180" s="332">
        <v>46152</v>
      </c>
      <c r="B180" s="371"/>
      <c r="C180" s="372">
        <f>'ODOMETERS Tekrit'!J176</f>
        <v>29</v>
      </c>
      <c r="D180" s="334">
        <v>1.3779999999999999</v>
      </c>
      <c r="E180" s="335">
        <f>'Daily Tekrit'!$C180*'Daily Tekrit'!$D180</f>
        <v>39.961999999999996</v>
      </c>
      <c r="F180" s="336">
        <f>'ODOMETERS Tekrit'!K176</f>
        <v>699</v>
      </c>
      <c r="G180" s="334">
        <v>1.3779999999999999</v>
      </c>
      <c r="H180" s="335">
        <f>'Daily Tekrit'!$F180*'Daily Tekrit'!$G180</f>
        <v>963.22199999999998</v>
      </c>
      <c r="I180" s="336">
        <f>'Daily Tekrit'!$C180+'Daily Tekrit'!$F180</f>
        <v>728</v>
      </c>
      <c r="J180" s="337">
        <f>'Daily Tekrit'!$E180+'Daily Tekrit'!$H180</f>
        <v>1003.184</v>
      </c>
      <c r="K180" s="338">
        <f>'ODOMETERS Tekrit'!L176</f>
        <v>35</v>
      </c>
      <c r="L180" s="339">
        <v>1.2808999999999999</v>
      </c>
      <c r="M180" s="340">
        <f>'Daily Tekrit'!$K180*'Daily Tekrit'!$L180</f>
        <v>44.831499999999998</v>
      </c>
      <c r="N180" s="343"/>
      <c r="O180" s="343"/>
      <c r="P180" s="343"/>
      <c r="Q180" s="343"/>
      <c r="R180" s="343"/>
      <c r="S180" s="343"/>
      <c r="T180" s="343">
        <f>300/89.7</f>
        <v>3.3444816053511706</v>
      </c>
      <c r="U180" s="344">
        <f>'Daily Tekrit'!$J180+'Daily Tekrit'!$M180+SUM($N180:$T180)</f>
        <v>1051.3599816053511</v>
      </c>
      <c r="V180" s="306"/>
      <c r="W180" s="374"/>
      <c r="X180" s="354">
        <f>(20+20+18+9)*1.3779</f>
        <v>92.319299999999998</v>
      </c>
      <c r="Y180" s="354"/>
      <c r="Z180" s="346"/>
      <c r="AA180" s="347"/>
      <c r="AB180" s="347"/>
      <c r="AC180" s="347"/>
      <c r="AD180" s="348">
        <f t="shared" si="2"/>
        <v>0</v>
      </c>
      <c r="AE180" s="349"/>
      <c r="AF180" s="349"/>
      <c r="AG180" s="349">
        <f>15*1.3779</f>
        <v>20.668499999999998</v>
      </c>
      <c r="AH180" s="349">
        <v>12</v>
      </c>
      <c r="AI180" s="349"/>
      <c r="AJ180" s="349"/>
      <c r="AK180" s="349"/>
      <c r="AL180" s="349"/>
      <c r="AM180" s="350">
        <f t="shared" si="10"/>
        <v>32.668499999999995</v>
      </c>
      <c r="AN180" s="349"/>
      <c r="AO180" s="351">
        <f t="shared" si="9"/>
        <v>124.98779999999999</v>
      </c>
      <c r="AP180" s="352"/>
      <c r="AQ180" s="306"/>
      <c r="AR180" s="353">
        <f t="shared" si="11"/>
        <v>926.3721816053511</v>
      </c>
      <c r="AS180" s="239"/>
      <c r="AT180" s="239"/>
      <c r="AU180" s="239"/>
    </row>
    <row r="181" spans="1:47" x14ac:dyDescent="0.35">
      <c r="A181" s="332">
        <v>46153</v>
      </c>
      <c r="B181" s="371"/>
      <c r="C181" s="372">
        <f>'ODOMETERS Tekrit'!J177</f>
        <v>0</v>
      </c>
      <c r="D181" s="334">
        <v>1.3779999999999999</v>
      </c>
      <c r="E181" s="335">
        <f>'Daily Tekrit'!$C181*'Daily Tekrit'!$D181</f>
        <v>0</v>
      </c>
      <c r="F181" s="336">
        <f>'ODOMETERS Tekrit'!K177</f>
        <v>551</v>
      </c>
      <c r="G181" s="334">
        <v>1.3779999999999999</v>
      </c>
      <c r="H181" s="335">
        <f>'Daily Tekrit'!$F181*'Daily Tekrit'!$G181</f>
        <v>759.27799999999991</v>
      </c>
      <c r="I181" s="336">
        <f>'Daily Tekrit'!$C181+'Daily Tekrit'!$F181</f>
        <v>551</v>
      </c>
      <c r="J181" s="337">
        <f>'Daily Tekrit'!$E181+'Daily Tekrit'!$H181</f>
        <v>759.27799999999991</v>
      </c>
      <c r="K181" s="338">
        <f>'ODOMETERS Tekrit'!L177</f>
        <v>40</v>
      </c>
      <c r="L181" s="339">
        <v>1.2808999999999999</v>
      </c>
      <c r="M181" s="340">
        <f>'Daily Tekrit'!$K181*'Daily Tekrit'!$L181</f>
        <v>51.235999999999997</v>
      </c>
      <c r="N181" s="343"/>
      <c r="O181" s="343"/>
      <c r="P181" s="343"/>
      <c r="Q181" s="343"/>
      <c r="R181" s="343"/>
      <c r="S181" s="343"/>
      <c r="T181" s="343"/>
      <c r="U181" s="344">
        <f>'Daily Tekrit'!$J181+'Daily Tekrit'!$M181+SUM($N181:$T181)</f>
        <v>810.5139999999999</v>
      </c>
      <c r="V181" s="306"/>
      <c r="W181" s="374"/>
      <c r="X181" s="354">
        <f>18*1.3779</f>
        <v>24.802199999999999</v>
      </c>
      <c r="Y181" s="354"/>
      <c r="Z181" s="346"/>
      <c r="AA181" s="347"/>
      <c r="AB181" s="347"/>
      <c r="AC181" s="347"/>
      <c r="AD181" s="348">
        <f t="shared" si="2"/>
        <v>0</v>
      </c>
      <c r="AE181" s="349"/>
      <c r="AF181" s="349"/>
      <c r="AG181" s="349"/>
      <c r="AH181" s="349">
        <v>8</v>
      </c>
      <c r="AI181" s="349"/>
      <c r="AJ181" s="349">
        <f>600/89.7</f>
        <v>6.6889632107023411</v>
      </c>
      <c r="AK181" s="349"/>
      <c r="AL181" s="349">
        <v>47</v>
      </c>
      <c r="AM181" s="350">
        <f t="shared" si="10"/>
        <v>61.68896321070234</v>
      </c>
      <c r="AN181" s="349"/>
      <c r="AO181" s="351">
        <f t="shared" si="9"/>
        <v>86.491163210702339</v>
      </c>
      <c r="AP181" s="352" t="s">
        <v>229</v>
      </c>
      <c r="AQ181" s="306"/>
      <c r="AR181" s="353">
        <f t="shared" si="11"/>
        <v>724.02283678929757</v>
      </c>
      <c r="AS181" s="239"/>
      <c r="AT181" s="239"/>
      <c r="AU181" s="239"/>
    </row>
    <row r="182" spans="1:47" x14ac:dyDescent="0.35">
      <c r="A182" s="332">
        <v>46154</v>
      </c>
      <c r="B182" s="371" t="s">
        <v>24</v>
      </c>
      <c r="C182" s="372">
        <f>'ODOMETERS Tekrit'!J178</f>
        <v>81</v>
      </c>
      <c r="D182" s="334">
        <v>1.3779999999999999</v>
      </c>
      <c r="E182" s="335">
        <f>'Daily Tekrit'!$C182*'Daily Tekrit'!$D182</f>
        <v>111.61799999999999</v>
      </c>
      <c r="F182" s="336">
        <f>'ODOMETERS Tekrit'!K178</f>
        <v>145</v>
      </c>
      <c r="G182" s="334">
        <v>1.3779999999999999</v>
      </c>
      <c r="H182" s="335">
        <f>'Daily Tekrit'!$F182*'Daily Tekrit'!$G182</f>
        <v>199.80999999999997</v>
      </c>
      <c r="I182" s="336">
        <f>'Daily Tekrit'!$C182+'Daily Tekrit'!$F182</f>
        <v>226</v>
      </c>
      <c r="J182" s="337">
        <f>'Daily Tekrit'!$E182+'Daily Tekrit'!$H182</f>
        <v>311.428</v>
      </c>
      <c r="K182" s="338">
        <f>'ODOMETERS Tekrit'!L178</f>
        <v>54</v>
      </c>
      <c r="L182" s="339">
        <v>1.2808999999999999</v>
      </c>
      <c r="M182" s="340">
        <f>'Daily Tekrit'!$K182*'Daily Tekrit'!$L182</f>
        <v>69.168599999999998</v>
      </c>
      <c r="N182" s="343"/>
      <c r="O182" s="343"/>
      <c r="P182" s="343"/>
      <c r="Q182" s="343"/>
      <c r="R182" s="343"/>
      <c r="S182" s="343"/>
      <c r="T182" s="343"/>
      <c r="U182" s="344">
        <f>'Daily Tekrit'!$J182+'Daily Tekrit'!$M182+SUM($N182:$T182)</f>
        <v>380.59659999999997</v>
      </c>
      <c r="V182" s="306"/>
      <c r="W182" s="374"/>
      <c r="X182" s="354"/>
      <c r="Y182" s="354"/>
      <c r="Z182" s="346"/>
      <c r="AA182" s="347"/>
      <c r="AB182" s="347"/>
      <c r="AC182" s="347"/>
      <c r="AD182" s="348">
        <f t="shared" si="2"/>
        <v>0</v>
      </c>
      <c r="AE182" s="349"/>
      <c r="AF182" s="349"/>
      <c r="AG182" s="349"/>
      <c r="AH182" s="349">
        <f>9*1.3779+8</f>
        <v>20.4011</v>
      </c>
      <c r="AI182" s="349"/>
      <c r="AJ182" s="349"/>
      <c r="AK182" s="349"/>
      <c r="AL182" s="349"/>
      <c r="AM182" s="350">
        <f t="shared" si="10"/>
        <v>20.4011</v>
      </c>
      <c r="AN182" s="349"/>
      <c r="AO182" s="351">
        <f t="shared" si="9"/>
        <v>20.4011</v>
      </c>
      <c r="AP182" s="352"/>
      <c r="AQ182" s="306"/>
      <c r="AR182" s="353">
        <f t="shared" si="11"/>
        <v>360.19549999999998</v>
      </c>
      <c r="AS182" s="239"/>
      <c r="AT182" s="239"/>
      <c r="AU182" s="239"/>
    </row>
    <row r="183" spans="1:47" x14ac:dyDescent="0.35">
      <c r="A183" s="332">
        <v>46154</v>
      </c>
      <c r="B183" s="371" t="s">
        <v>25</v>
      </c>
      <c r="C183" s="372">
        <f>'ODOMETERS Tekrit'!J179</f>
        <v>123</v>
      </c>
      <c r="D183" s="334">
        <v>1.3939999999999999</v>
      </c>
      <c r="E183" s="335">
        <f>'Daily Tekrit'!$C183*'Daily Tekrit'!$D183</f>
        <v>171.46199999999999</v>
      </c>
      <c r="F183" s="336">
        <f>'ODOMETERS Tekrit'!K179</f>
        <v>78</v>
      </c>
      <c r="G183" s="334">
        <v>1.3939999999999999</v>
      </c>
      <c r="H183" s="335">
        <f>'Daily Tekrit'!$F183*'Daily Tekrit'!$G183</f>
        <v>108.732</v>
      </c>
      <c r="I183" s="336">
        <f>'Daily Tekrit'!$C183+'Daily Tekrit'!$F183</f>
        <v>201</v>
      </c>
      <c r="J183" s="337">
        <f>'Daily Tekrit'!$E183+'Daily Tekrit'!$H183</f>
        <v>280.19399999999996</v>
      </c>
      <c r="K183" s="338">
        <f>'ODOMETERS Tekrit'!L179</f>
        <v>0</v>
      </c>
      <c r="L183" s="339">
        <v>1.2625</v>
      </c>
      <c r="M183" s="340">
        <f>'Daily Tekrit'!$K183*'Daily Tekrit'!$L183</f>
        <v>0</v>
      </c>
      <c r="N183" s="343"/>
      <c r="O183" s="343"/>
      <c r="P183" s="343"/>
      <c r="Q183" s="343"/>
      <c r="R183" s="343"/>
      <c r="S183" s="343"/>
      <c r="T183" s="343"/>
      <c r="U183" s="344">
        <f>'Daily Tekrit'!$J183+'Daily Tekrit'!$M183+SUM($N183:$T183)</f>
        <v>280.19399999999996</v>
      </c>
      <c r="V183" s="306"/>
      <c r="W183" s="374">
        <v>6</v>
      </c>
      <c r="X183" s="354">
        <f>18*1.3935</f>
        <v>25.082999999999998</v>
      </c>
      <c r="Y183" s="354"/>
      <c r="Z183" s="346"/>
      <c r="AA183" s="347"/>
      <c r="AB183" s="347"/>
      <c r="AC183" s="347"/>
      <c r="AD183" s="348">
        <f t="shared" si="2"/>
        <v>0</v>
      </c>
      <c r="AE183" s="349"/>
      <c r="AF183" s="349"/>
      <c r="AG183" s="349"/>
      <c r="AH183" s="349"/>
      <c r="AI183" s="349"/>
      <c r="AJ183" s="349"/>
      <c r="AK183" s="349"/>
      <c r="AL183" s="349"/>
      <c r="AM183" s="350">
        <f t="shared" si="10"/>
        <v>0</v>
      </c>
      <c r="AN183" s="349"/>
      <c r="AO183" s="351">
        <f t="shared" si="9"/>
        <v>31.082999999999998</v>
      </c>
      <c r="AP183" s="352"/>
      <c r="AQ183" s="306"/>
      <c r="AR183" s="353">
        <f t="shared" si="11"/>
        <v>249.11099999999996</v>
      </c>
      <c r="AS183" s="239"/>
      <c r="AT183" s="239"/>
      <c r="AU183" s="239"/>
    </row>
    <row r="184" spans="1:47" x14ac:dyDescent="0.35">
      <c r="A184" s="332">
        <v>46155</v>
      </c>
      <c r="B184" s="371"/>
      <c r="C184" s="372">
        <f>'ODOMETERS Tekrit'!J180</f>
        <v>237</v>
      </c>
      <c r="D184" s="334">
        <v>1.3939999999999999</v>
      </c>
      <c r="E184" s="335">
        <f>'Daily Tekrit'!$C184*'Daily Tekrit'!$D184</f>
        <v>330.37799999999999</v>
      </c>
      <c r="F184" s="336">
        <f>'ODOMETERS Tekrit'!K180</f>
        <v>137</v>
      </c>
      <c r="G184" s="334">
        <v>1.3939999999999999</v>
      </c>
      <c r="H184" s="335">
        <f>'Daily Tekrit'!$F184*'Daily Tekrit'!$G184</f>
        <v>190.97799999999998</v>
      </c>
      <c r="I184" s="336">
        <f>'Daily Tekrit'!$C184+'Daily Tekrit'!$F184</f>
        <v>374</v>
      </c>
      <c r="J184" s="337">
        <f>'Daily Tekrit'!$E184+'Daily Tekrit'!$H184</f>
        <v>521.35599999999999</v>
      </c>
      <c r="K184" s="338">
        <f>'ODOMETERS Tekrit'!L180</f>
        <v>38</v>
      </c>
      <c r="L184" s="339">
        <v>1.2625</v>
      </c>
      <c r="M184" s="340">
        <f>'Daily Tekrit'!$K184*'Daily Tekrit'!$L184</f>
        <v>47.975000000000001</v>
      </c>
      <c r="N184" s="343">
        <f>350/89.7</f>
        <v>3.9018952062430321</v>
      </c>
      <c r="O184" s="343"/>
      <c r="P184" s="343"/>
      <c r="Q184" s="343"/>
      <c r="R184" s="343"/>
      <c r="S184" s="343"/>
      <c r="T184" s="343"/>
      <c r="U184" s="344">
        <f>'Daily Tekrit'!$J184+'Daily Tekrit'!$M184+SUM($N184:$T184)</f>
        <v>573.23289520624303</v>
      </c>
      <c r="V184" s="306"/>
      <c r="W184" s="374"/>
      <c r="X184" s="354"/>
      <c r="Y184" s="354">
        <v>13</v>
      </c>
      <c r="Z184" s="346"/>
      <c r="AA184" s="347"/>
      <c r="AB184" s="347"/>
      <c r="AC184" s="347"/>
      <c r="AD184" s="348">
        <f t="shared" si="2"/>
        <v>0</v>
      </c>
      <c r="AE184" s="349"/>
      <c r="AF184" s="349">
        <v>10</v>
      </c>
      <c r="AG184" s="349"/>
      <c r="AH184" s="349">
        <v>8</v>
      </c>
      <c r="AI184" s="349"/>
      <c r="AJ184" s="349">
        <f>300/89.7</f>
        <v>3.3444816053511706</v>
      </c>
      <c r="AK184" s="349"/>
      <c r="AL184" s="349"/>
      <c r="AM184" s="350">
        <f t="shared" si="10"/>
        <v>21.34448160535117</v>
      </c>
      <c r="AN184" s="349"/>
      <c r="AO184" s="351">
        <f t="shared" si="9"/>
        <v>34.34448160535117</v>
      </c>
      <c r="AP184" s="352"/>
      <c r="AQ184" s="306"/>
      <c r="AR184" s="353">
        <f t="shared" si="11"/>
        <v>538.88841360089191</v>
      </c>
      <c r="AS184" s="239"/>
      <c r="AT184" s="239"/>
      <c r="AU184" s="243"/>
    </row>
    <row r="185" spans="1:47" x14ac:dyDescent="0.35">
      <c r="A185" s="332">
        <v>46156</v>
      </c>
      <c r="B185" s="371"/>
      <c r="C185" s="372">
        <f>'ODOMETERS Tekrit'!J181</f>
        <v>463</v>
      </c>
      <c r="D185" s="334">
        <v>1.3939999999999999</v>
      </c>
      <c r="E185" s="335">
        <f>'Daily Tekrit'!$C185*'Daily Tekrit'!$D185</f>
        <v>645.42199999999991</v>
      </c>
      <c r="F185" s="336">
        <f>'ODOMETERS Tekrit'!K181</f>
        <v>140</v>
      </c>
      <c r="G185" s="334">
        <v>1.3939999999999999</v>
      </c>
      <c r="H185" s="335">
        <f>'Daily Tekrit'!$F185*'Daily Tekrit'!$G185</f>
        <v>195.16</v>
      </c>
      <c r="I185" s="336">
        <f>'Daily Tekrit'!$C185+'Daily Tekrit'!$F185</f>
        <v>603</v>
      </c>
      <c r="J185" s="337">
        <f>'Daily Tekrit'!$E185+'Daily Tekrit'!$H185</f>
        <v>840.58199999999988</v>
      </c>
      <c r="K185" s="338">
        <f>'ODOMETERS Tekrit'!L181</f>
        <v>73</v>
      </c>
      <c r="L185" s="339">
        <v>1.2625</v>
      </c>
      <c r="M185" s="340">
        <f>'Daily Tekrit'!$K185*'Daily Tekrit'!$L185</f>
        <v>92.162499999999994</v>
      </c>
      <c r="N185" s="343"/>
      <c r="O185" s="343"/>
      <c r="P185" s="343"/>
      <c r="Q185" s="343"/>
      <c r="R185" s="343"/>
      <c r="S185" s="343"/>
      <c r="T185" s="343"/>
      <c r="U185" s="344">
        <f>'Daily Tekrit'!$J185+'Daily Tekrit'!$M185+SUM($N185:$T185)</f>
        <v>932.7444999999999</v>
      </c>
      <c r="V185" s="306"/>
      <c r="W185" s="374">
        <v>20</v>
      </c>
      <c r="X185" s="354">
        <f>27*1.394</f>
        <v>37.637999999999998</v>
      </c>
      <c r="Y185" s="354"/>
      <c r="Z185" s="346"/>
      <c r="AA185" s="347"/>
      <c r="AB185" s="347"/>
      <c r="AC185" s="347"/>
      <c r="AD185" s="348">
        <f t="shared" si="2"/>
        <v>0</v>
      </c>
      <c r="AE185" s="349"/>
      <c r="AF185" s="349"/>
      <c r="AG185" s="349"/>
      <c r="AH185" s="349">
        <v>8</v>
      </c>
      <c r="AI185" s="349"/>
      <c r="AJ185" s="349"/>
      <c r="AK185" s="349"/>
      <c r="AL185" s="349"/>
      <c r="AM185" s="350">
        <f t="shared" si="10"/>
        <v>8</v>
      </c>
      <c r="AN185" s="349"/>
      <c r="AO185" s="351">
        <f t="shared" si="9"/>
        <v>65.638000000000005</v>
      </c>
      <c r="AP185" s="352"/>
      <c r="AQ185" s="306"/>
      <c r="AR185" s="353">
        <f t="shared" si="11"/>
        <v>867.10649999999987</v>
      </c>
      <c r="AS185" s="239"/>
      <c r="AT185" s="239"/>
      <c r="AU185" s="239"/>
    </row>
    <row r="186" spans="1:47" x14ac:dyDescent="0.35">
      <c r="A186" s="332">
        <v>46157</v>
      </c>
      <c r="B186" s="371" t="s">
        <v>24</v>
      </c>
      <c r="C186" s="372">
        <f>'ODOMETERS Tekrit'!J182</f>
        <v>228</v>
      </c>
      <c r="D186" s="334">
        <v>1.3939999999999999</v>
      </c>
      <c r="E186" s="335">
        <f>'Daily Tekrit'!$C186*'Daily Tekrit'!$D186</f>
        <v>317.83199999999999</v>
      </c>
      <c r="F186" s="336">
        <f>'ODOMETERS Tekrit'!K182</f>
        <v>105</v>
      </c>
      <c r="G186" s="334">
        <v>1.3939999999999999</v>
      </c>
      <c r="H186" s="335">
        <f>'Daily Tekrit'!$F186*'Daily Tekrit'!$G186</f>
        <v>146.36999999999998</v>
      </c>
      <c r="I186" s="336">
        <f>'Daily Tekrit'!$C186+'Daily Tekrit'!$F186</f>
        <v>333</v>
      </c>
      <c r="J186" s="337">
        <f>'Daily Tekrit'!$E186+'Daily Tekrit'!$H186</f>
        <v>464.202</v>
      </c>
      <c r="K186" s="338">
        <f>'ODOMETERS Tekrit'!L182</f>
        <v>78</v>
      </c>
      <c r="L186" s="339">
        <v>1.2625</v>
      </c>
      <c r="M186" s="340">
        <f>'Daily Tekrit'!$K186*'Daily Tekrit'!$L186</f>
        <v>98.474999999999994</v>
      </c>
      <c r="N186" s="343">
        <f>350/89.7</f>
        <v>3.9018952062430321</v>
      </c>
      <c r="O186" s="343"/>
      <c r="P186" s="343"/>
      <c r="Q186" s="343"/>
      <c r="R186" s="343"/>
      <c r="S186" s="343"/>
      <c r="T186" s="343">
        <f>250/89.7</f>
        <v>2.7870680044593086</v>
      </c>
      <c r="U186" s="344">
        <f>'Daily Tekrit'!$J186+'Daily Tekrit'!$M186+SUM($N186:$T186)</f>
        <v>569.36596321070238</v>
      </c>
      <c r="V186" s="306"/>
      <c r="W186" s="374">
        <v>20</v>
      </c>
      <c r="X186" s="354">
        <f>30*1.394</f>
        <v>41.82</v>
      </c>
      <c r="Y186" s="354"/>
      <c r="Z186" s="346"/>
      <c r="AA186" s="347"/>
      <c r="AB186" s="347"/>
      <c r="AC186" s="347"/>
      <c r="AD186" s="348">
        <f t="shared" si="2"/>
        <v>0</v>
      </c>
      <c r="AE186" s="349"/>
      <c r="AF186" s="349"/>
      <c r="AG186" s="349"/>
      <c r="AH186" s="349">
        <v>8</v>
      </c>
      <c r="AI186" s="349"/>
      <c r="AJ186" s="349"/>
      <c r="AK186" s="349"/>
      <c r="AL186" s="349"/>
      <c r="AM186" s="350">
        <f t="shared" si="10"/>
        <v>8</v>
      </c>
      <c r="AN186" s="349"/>
      <c r="AO186" s="351">
        <f t="shared" si="9"/>
        <v>69.819999999999993</v>
      </c>
      <c r="AP186" s="352"/>
      <c r="AQ186" s="306"/>
      <c r="AR186" s="353">
        <f t="shared" si="11"/>
        <v>499.54596321070238</v>
      </c>
      <c r="AS186" s="239"/>
      <c r="AT186" s="239"/>
      <c r="AU186" s="239"/>
    </row>
    <row r="187" spans="1:47" x14ac:dyDescent="0.35">
      <c r="A187" s="332">
        <v>46157</v>
      </c>
      <c r="B187" s="371" t="s">
        <v>25</v>
      </c>
      <c r="C187" s="372">
        <f>'ODOMETERS Tekrit'!J183</f>
        <v>125</v>
      </c>
      <c r="D187" s="334">
        <v>1.4179999999999999</v>
      </c>
      <c r="E187" s="335">
        <f>'Daily Tekrit'!$C187*'Daily Tekrit'!$D187</f>
        <v>177.25</v>
      </c>
      <c r="F187" s="336">
        <f>'ODOMETERS Tekrit'!K183</f>
        <v>68</v>
      </c>
      <c r="G187" s="334">
        <v>1.4179999999999999</v>
      </c>
      <c r="H187" s="335">
        <f>'Daily Tekrit'!$F187*'Daily Tekrit'!$G187</f>
        <v>96.423999999999992</v>
      </c>
      <c r="I187" s="336">
        <f>'Daily Tekrit'!$C187+'Daily Tekrit'!$F187</f>
        <v>193</v>
      </c>
      <c r="J187" s="337">
        <f>'Daily Tekrit'!$E187+'Daily Tekrit'!$H187</f>
        <v>273.67399999999998</v>
      </c>
      <c r="K187" s="338">
        <f>'ODOMETERS Tekrit'!L183</f>
        <v>21</v>
      </c>
      <c r="L187" s="339">
        <v>1.2625</v>
      </c>
      <c r="M187" s="340">
        <f>'Daily Tekrit'!$K187*'Daily Tekrit'!$L187</f>
        <v>26.512499999999999</v>
      </c>
      <c r="N187" s="343"/>
      <c r="O187" s="343"/>
      <c r="P187" s="343"/>
      <c r="Q187" s="343"/>
      <c r="R187" s="343"/>
      <c r="S187" s="343"/>
      <c r="T187" s="343"/>
      <c r="U187" s="344">
        <f>'Daily Tekrit'!$J187+'Daily Tekrit'!$M187+SUM($N187:$T187)</f>
        <v>300.18649999999997</v>
      </c>
      <c r="V187" s="306"/>
      <c r="W187" s="374"/>
      <c r="X187" s="354"/>
      <c r="Y187" s="354"/>
      <c r="Z187" s="346"/>
      <c r="AA187" s="347"/>
      <c r="AB187" s="347"/>
      <c r="AC187" s="347"/>
      <c r="AD187" s="348">
        <f t="shared" si="2"/>
        <v>0</v>
      </c>
      <c r="AE187" s="349"/>
      <c r="AF187" s="349"/>
      <c r="AG187" s="349"/>
      <c r="AH187" s="349"/>
      <c r="AI187" s="349"/>
      <c r="AJ187" s="349"/>
      <c r="AK187" s="349"/>
      <c r="AL187" s="349"/>
      <c r="AM187" s="350">
        <f t="shared" si="10"/>
        <v>0</v>
      </c>
      <c r="AN187" s="349"/>
      <c r="AO187" s="351">
        <f t="shared" si="9"/>
        <v>0</v>
      </c>
      <c r="AP187" s="352"/>
      <c r="AQ187" s="306"/>
      <c r="AR187" s="353">
        <f t="shared" si="11"/>
        <v>300.18649999999997</v>
      </c>
      <c r="AS187" s="239"/>
      <c r="AT187" s="239"/>
      <c r="AU187" s="239"/>
    </row>
    <row r="188" spans="1:47" x14ac:dyDescent="0.35">
      <c r="A188" s="332">
        <v>46158</v>
      </c>
      <c r="B188" s="371"/>
      <c r="C188" s="372">
        <f>'ODOMETERS Tekrit'!J184</f>
        <v>264</v>
      </c>
      <c r="D188" s="334">
        <v>1.4179999999999999</v>
      </c>
      <c r="E188" s="335">
        <f>'Daily Tekrit'!$C188*'Daily Tekrit'!$D188</f>
        <v>374.35199999999998</v>
      </c>
      <c r="F188" s="336">
        <f>'ODOMETERS Tekrit'!K184</f>
        <v>231</v>
      </c>
      <c r="G188" s="334">
        <v>1.4179999999999999</v>
      </c>
      <c r="H188" s="335">
        <f>'Daily Tekrit'!$F188*'Daily Tekrit'!$G188</f>
        <v>327.55799999999999</v>
      </c>
      <c r="I188" s="336">
        <f>'Daily Tekrit'!$C188+'Daily Tekrit'!$F188</f>
        <v>495</v>
      </c>
      <c r="J188" s="337">
        <f>'Daily Tekrit'!$E188+'Daily Tekrit'!$H188</f>
        <v>701.91</v>
      </c>
      <c r="K188" s="338">
        <f>'ODOMETERS Tekrit'!L184</f>
        <v>90</v>
      </c>
      <c r="L188" s="339">
        <v>1.2625</v>
      </c>
      <c r="M188" s="340">
        <f>'Daily Tekrit'!$K188*'Daily Tekrit'!$L188</f>
        <v>113.625</v>
      </c>
      <c r="N188" s="343">
        <f>350/89.7</f>
        <v>3.9018952062430321</v>
      </c>
      <c r="O188" s="343"/>
      <c r="P188" s="343"/>
      <c r="Q188" s="343"/>
      <c r="R188" s="343"/>
      <c r="S188" s="343">
        <v>20</v>
      </c>
      <c r="T188" s="343"/>
      <c r="U188" s="344">
        <f>'Daily Tekrit'!$J188+'Daily Tekrit'!$M188+SUM($N188:$T188)</f>
        <v>839.43689520624298</v>
      </c>
      <c r="V188" s="306"/>
      <c r="W188" s="374"/>
      <c r="X188" s="354"/>
      <c r="Y188" s="354"/>
      <c r="Z188" s="346"/>
      <c r="AA188" s="347"/>
      <c r="AB188" s="347"/>
      <c r="AC188" s="347"/>
      <c r="AD188" s="348">
        <f t="shared" si="2"/>
        <v>0</v>
      </c>
      <c r="AE188" s="349"/>
      <c r="AF188" s="349"/>
      <c r="AG188" s="349"/>
      <c r="AH188" s="349">
        <v>8</v>
      </c>
      <c r="AI188" s="349"/>
      <c r="AJ188" s="349"/>
      <c r="AK188" s="349"/>
      <c r="AL188" s="349"/>
      <c r="AM188" s="350">
        <f t="shared" si="10"/>
        <v>8</v>
      </c>
      <c r="AN188" s="349"/>
      <c r="AO188" s="351">
        <f t="shared" si="9"/>
        <v>8</v>
      </c>
      <c r="AP188" s="352"/>
      <c r="AQ188" s="306"/>
      <c r="AR188" s="353">
        <f t="shared" si="11"/>
        <v>831.43689520624298</v>
      </c>
      <c r="AS188" s="239"/>
      <c r="AT188" s="239"/>
      <c r="AU188" s="239"/>
    </row>
    <row r="189" spans="1:47" x14ac:dyDescent="0.35">
      <c r="A189" s="332">
        <v>46159</v>
      </c>
      <c r="B189" s="371"/>
      <c r="C189" s="372">
        <f>'ODOMETERS Tekrit'!J185</f>
        <v>370</v>
      </c>
      <c r="D189" s="334">
        <v>1.4179999999999999</v>
      </c>
      <c r="E189" s="335">
        <f>'Daily Tekrit'!$C189*'Daily Tekrit'!$D189</f>
        <v>524.66</v>
      </c>
      <c r="F189" s="336">
        <f>'ODOMETERS Tekrit'!K185</f>
        <v>258</v>
      </c>
      <c r="G189" s="334">
        <v>1.4179999999999999</v>
      </c>
      <c r="H189" s="335">
        <f>'Daily Tekrit'!$F189*'Daily Tekrit'!$G189</f>
        <v>365.84399999999999</v>
      </c>
      <c r="I189" s="336">
        <f>'Daily Tekrit'!$C189+'Daily Tekrit'!$F189</f>
        <v>628</v>
      </c>
      <c r="J189" s="337">
        <f>'Daily Tekrit'!$E189+'Daily Tekrit'!$H189</f>
        <v>890.50399999999991</v>
      </c>
      <c r="K189" s="338">
        <f>'ODOMETERS Tekrit'!L185</f>
        <v>48</v>
      </c>
      <c r="L189" s="339">
        <v>1.2625</v>
      </c>
      <c r="M189" s="340">
        <f>'Daily Tekrit'!$K189*'Daily Tekrit'!$L189</f>
        <v>60.599999999999994</v>
      </c>
      <c r="N189" s="343">
        <f>300/89.7</f>
        <v>3.3444816053511706</v>
      </c>
      <c r="O189" s="343"/>
      <c r="P189" s="343"/>
      <c r="Q189" s="343"/>
      <c r="R189" s="343"/>
      <c r="S189" s="343"/>
      <c r="T189" s="343"/>
      <c r="U189" s="344">
        <f>'Daily Tekrit'!$J189+'Daily Tekrit'!$M189+SUM($N189:$T189)</f>
        <v>954.44848160535105</v>
      </c>
      <c r="V189" s="306"/>
      <c r="W189" s="374"/>
      <c r="X189" s="354">
        <f>27*1.418</f>
        <v>38.286000000000001</v>
      </c>
      <c r="Y189" s="354"/>
      <c r="Z189" s="346"/>
      <c r="AA189" s="347"/>
      <c r="AB189" s="347"/>
      <c r="AC189" s="347"/>
      <c r="AD189" s="348">
        <f t="shared" si="2"/>
        <v>0</v>
      </c>
      <c r="AE189" s="349"/>
      <c r="AF189" s="349">
        <f>150+50</f>
        <v>200</v>
      </c>
      <c r="AG189" s="349"/>
      <c r="AH189" s="349">
        <v>8</v>
      </c>
      <c r="AI189" s="349"/>
      <c r="AJ189" s="349"/>
      <c r="AK189" s="349"/>
      <c r="AL189" s="349"/>
      <c r="AM189" s="350">
        <f t="shared" si="10"/>
        <v>208</v>
      </c>
      <c r="AN189" s="349"/>
      <c r="AO189" s="351">
        <f t="shared" si="9"/>
        <v>246.286</v>
      </c>
      <c r="AP189" s="352"/>
      <c r="AQ189" s="306"/>
      <c r="AR189" s="353">
        <f t="shared" si="11"/>
        <v>708.1624816053511</v>
      </c>
      <c r="AS189" s="239"/>
      <c r="AT189" s="243"/>
      <c r="AU189" s="243"/>
    </row>
    <row r="190" spans="1:47" x14ac:dyDescent="0.35">
      <c r="A190" s="332">
        <v>46160</v>
      </c>
      <c r="B190" s="371"/>
      <c r="C190" s="372">
        <f>'ODOMETERS Tekrit'!J186</f>
        <v>213</v>
      </c>
      <c r="D190" s="334">
        <v>1.4179999999999999</v>
      </c>
      <c r="E190" s="335">
        <f>'Daily Tekrit'!$C190*'Daily Tekrit'!$D190</f>
        <v>302.03399999999999</v>
      </c>
      <c r="F190" s="336">
        <f>'ODOMETERS Tekrit'!K186</f>
        <v>148</v>
      </c>
      <c r="G190" s="334">
        <v>1.4179999999999999</v>
      </c>
      <c r="H190" s="335">
        <f>'Daily Tekrit'!$F190*'Daily Tekrit'!$G190</f>
        <v>209.86399999999998</v>
      </c>
      <c r="I190" s="336">
        <f>'Daily Tekrit'!$C190+'Daily Tekrit'!$F190</f>
        <v>361</v>
      </c>
      <c r="J190" s="337">
        <f>'Daily Tekrit'!$E190+'Daily Tekrit'!$H190</f>
        <v>511.89799999999997</v>
      </c>
      <c r="K190" s="338">
        <f>'ODOMETERS Tekrit'!L186</f>
        <v>61</v>
      </c>
      <c r="L190" s="339">
        <v>1.2625</v>
      </c>
      <c r="M190" s="340">
        <f>'Daily Tekrit'!$K190*'Daily Tekrit'!$L190</f>
        <v>77.012500000000003</v>
      </c>
      <c r="N190" s="343">
        <f>350/89.7</f>
        <v>3.9018952062430321</v>
      </c>
      <c r="O190" s="343"/>
      <c r="P190" s="343"/>
      <c r="Q190" s="343"/>
      <c r="R190" s="343"/>
      <c r="S190" s="343">
        <v>550</v>
      </c>
      <c r="T190" s="343"/>
      <c r="U190" s="344">
        <f>'Daily Tekrit'!$J190+'Daily Tekrit'!$M190+SUM($N190:$T190)</f>
        <v>1142.8123952062429</v>
      </c>
      <c r="V190" s="306"/>
      <c r="W190" s="374">
        <f>20+5+116</f>
        <v>141</v>
      </c>
      <c r="X190" s="354"/>
      <c r="Y190" s="354"/>
      <c r="Z190" s="346"/>
      <c r="AA190" s="347"/>
      <c r="AB190" s="347"/>
      <c r="AC190" s="347"/>
      <c r="AD190" s="348">
        <f t="shared" si="2"/>
        <v>0</v>
      </c>
      <c r="AE190" s="349"/>
      <c r="AF190" s="349"/>
      <c r="AG190" s="349"/>
      <c r="AH190" s="349">
        <v>8</v>
      </c>
      <c r="AI190" s="349"/>
      <c r="AJ190" s="349">
        <f>300/89.7</f>
        <v>3.3444816053511706</v>
      </c>
      <c r="AK190" s="349"/>
      <c r="AL190" s="349"/>
      <c r="AM190" s="350">
        <f t="shared" si="10"/>
        <v>11.34448160535117</v>
      </c>
      <c r="AN190" s="349"/>
      <c r="AO190" s="351">
        <f t="shared" si="9"/>
        <v>152.34448160535118</v>
      </c>
      <c r="AP190" s="352"/>
      <c r="AQ190" s="306"/>
      <c r="AR190" s="353">
        <f>U190-AO190</f>
        <v>990.46791360089173</v>
      </c>
      <c r="AS190" s="239"/>
      <c r="AT190" s="239"/>
      <c r="AU190" s="239"/>
    </row>
    <row r="191" spans="1:47" x14ac:dyDescent="0.35">
      <c r="A191" s="332">
        <v>46161</v>
      </c>
      <c r="B191" s="371" t="s">
        <v>24</v>
      </c>
      <c r="C191" s="372">
        <f>'ODOMETERS Tekrit'!J187</f>
        <v>121</v>
      </c>
      <c r="D191" s="334">
        <v>1.4179999999999999</v>
      </c>
      <c r="E191" s="335">
        <f>'Daily Tekrit'!$C191*'Daily Tekrit'!$D191</f>
        <v>171.578</v>
      </c>
      <c r="F191" s="336">
        <f>'ODOMETERS Tekrit'!K187</f>
        <v>228</v>
      </c>
      <c r="G191" s="334">
        <v>1.4179999999999999</v>
      </c>
      <c r="H191" s="335">
        <f>'Daily Tekrit'!$F191*'Daily Tekrit'!$G191</f>
        <v>323.30399999999997</v>
      </c>
      <c r="I191" s="336">
        <f>'Daily Tekrit'!$C191+'Daily Tekrit'!$F191</f>
        <v>349</v>
      </c>
      <c r="J191" s="337">
        <f>'Daily Tekrit'!$E191+'Daily Tekrit'!$H191</f>
        <v>494.88199999999995</v>
      </c>
      <c r="K191" s="338">
        <f>'ODOMETERS Tekrit'!L187</f>
        <v>39</v>
      </c>
      <c r="L191" s="339">
        <v>1.2625</v>
      </c>
      <c r="M191" s="340">
        <f>'Daily Tekrit'!$K191*'Daily Tekrit'!$L191</f>
        <v>49.237499999999997</v>
      </c>
      <c r="N191" s="343">
        <f>350/89.7</f>
        <v>3.9018952062430321</v>
      </c>
      <c r="O191" s="343"/>
      <c r="P191" s="343"/>
      <c r="Q191" s="343"/>
      <c r="R191" s="343"/>
      <c r="S191" s="343"/>
      <c r="T191" s="343"/>
      <c r="U191" s="344">
        <f>'Daily Tekrit'!$J191+'Daily Tekrit'!$M191+SUM($N191:$T191)</f>
        <v>548.02139520624291</v>
      </c>
      <c r="V191" s="306"/>
      <c r="W191" s="374">
        <v>12</v>
      </c>
      <c r="X191" s="354"/>
      <c r="Y191" s="354">
        <v>3</v>
      </c>
      <c r="Z191" s="346"/>
      <c r="AA191" s="347"/>
      <c r="AB191" s="347"/>
      <c r="AC191" s="347"/>
      <c r="AD191" s="348">
        <f t="shared" si="2"/>
        <v>0</v>
      </c>
      <c r="AE191" s="349"/>
      <c r="AF191" s="349"/>
      <c r="AG191" s="349"/>
      <c r="AH191" s="349">
        <v>8</v>
      </c>
      <c r="AI191" s="349"/>
      <c r="AJ191" s="349"/>
      <c r="AK191" s="349"/>
      <c r="AL191" s="349"/>
      <c r="AM191" s="350">
        <f t="shared" si="10"/>
        <v>8</v>
      </c>
      <c r="AN191" s="349"/>
      <c r="AO191" s="351">
        <f t="shared" si="9"/>
        <v>23</v>
      </c>
      <c r="AP191" s="352"/>
      <c r="AQ191" s="306"/>
      <c r="AR191" s="353">
        <f t="shared" si="11"/>
        <v>525.02139520624291</v>
      </c>
      <c r="AS191" s="239"/>
      <c r="AT191" s="239"/>
      <c r="AU191" s="239"/>
    </row>
    <row r="192" spans="1:47" x14ac:dyDescent="0.35">
      <c r="A192" s="332">
        <v>46161</v>
      </c>
      <c r="B192" s="371" t="s">
        <v>25</v>
      </c>
      <c r="C192" s="372">
        <f>'ODOMETERS Tekrit'!J188</f>
        <v>66</v>
      </c>
      <c r="D192" s="334">
        <v>1.427</v>
      </c>
      <c r="E192" s="335">
        <f>'Daily Tekrit'!$C192*'Daily Tekrit'!$D192</f>
        <v>94.182000000000002</v>
      </c>
      <c r="F192" s="336">
        <f>'ODOMETERS Tekrit'!K188</f>
        <v>45</v>
      </c>
      <c r="G192" s="334">
        <v>1.427</v>
      </c>
      <c r="H192" s="335">
        <f>'Daily Tekrit'!$F192*'Daily Tekrit'!$G192</f>
        <v>64.215000000000003</v>
      </c>
      <c r="I192" s="336">
        <f>'Daily Tekrit'!$C192+'Daily Tekrit'!$F192</f>
        <v>111</v>
      </c>
      <c r="J192" s="337">
        <f>'Daily Tekrit'!$E192+'Daily Tekrit'!$H192</f>
        <v>158.39699999999999</v>
      </c>
      <c r="K192" s="338">
        <f>'ODOMETERS Tekrit'!L188</f>
        <v>4</v>
      </c>
      <c r="L192" s="339">
        <v>1.2507999999999999</v>
      </c>
      <c r="M192" s="340">
        <f>'Daily Tekrit'!$K192*'Daily Tekrit'!$L192</f>
        <v>5.0031999999999996</v>
      </c>
      <c r="N192" s="343">
        <f>250/89.7</f>
        <v>2.7870680044593086</v>
      </c>
      <c r="O192" s="343"/>
      <c r="P192" s="343"/>
      <c r="Q192" s="343"/>
      <c r="R192" s="343"/>
      <c r="S192" s="343"/>
      <c r="T192" s="343"/>
      <c r="U192" s="344">
        <f>'Daily Tekrit'!$J192+'Daily Tekrit'!$M192+SUM($N192:$T192)</f>
        <v>166.1872680044593</v>
      </c>
      <c r="V192" s="306"/>
      <c r="W192" s="374">
        <f>1000/89.7</f>
        <v>11.148272017837234</v>
      </c>
      <c r="X192" s="354"/>
      <c r="Y192" s="354">
        <v>3</v>
      </c>
      <c r="Z192" s="346"/>
      <c r="AA192" s="347"/>
      <c r="AB192" s="347"/>
      <c r="AC192" s="347"/>
      <c r="AD192" s="348">
        <f t="shared" si="2"/>
        <v>0</v>
      </c>
      <c r="AE192" s="349"/>
      <c r="AF192" s="349"/>
      <c r="AG192" s="349"/>
      <c r="AH192" s="349"/>
      <c r="AI192" s="349"/>
      <c r="AJ192" s="349"/>
      <c r="AK192" s="349"/>
      <c r="AL192" s="349"/>
      <c r="AM192" s="350">
        <f t="shared" si="10"/>
        <v>0</v>
      </c>
      <c r="AN192" s="349"/>
      <c r="AO192" s="351">
        <f t="shared" si="9"/>
        <v>14.148272017837234</v>
      </c>
      <c r="AP192" s="352"/>
      <c r="AQ192" s="306"/>
      <c r="AR192" s="353">
        <f t="shared" si="11"/>
        <v>152.03899598662207</v>
      </c>
      <c r="AS192" s="239"/>
      <c r="AT192" s="239"/>
      <c r="AU192" s="239"/>
    </row>
    <row r="193" spans="1:47" x14ac:dyDescent="0.35">
      <c r="A193" s="332">
        <v>46162</v>
      </c>
      <c r="B193" s="371"/>
      <c r="C193" s="372">
        <f>'ODOMETERS Tekrit'!J189</f>
        <v>195</v>
      </c>
      <c r="D193" s="334">
        <v>1.427</v>
      </c>
      <c r="E193" s="335">
        <f>'Daily Tekrit'!$C193*'Daily Tekrit'!$D193</f>
        <v>278.26499999999999</v>
      </c>
      <c r="F193" s="336">
        <f>'ODOMETERS Tekrit'!K189</f>
        <v>221</v>
      </c>
      <c r="G193" s="334">
        <v>1.427</v>
      </c>
      <c r="H193" s="335">
        <f>'Daily Tekrit'!$F193*'Daily Tekrit'!$G193</f>
        <v>315.36700000000002</v>
      </c>
      <c r="I193" s="336">
        <f>'Daily Tekrit'!$C193+'Daily Tekrit'!$F193</f>
        <v>416</v>
      </c>
      <c r="J193" s="337">
        <f>'Daily Tekrit'!$E193+'Daily Tekrit'!$H193</f>
        <v>593.63200000000006</v>
      </c>
      <c r="K193" s="338">
        <f>'ODOMETERS Tekrit'!L189</f>
        <v>17</v>
      </c>
      <c r="L193" s="339">
        <v>1.2507999999999999</v>
      </c>
      <c r="M193" s="340">
        <f>'Daily Tekrit'!$K193*'Daily Tekrit'!$L193</f>
        <v>21.263599999999997</v>
      </c>
      <c r="N193" s="343"/>
      <c r="O193" s="343"/>
      <c r="P193" s="343"/>
      <c r="Q193" s="343"/>
      <c r="R193" s="343"/>
      <c r="S193" s="343"/>
      <c r="T193" s="343"/>
      <c r="U193" s="344">
        <f>'Daily Tekrit'!$J193+'Daily Tekrit'!$M193+SUM($N193:$T193)</f>
        <v>614.89560000000006</v>
      </c>
      <c r="V193" s="306"/>
      <c r="W193" s="374">
        <v>20</v>
      </c>
      <c r="X193" s="354"/>
      <c r="Y193" s="354">
        <v>4</v>
      </c>
      <c r="Z193" s="346"/>
      <c r="AA193" s="347"/>
      <c r="AB193" s="347"/>
      <c r="AC193" s="347"/>
      <c r="AD193" s="348">
        <f t="shared" si="2"/>
        <v>0</v>
      </c>
      <c r="AE193" s="349"/>
      <c r="AF193" s="349"/>
      <c r="AG193" s="349"/>
      <c r="AH193" s="349">
        <v>8</v>
      </c>
      <c r="AI193" s="349"/>
      <c r="AJ193" s="349"/>
      <c r="AK193" s="349"/>
      <c r="AL193" s="349"/>
      <c r="AM193" s="350">
        <f t="shared" si="10"/>
        <v>8</v>
      </c>
      <c r="AN193" s="349"/>
      <c r="AO193" s="351">
        <f t="shared" si="9"/>
        <v>32</v>
      </c>
      <c r="AP193" s="352"/>
      <c r="AQ193" s="306"/>
      <c r="AR193" s="353">
        <f t="shared" si="11"/>
        <v>582.89560000000006</v>
      </c>
      <c r="AS193" s="239"/>
      <c r="AT193" s="239"/>
      <c r="AU193" s="239"/>
    </row>
    <row r="194" spans="1:47" x14ac:dyDescent="0.35">
      <c r="A194" s="332">
        <v>46163</v>
      </c>
      <c r="B194" s="371"/>
      <c r="C194" s="372">
        <f>'ODOMETERS Tekrit'!J190</f>
        <v>140</v>
      </c>
      <c r="D194" s="334">
        <v>1.427</v>
      </c>
      <c r="E194" s="335">
        <f>'Daily Tekrit'!$C194*'Daily Tekrit'!$D194</f>
        <v>199.78</v>
      </c>
      <c r="F194" s="336">
        <f>'ODOMETERS Tekrit'!K190</f>
        <v>299</v>
      </c>
      <c r="G194" s="334">
        <v>1.427</v>
      </c>
      <c r="H194" s="335">
        <f>'Daily Tekrit'!$F194*'Daily Tekrit'!$G194</f>
        <v>426.673</v>
      </c>
      <c r="I194" s="336">
        <f>'Daily Tekrit'!$C194+'Daily Tekrit'!$F194</f>
        <v>439</v>
      </c>
      <c r="J194" s="337">
        <f>'Daily Tekrit'!$E194+'Daily Tekrit'!$H194</f>
        <v>626.45299999999997</v>
      </c>
      <c r="K194" s="338">
        <f>'ODOMETERS Tekrit'!L190</f>
        <v>17</v>
      </c>
      <c r="L194" s="339">
        <v>1.2507999999999999</v>
      </c>
      <c r="M194" s="340">
        <f>'Daily Tekrit'!$K194*'Daily Tekrit'!$L194</f>
        <v>21.263599999999997</v>
      </c>
      <c r="N194" s="343"/>
      <c r="O194" s="343"/>
      <c r="P194" s="343"/>
      <c r="Q194" s="343"/>
      <c r="R194" s="343"/>
      <c r="S194" s="343"/>
      <c r="T194" s="343"/>
      <c r="U194" s="344">
        <f>'Daily Tekrit'!$J194+'Daily Tekrit'!$M194+SUM($N194:$T194)</f>
        <v>647.71659999999997</v>
      </c>
      <c r="V194" s="306"/>
      <c r="W194" s="374">
        <v>15</v>
      </c>
      <c r="X194" s="354"/>
      <c r="Y194" s="354">
        <v>2</v>
      </c>
      <c r="Z194" s="346"/>
      <c r="AA194" s="347"/>
      <c r="AB194" s="347"/>
      <c r="AC194" s="347"/>
      <c r="AD194" s="348">
        <f t="shared" si="2"/>
        <v>0</v>
      </c>
      <c r="AE194" s="349"/>
      <c r="AF194" s="349"/>
      <c r="AG194" s="349"/>
      <c r="AH194" s="349"/>
      <c r="AI194" s="349"/>
      <c r="AJ194" s="349"/>
      <c r="AK194" s="349"/>
      <c r="AL194" s="349"/>
      <c r="AM194" s="350">
        <f t="shared" si="10"/>
        <v>0</v>
      </c>
      <c r="AN194" s="349"/>
      <c r="AO194" s="351">
        <f t="shared" si="9"/>
        <v>17</v>
      </c>
      <c r="AP194" s="352"/>
      <c r="AQ194" s="306"/>
      <c r="AR194" s="353">
        <f t="shared" si="11"/>
        <v>630.71659999999997</v>
      </c>
      <c r="AS194" s="239"/>
      <c r="AT194" s="239"/>
      <c r="AU194" s="239"/>
    </row>
    <row r="195" spans="1:47" x14ac:dyDescent="0.35">
      <c r="A195" s="332">
        <v>46164</v>
      </c>
      <c r="B195" s="371" t="s">
        <v>24</v>
      </c>
      <c r="C195" s="372">
        <f>'ODOMETERS Tekrit'!J191</f>
        <v>114</v>
      </c>
      <c r="D195" s="334">
        <v>1.427</v>
      </c>
      <c r="E195" s="335">
        <f>'Daily Tekrit'!$C195*'Daily Tekrit'!$D195</f>
        <v>162.678</v>
      </c>
      <c r="F195" s="336">
        <f>'ODOMETERS Tekrit'!K191</f>
        <v>275</v>
      </c>
      <c r="G195" s="334">
        <v>1.427</v>
      </c>
      <c r="H195" s="335">
        <f>'Daily Tekrit'!$F195*'Daily Tekrit'!$G195</f>
        <v>392.42500000000001</v>
      </c>
      <c r="I195" s="336">
        <f>'Daily Tekrit'!$C195+'Daily Tekrit'!$F195</f>
        <v>389</v>
      </c>
      <c r="J195" s="337">
        <f>'Daily Tekrit'!$E195+'Daily Tekrit'!$H195</f>
        <v>555.10300000000007</v>
      </c>
      <c r="K195" s="338">
        <f>'ODOMETERS Tekrit'!L191</f>
        <v>61</v>
      </c>
      <c r="L195" s="339">
        <v>1.2507999999999999</v>
      </c>
      <c r="M195" s="340">
        <f>'Daily Tekrit'!$K195*'Daily Tekrit'!$L195</f>
        <v>76.2988</v>
      </c>
      <c r="N195" s="343"/>
      <c r="O195" s="343"/>
      <c r="P195" s="343"/>
      <c r="Q195" s="343"/>
      <c r="R195" s="343"/>
      <c r="S195" s="343"/>
      <c r="T195" s="343"/>
      <c r="U195" s="344">
        <f>'Daily Tekrit'!$J195+'Daily Tekrit'!$M195+SUM($N195:$T195)</f>
        <v>631.40180000000009</v>
      </c>
      <c r="V195" s="306"/>
      <c r="W195" s="374"/>
      <c r="X195" s="354"/>
      <c r="Y195" s="354"/>
      <c r="Z195" s="346"/>
      <c r="AA195" s="347"/>
      <c r="AB195" s="347"/>
      <c r="AC195" s="347"/>
      <c r="AD195" s="348">
        <f t="shared" si="2"/>
        <v>0</v>
      </c>
      <c r="AE195" s="349"/>
      <c r="AF195" s="349"/>
      <c r="AG195" s="349"/>
      <c r="AH195" s="349"/>
      <c r="AI195" s="349"/>
      <c r="AJ195" s="349"/>
      <c r="AK195" s="349"/>
      <c r="AL195" s="349"/>
      <c r="AM195" s="350">
        <f t="shared" si="10"/>
        <v>0</v>
      </c>
      <c r="AN195" s="349"/>
      <c r="AO195" s="351">
        <f t="shared" si="9"/>
        <v>0</v>
      </c>
      <c r="AP195" s="352"/>
      <c r="AQ195" s="306"/>
      <c r="AR195" s="353">
        <f t="shared" si="11"/>
        <v>631.40180000000009</v>
      </c>
      <c r="AS195" s="239"/>
      <c r="AT195" s="239"/>
      <c r="AU195" s="239"/>
    </row>
    <row r="196" spans="1:47" x14ac:dyDescent="0.35">
      <c r="A196" s="332">
        <v>46164</v>
      </c>
      <c r="B196" s="371" t="s">
        <v>25</v>
      </c>
      <c r="C196" s="372">
        <f>'ODOMETERS Tekrit'!J192</f>
        <v>58</v>
      </c>
      <c r="D196" s="334">
        <v>1.4410000000000001</v>
      </c>
      <c r="E196" s="335">
        <f>'Daily Tekrit'!$C196*'Daily Tekrit'!$D196</f>
        <v>83.578000000000003</v>
      </c>
      <c r="F196" s="336">
        <f>'ODOMETERS Tekrit'!K192</f>
        <v>140</v>
      </c>
      <c r="G196" s="334">
        <v>1.4410000000000001</v>
      </c>
      <c r="H196" s="335">
        <f>'Daily Tekrit'!$F196*'Daily Tekrit'!$G196</f>
        <v>201.74</v>
      </c>
      <c r="I196" s="336">
        <f>'Daily Tekrit'!$C196+'Daily Tekrit'!$F196</f>
        <v>198</v>
      </c>
      <c r="J196" s="337">
        <f>'Daily Tekrit'!$E196+'Daily Tekrit'!$H196</f>
        <v>285.31799999999998</v>
      </c>
      <c r="K196" s="338">
        <f>'ODOMETERS Tekrit'!L192</f>
        <v>14</v>
      </c>
      <c r="L196" s="339">
        <v>1.2391000000000001</v>
      </c>
      <c r="M196" s="340">
        <f>'Daily Tekrit'!$K196*'Daily Tekrit'!$L196</f>
        <v>17.3474</v>
      </c>
      <c r="N196" s="343"/>
      <c r="O196" s="343"/>
      <c r="P196" s="343"/>
      <c r="Q196" s="343"/>
      <c r="R196" s="343"/>
      <c r="S196" s="343"/>
      <c r="T196" s="343"/>
      <c r="U196" s="344">
        <f>'Daily Tekrit'!$J196+'Daily Tekrit'!$M196+SUM($N196:$T196)</f>
        <v>302.66539999999998</v>
      </c>
      <c r="V196" s="306"/>
      <c r="W196" s="374">
        <v>14</v>
      </c>
      <c r="X196" s="354"/>
      <c r="Y196" s="354"/>
      <c r="Z196" s="346"/>
      <c r="AA196" s="347"/>
      <c r="AB196" s="347"/>
      <c r="AC196" s="347"/>
      <c r="AD196" s="348">
        <f t="shared" si="2"/>
        <v>0</v>
      </c>
      <c r="AE196" s="349"/>
      <c r="AF196" s="349"/>
      <c r="AG196" s="349"/>
      <c r="AH196" s="349"/>
      <c r="AI196" s="349"/>
      <c r="AJ196" s="349"/>
      <c r="AK196" s="349"/>
      <c r="AL196" s="349"/>
      <c r="AM196" s="350">
        <f t="shared" si="10"/>
        <v>0</v>
      </c>
      <c r="AN196" s="349"/>
      <c r="AO196" s="351">
        <f t="shared" ref="AO196:AO259" si="12">SUM(W196:Y196,AD196,AM196,AN196)</f>
        <v>14</v>
      </c>
      <c r="AP196" s="352"/>
      <c r="AQ196" s="306"/>
      <c r="AR196" s="353">
        <f t="shared" si="11"/>
        <v>288.66539999999998</v>
      </c>
      <c r="AS196" s="239"/>
      <c r="AT196" s="239"/>
      <c r="AU196" s="239"/>
    </row>
    <row r="197" spans="1:47" x14ac:dyDescent="0.35">
      <c r="A197" s="332">
        <v>46165</v>
      </c>
      <c r="B197" s="371"/>
      <c r="C197" s="372">
        <f>'ODOMETERS Tekrit'!J193</f>
        <v>174</v>
      </c>
      <c r="D197" s="334">
        <v>1.4410000000000001</v>
      </c>
      <c r="E197" s="335">
        <f>'Daily Tekrit'!$C197*'Daily Tekrit'!$D197</f>
        <v>250.73400000000001</v>
      </c>
      <c r="F197" s="336">
        <f>'ODOMETERS Tekrit'!K193</f>
        <v>597</v>
      </c>
      <c r="G197" s="334">
        <v>1.4410000000000001</v>
      </c>
      <c r="H197" s="335">
        <f>'Daily Tekrit'!$F197*'Daily Tekrit'!$G197</f>
        <v>860.27700000000004</v>
      </c>
      <c r="I197" s="336">
        <f>'Daily Tekrit'!$C197+'Daily Tekrit'!$F197</f>
        <v>771</v>
      </c>
      <c r="J197" s="337">
        <f>'Daily Tekrit'!$E197+'Daily Tekrit'!$H197</f>
        <v>1111.011</v>
      </c>
      <c r="K197" s="338">
        <f>'ODOMETERS Tekrit'!L193</f>
        <v>2044</v>
      </c>
      <c r="L197" s="339">
        <v>1.2391000000000001</v>
      </c>
      <c r="M197" s="340">
        <f>'Daily Tekrit'!$K197*'Daily Tekrit'!$L197</f>
        <v>2532.7204000000002</v>
      </c>
      <c r="N197" s="343"/>
      <c r="O197" s="343"/>
      <c r="P197" s="343"/>
      <c r="Q197" s="343"/>
      <c r="R197" s="343"/>
      <c r="S197" s="343"/>
      <c r="T197" s="343"/>
      <c r="U197" s="344">
        <f>'Daily Tekrit'!$J197+'Daily Tekrit'!$M197+SUM($N197:$T197)</f>
        <v>3643.7314000000001</v>
      </c>
      <c r="V197" s="306"/>
      <c r="W197" s="374">
        <f>45+2000*1.2391</f>
        <v>2523.2000000000003</v>
      </c>
      <c r="X197" s="354"/>
      <c r="Y197" s="354">
        <v>5</v>
      </c>
      <c r="Z197" s="346"/>
      <c r="AA197" s="347"/>
      <c r="AB197" s="347"/>
      <c r="AC197" s="347"/>
      <c r="AD197" s="348">
        <f t="shared" si="2"/>
        <v>0</v>
      </c>
      <c r="AE197" s="349"/>
      <c r="AF197" s="349"/>
      <c r="AG197" s="349"/>
      <c r="AH197" s="349">
        <v>8</v>
      </c>
      <c r="AI197" s="349"/>
      <c r="AJ197" s="349"/>
      <c r="AK197" s="349"/>
      <c r="AL197" s="349"/>
      <c r="AM197" s="350">
        <f t="shared" si="10"/>
        <v>8</v>
      </c>
      <c r="AN197" s="349"/>
      <c r="AO197" s="351">
        <f t="shared" si="12"/>
        <v>2536.2000000000003</v>
      </c>
      <c r="AP197" s="352"/>
      <c r="AQ197" s="306"/>
      <c r="AR197" s="353">
        <f t="shared" si="11"/>
        <v>1107.5313999999998</v>
      </c>
      <c r="AS197" s="239"/>
      <c r="AT197" s="239"/>
      <c r="AU197" s="239"/>
    </row>
    <row r="198" spans="1:47" x14ac:dyDescent="0.35">
      <c r="A198" s="332">
        <v>46166</v>
      </c>
      <c r="B198" s="371"/>
      <c r="C198" s="372">
        <f>'ODOMETERS Tekrit'!J194</f>
        <v>160</v>
      </c>
      <c r="D198" s="334">
        <v>1.4410000000000001</v>
      </c>
      <c r="E198" s="335">
        <f>'Daily Tekrit'!$C198*'Daily Tekrit'!$D198</f>
        <v>230.56</v>
      </c>
      <c r="F198" s="336">
        <f>'ODOMETERS Tekrit'!K194</f>
        <v>452</v>
      </c>
      <c r="G198" s="334">
        <v>1.4410000000000001</v>
      </c>
      <c r="H198" s="335">
        <f>'Daily Tekrit'!$F198*'Daily Tekrit'!$G198</f>
        <v>651.33199999999999</v>
      </c>
      <c r="I198" s="336">
        <f>'Daily Tekrit'!$C198+'Daily Tekrit'!$F198</f>
        <v>612</v>
      </c>
      <c r="J198" s="337">
        <f>'Daily Tekrit'!$E198+'Daily Tekrit'!$H198</f>
        <v>881.89200000000005</v>
      </c>
      <c r="K198" s="338">
        <f>'ODOMETERS Tekrit'!L194</f>
        <v>119</v>
      </c>
      <c r="L198" s="339">
        <v>1.2391000000000001</v>
      </c>
      <c r="M198" s="340">
        <f>'Daily Tekrit'!$K198*'Daily Tekrit'!$L198</f>
        <v>147.4529</v>
      </c>
      <c r="N198" s="343"/>
      <c r="O198" s="343"/>
      <c r="P198" s="343"/>
      <c r="Q198" s="343"/>
      <c r="R198" s="343"/>
      <c r="S198" s="343"/>
      <c r="T198" s="343"/>
      <c r="U198" s="344">
        <f>'Daily Tekrit'!$J198+'Daily Tekrit'!$M198+SUM($N198:$T198)</f>
        <v>1029.3449000000001</v>
      </c>
      <c r="V198" s="306"/>
      <c r="W198" s="374">
        <f>15</f>
        <v>15</v>
      </c>
      <c r="X198" s="354"/>
      <c r="Y198" s="354">
        <v>1</v>
      </c>
      <c r="Z198" s="346"/>
      <c r="AA198" s="347"/>
      <c r="AB198" s="347"/>
      <c r="AC198" s="347"/>
      <c r="AD198" s="348">
        <f t="shared" si="2"/>
        <v>0</v>
      </c>
      <c r="AE198" s="349"/>
      <c r="AF198" s="349"/>
      <c r="AG198" s="349"/>
      <c r="AH198" s="349">
        <v>8</v>
      </c>
      <c r="AI198" s="349"/>
      <c r="AJ198" s="349"/>
      <c r="AK198" s="349"/>
      <c r="AL198" s="349"/>
      <c r="AM198" s="350">
        <f t="shared" si="10"/>
        <v>8</v>
      </c>
      <c r="AN198" s="349"/>
      <c r="AO198" s="351">
        <f t="shared" si="12"/>
        <v>24</v>
      </c>
      <c r="AP198" s="352"/>
      <c r="AQ198" s="306"/>
      <c r="AR198" s="353">
        <f t="shared" si="11"/>
        <v>1005.3449000000001</v>
      </c>
      <c r="AS198" s="239"/>
      <c r="AT198" s="239"/>
      <c r="AU198" s="239"/>
    </row>
    <row r="199" spans="1:47" x14ac:dyDescent="0.35">
      <c r="A199" s="332">
        <v>46167</v>
      </c>
      <c r="B199" s="371"/>
      <c r="C199" s="372">
        <f>'ODOMETERS Tekrit'!J195</f>
        <v>649</v>
      </c>
      <c r="D199" s="334">
        <v>1.4410000000000001</v>
      </c>
      <c r="E199" s="335">
        <f>'Daily Tekrit'!$C199*'Daily Tekrit'!$D199</f>
        <v>935.20900000000006</v>
      </c>
      <c r="F199" s="336">
        <f>'ODOMETERS Tekrit'!K195</f>
        <v>134</v>
      </c>
      <c r="G199" s="334">
        <v>1.4410000000000001</v>
      </c>
      <c r="H199" s="335">
        <f>'Daily Tekrit'!$F199*'Daily Tekrit'!$G199</f>
        <v>193.09399999999999</v>
      </c>
      <c r="I199" s="336">
        <f>'Daily Tekrit'!$C199+'Daily Tekrit'!$F199</f>
        <v>783</v>
      </c>
      <c r="J199" s="337">
        <f>'Daily Tekrit'!$E199+'Daily Tekrit'!$H199</f>
        <v>1128.3030000000001</v>
      </c>
      <c r="K199" s="338">
        <f>'ODOMETERS Tekrit'!L195</f>
        <v>561</v>
      </c>
      <c r="L199" s="339">
        <v>1.2391000000000001</v>
      </c>
      <c r="M199" s="340">
        <f>'Daily Tekrit'!$K199*'Daily Tekrit'!$L199</f>
        <v>695.13510000000008</v>
      </c>
      <c r="N199" s="343">
        <f>350/89.7</f>
        <v>3.9018952062430321</v>
      </c>
      <c r="O199" s="343"/>
      <c r="P199" s="343"/>
      <c r="Q199" s="343"/>
      <c r="R199" s="343"/>
      <c r="S199" s="343"/>
      <c r="T199" s="343">
        <f>100/89.7</f>
        <v>1.1148272017837235</v>
      </c>
      <c r="U199" s="344">
        <f>'Daily Tekrit'!$J199+'Daily Tekrit'!$M199+SUM($N199:$T199)</f>
        <v>1828.454822408027</v>
      </c>
      <c r="V199" s="306"/>
      <c r="W199" s="374">
        <f>20+500*1.2931+5</f>
        <v>671.55</v>
      </c>
      <c r="X199" s="354">
        <f>10*1.441</f>
        <v>14.41</v>
      </c>
      <c r="Y199" s="354">
        <v>-9</v>
      </c>
      <c r="Z199" s="346"/>
      <c r="AA199" s="347"/>
      <c r="AB199" s="347"/>
      <c r="AC199" s="347"/>
      <c r="AD199" s="348">
        <f t="shared" si="2"/>
        <v>0</v>
      </c>
      <c r="AE199" s="349"/>
      <c r="AF199" s="349"/>
      <c r="AG199" s="349"/>
      <c r="AH199" s="349">
        <v>28</v>
      </c>
      <c r="AI199" s="349"/>
      <c r="AJ199" s="349">
        <f>300/89.7</f>
        <v>3.3444816053511706</v>
      </c>
      <c r="AK199" s="349"/>
      <c r="AL199" s="349"/>
      <c r="AM199" s="350">
        <f t="shared" si="10"/>
        <v>31.34448160535117</v>
      </c>
      <c r="AN199" s="349"/>
      <c r="AO199" s="351">
        <f t="shared" si="12"/>
        <v>708.30448160535104</v>
      </c>
      <c r="AP199" s="352"/>
      <c r="AQ199" s="306"/>
      <c r="AR199" s="353">
        <f t="shared" si="11"/>
        <v>1120.1503408026761</v>
      </c>
      <c r="AS199" s="239"/>
      <c r="AT199" s="239"/>
      <c r="AU199" s="243"/>
    </row>
    <row r="200" spans="1:47" x14ac:dyDescent="0.35">
      <c r="A200" s="332">
        <v>46168</v>
      </c>
      <c r="B200" s="371" t="s">
        <v>24</v>
      </c>
      <c r="C200" s="372">
        <f>'ODOMETERS Tekrit'!J196</f>
        <v>384</v>
      </c>
      <c r="D200" s="334">
        <v>1.4410000000000001</v>
      </c>
      <c r="E200" s="335">
        <f>'Daily Tekrit'!$C200*'Daily Tekrit'!$D200</f>
        <v>553.34400000000005</v>
      </c>
      <c r="F200" s="336">
        <f>'ODOMETERS Tekrit'!K196</f>
        <v>0</v>
      </c>
      <c r="G200" s="334">
        <v>1.4410000000000001</v>
      </c>
      <c r="H200" s="335">
        <f>'Daily Tekrit'!$F200*'Daily Tekrit'!$G200</f>
        <v>0</v>
      </c>
      <c r="I200" s="336">
        <f>'Daily Tekrit'!$C200+'Daily Tekrit'!$F200</f>
        <v>384</v>
      </c>
      <c r="J200" s="337">
        <f>'Daily Tekrit'!$E200+'Daily Tekrit'!$H200</f>
        <v>553.34400000000005</v>
      </c>
      <c r="K200" s="338">
        <f>'ODOMETERS Tekrit'!L196</f>
        <v>28</v>
      </c>
      <c r="L200" s="339">
        <v>1.2391000000000001</v>
      </c>
      <c r="M200" s="340">
        <f>'Daily Tekrit'!$K200*'Daily Tekrit'!$L200</f>
        <v>34.694800000000001</v>
      </c>
      <c r="N200" s="343"/>
      <c r="O200" s="343"/>
      <c r="P200" s="343"/>
      <c r="Q200" s="343"/>
      <c r="R200" s="343"/>
      <c r="S200" s="343"/>
      <c r="T200" s="343"/>
      <c r="U200" s="344">
        <f>'Daily Tekrit'!$J200+'Daily Tekrit'!$M200+SUM($N200:$T200)</f>
        <v>588.03880000000004</v>
      </c>
      <c r="V200" s="306"/>
      <c r="W200" s="374">
        <v>10</v>
      </c>
      <c r="X200" s="354"/>
      <c r="Y200" s="354"/>
      <c r="Z200" s="346"/>
      <c r="AA200" s="347"/>
      <c r="AB200" s="347"/>
      <c r="AC200" s="347"/>
      <c r="AD200" s="348">
        <f t="shared" si="2"/>
        <v>0</v>
      </c>
      <c r="AE200" s="349"/>
      <c r="AF200" s="349"/>
      <c r="AG200" s="349"/>
      <c r="AH200" s="349">
        <v>8</v>
      </c>
      <c r="AI200" s="349"/>
      <c r="AJ200" s="349"/>
      <c r="AK200" s="349"/>
      <c r="AL200" s="349"/>
      <c r="AM200" s="350">
        <f t="shared" ref="AM200:AM263" si="13">SUM(AE200:AL200)</f>
        <v>8</v>
      </c>
      <c r="AN200" s="349"/>
      <c r="AO200" s="351">
        <f t="shared" si="12"/>
        <v>18</v>
      </c>
      <c r="AP200" s="352"/>
      <c r="AQ200" s="306"/>
      <c r="AR200" s="353">
        <f t="shared" si="11"/>
        <v>570.03880000000004</v>
      </c>
      <c r="AS200" s="239"/>
      <c r="AT200" s="239"/>
      <c r="AU200" s="239"/>
    </row>
    <row r="201" spans="1:47" x14ac:dyDescent="0.35">
      <c r="A201" s="332">
        <v>46168</v>
      </c>
      <c r="B201" s="371" t="s">
        <v>25</v>
      </c>
      <c r="C201" s="372">
        <f>'ODOMETERS Tekrit'!J197</f>
        <v>346</v>
      </c>
      <c r="D201" s="334">
        <v>1.4390000000000001</v>
      </c>
      <c r="E201" s="335">
        <f>'Daily Tekrit'!$C201*'Daily Tekrit'!$D201</f>
        <v>497.89400000000001</v>
      </c>
      <c r="F201" s="336">
        <f>'ODOMETERS Tekrit'!K197</f>
        <v>0</v>
      </c>
      <c r="G201" s="334">
        <v>1.4390000000000001</v>
      </c>
      <c r="H201" s="335">
        <f>'Daily Tekrit'!$F201*'Daily Tekrit'!$G201</f>
        <v>0</v>
      </c>
      <c r="I201" s="336">
        <f>'Daily Tekrit'!$C201+'Daily Tekrit'!$F201</f>
        <v>346</v>
      </c>
      <c r="J201" s="337">
        <f>'Daily Tekrit'!$E201+'Daily Tekrit'!$H201</f>
        <v>497.89400000000001</v>
      </c>
      <c r="K201" s="338">
        <f>'ODOMETERS Tekrit'!L197</f>
        <v>19</v>
      </c>
      <c r="L201" s="339">
        <v>1.2245999999999999</v>
      </c>
      <c r="M201" s="340">
        <f>'Daily Tekrit'!$K201*'Daily Tekrit'!$L201</f>
        <v>23.267399999999999</v>
      </c>
      <c r="N201" s="343"/>
      <c r="O201" s="343"/>
      <c r="P201" s="343"/>
      <c r="Q201" s="343"/>
      <c r="R201" s="343"/>
      <c r="S201" s="343"/>
      <c r="T201" s="343"/>
      <c r="U201" s="344">
        <f>'Daily Tekrit'!$J201+'Daily Tekrit'!$M201+SUM($N201:$T201)</f>
        <v>521.16139999999996</v>
      </c>
      <c r="V201" s="306"/>
      <c r="W201" s="374">
        <f>30+20+39+34+6</f>
        <v>129</v>
      </c>
      <c r="X201" s="354"/>
      <c r="Y201" s="354">
        <v>1</v>
      </c>
      <c r="Z201" s="346"/>
      <c r="AA201" s="347"/>
      <c r="AB201" s="347"/>
      <c r="AC201" s="347"/>
      <c r="AD201" s="348">
        <f t="shared" si="2"/>
        <v>0</v>
      </c>
      <c r="AE201" s="349"/>
      <c r="AF201" s="349"/>
      <c r="AG201" s="349"/>
      <c r="AH201" s="349">
        <f>21*1.439</f>
        <v>30.219000000000001</v>
      </c>
      <c r="AI201" s="349"/>
      <c r="AJ201" s="349"/>
      <c r="AK201" s="349"/>
      <c r="AL201" s="349"/>
      <c r="AM201" s="350">
        <f t="shared" si="13"/>
        <v>30.219000000000001</v>
      </c>
      <c r="AN201" s="349"/>
      <c r="AO201" s="351">
        <f t="shared" si="12"/>
        <v>160.21899999999999</v>
      </c>
      <c r="AP201" s="352"/>
      <c r="AQ201" s="306"/>
      <c r="AR201" s="353">
        <f t="shared" si="11"/>
        <v>360.94239999999996</v>
      </c>
      <c r="AS201" s="239"/>
      <c r="AT201" s="239"/>
      <c r="AU201" s="239"/>
    </row>
    <row r="202" spans="1:47" x14ac:dyDescent="0.35">
      <c r="A202" s="332">
        <v>46169</v>
      </c>
      <c r="B202" s="371"/>
      <c r="C202" s="372">
        <f>'ODOMETERS Tekrit'!J198</f>
        <v>697</v>
      </c>
      <c r="D202" s="334">
        <v>1.4390000000000001</v>
      </c>
      <c r="E202" s="335">
        <f>'Daily Tekrit'!$C202*'Daily Tekrit'!$D202</f>
        <v>1002.9830000000001</v>
      </c>
      <c r="F202" s="336">
        <f>'ODOMETERS Tekrit'!K198</f>
        <v>1024</v>
      </c>
      <c r="G202" s="334">
        <v>1.4390000000000001</v>
      </c>
      <c r="H202" s="335">
        <f>'Daily Tekrit'!$F202*'Daily Tekrit'!$G202</f>
        <v>1473.5360000000001</v>
      </c>
      <c r="I202" s="336">
        <f>'Daily Tekrit'!$C202+'Daily Tekrit'!$F202</f>
        <v>1721</v>
      </c>
      <c r="J202" s="337">
        <f>'Daily Tekrit'!$E202+'Daily Tekrit'!$H202</f>
        <v>2476.5190000000002</v>
      </c>
      <c r="K202" s="338">
        <f>'ODOMETERS Tekrit'!L198</f>
        <v>98</v>
      </c>
      <c r="L202" s="339">
        <v>1.2245999999999999</v>
      </c>
      <c r="M202" s="340">
        <f>'Daily Tekrit'!$K202*'Daily Tekrit'!$L202</f>
        <v>120.01079999999999</v>
      </c>
      <c r="N202" s="343">
        <f>700/89.7</f>
        <v>7.8037904124860642</v>
      </c>
      <c r="O202" s="343"/>
      <c r="P202" s="343"/>
      <c r="Q202" s="343"/>
      <c r="R202" s="343"/>
      <c r="S202" s="343"/>
      <c r="T202" s="343">
        <f>400/89.7</f>
        <v>4.4593088071348941</v>
      </c>
      <c r="U202" s="344">
        <f>'Daily Tekrit'!$J202+'Daily Tekrit'!$M202+SUM($N202:$T202)</f>
        <v>2608.7928992196212</v>
      </c>
      <c r="V202" s="306"/>
      <c r="W202" s="374">
        <v>40</v>
      </c>
      <c r="X202" s="354">
        <f>50*1.439</f>
        <v>71.95</v>
      </c>
      <c r="Y202" s="354">
        <v>8</v>
      </c>
      <c r="Z202" s="346"/>
      <c r="AA202" s="347"/>
      <c r="AB202" s="347"/>
      <c r="AC202" s="347"/>
      <c r="AD202" s="348">
        <f t="shared" si="2"/>
        <v>0</v>
      </c>
      <c r="AE202" s="349"/>
      <c r="AF202" s="349"/>
      <c r="AG202" s="349"/>
      <c r="AH202" s="349">
        <v>10</v>
      </c>
      <c r="AI202" s="349"/>
      <c r="AJ202" s="349"/>
      <c r="AK202" s="349"/>
      <c r="AL202" s="349"/>
      <c r="AM202" s="350">
        <f t="shared" si="13"/>
        <v>10</v>
      </c>
      <c r="AN202" s="349"/>
      <c r="AO202" s="351">
        <f t="shared" si="12"/>
        <v>129.94999999999999</v>
      </c>
      <c r="AP202" s="352"/>
      <c r="AQ202" s="306"/>
      <c r="AR202" s="353">
        <f t="shared" si="11"/>
        <v>2478.8428992196214</v>
      </c>
      <c r="AS202" s="239"/>
      <c r="AT202" s="239"/>
      <c r="AU202" s="239"/>
    </row>
    <row r="203" spans="1:47" x14ac:dyDescent="0.35">
      <c r="A203" s="332">
        <v>46170</v>
      </c>
      <c r="B203" s="371"/>
      <c r="C203" s="372">
        <f>'ODOMETERS Tekrit'!J199</f>
        <v>417</v>
      </c>
      <c r="D203" s="334">
        <v>1.4390000000000001</v>
      </c>
      <c r="E203" s="335">
        <f>'Daily Tekrit'!$C203*'Daily Tekrit'!$D203</f>
        <v>600.06299999999999</v>
      </c>
      <c r="F203" s="336">
        <f>'ODOMETERS Tekrit'!K199</f>
        <v>794</v>
      </c>
      <c r="G203" s="334">
        <v>1.4390000000000001</v>
      </c>
      <c r="H203" s="335">
        <f>'Daily Tekrit'!$F203*'Daily Tekrit'!$G203</f>
        <v>1142.566</v>
      </c>
      <c r="I203" s="336">
        <f>'Daily Tekrit'!$C203+'Daily Tekrit'!$F203</f>
        <v>1211</v>
      </c>
      <c r="J203" s="337">
        <f>'Daily Tekrit'!$E203+'Daily Tekrit'!$H203</f>
        <v>1742.6289999999999</v>
      </c>
      <c r="K203" s="338">
        <f>'ODOMETERS Tekrit'!L199</f>
        <v>74</v>
      </c>
      <c r="L203" s="339">
        <v>1.2245999999999999</v>
      </c>
      <c r="M203" s="340">
        <f>'Daily Tekrit'!$K203*'Daily Tekrit'!$L203</f>
        <v>90.620399999999989</v>
      </c>
      <c r="N203" s="343"/>
      <c r="O203" s="343"/>
      <c r="P203" s="343"/>
      <c r="Q203" s="343"/>
      <c r="R203" s="343"/>
      <c r="S203" s="343"/>
      <c r="T203" s="343">
        <f>400/89.7</f>
        <v>4.4593088071348941</v>
      </c>
      <c r="U203" s="344">
        <f>'Daily Tekrit'!$J203+'Daily Tekrit'!$M203+SUM($N203:$T203)</f>
        <v>1837.7087088071348</v>
      </c>
      <c r="V203" s="306"/>
      <c r="W203" s="374">
        <v>47</v>
      </c>
      <c r="X203" s="354">
        <f>50*1.439</f>
        <v>71.95</v>
      </c>
      <c r="Y203" s="354">
        <v>2</v>
      </c>
      <c r="Z203" s="346"/>
      <c r="AA203" s="347"/>
      <c r="AB203" s="347"/>
      <c r="AC203" s="347"/>
      <c r="AD203" s="348">
        <f t="shared" si="2"/>
        <v>0</v>
      </c>
      <c r="AE203" s="349"/>
      <c r="AF203" s="349"/>
      <c r="AG203" s="349"/>
      <c r="AH203" s="349">
        <v>8</v>
      </c>
      <c r="AI203" s="349"/>
      <c r="AJ203" s="349"/>
      <c r="AK203" s="349"/>
      <c r="AL203" s="349"/>
      <c r="AM203" s="350">
        <f t="shared" si="13"/>
        <v>8</v>
      </c>
      <c r="AN203" s="349"/>
      <c r="AO203" s="351">
        <f>SUM(W203:Y203,AD203,AM203,AN203)</f>
        <v>128.94999999999999</v>
      </c>
      <c r="AP203" s="352"/>
      <c r="AQ203" s="306"/>
      <c r="AR203" s="353">
        <f t="shared" si="11"/>
        <v>1708.7587088071348</v>
      </c>
      <c r="AS203" s="239"/>
      <c r="AT203" s="239"/>
      <c r="AU203" s="243"/>
    </row>
    <row r="204" spans="1:47" x14ac:dyDescent="0.35">
      <c r="A204" s="332">
        <v>46171</v>
      </c>
      <c r="B204" s="371"/>
      <c r="C204" s="372">
        <f>'ODOMETERS Tekrit'!J200</f>
        <v>289</v>
      </c>
      <c r="D204" s="334">
        <v>1.4390000000000001</v>
      </c>
      <c r="E204" s="335">
        <f>'Daily Tekrit'!$C204*'Daily Tekrit'!$D204</f>
        <v>415.87100000000004</v>
      </c>
      <c r="F204" s="336">
        <f>'ODOMETERS Tekrit'!K200</f>
        <v>464</v>
      </c>
      <c r="G204" s="334">
        <v>1.4390000000000001</v>
      </c>
      <c r="H204" s="335">
        <f>'Daily Tekrit'!$F204*'Daily Tekrit'!$G204</f>
        <v>667.69600000000003</v>
      </c>
      <c r="I204" s="336">
        <f>'Daily Tekrit'!$C204+'Daily Tekrit'!$F204</f>
        <v>753</v>
      </c>
      <c r="J204" s="337">
        <f>'Daily Tekrit'!$E204+'Daily Tekrit'!$H204</f>
        <v>1083.567</v>
      </c>
      <c r="K204" s="338">
        <f>'ODOMETERS Tekrit'!L200</f>
        <v>28</v>
      </c>
      <c r="L204" s="339">
        <v>1.2245999999999999</v>
      </c>
      <c r="M204" s="340">
        <f>'Daily Tekrit'!$K204*'Daily Tekrit'!$L204</f>
        <v>34.288799999999995</v>
      </c>
      <c r="N204" s="343">
        <f>(350+350+350)/89.7</f>
        <v>11.705685618729097</v>
      </c>
      <c r="O204" s="343"/>
      <c r="P204" s="343"/>
      <c r="Q204" s="343"/>
      <c r="R204" s="343"/>
      <c r="S204" s="343"/>
      <c r="T204" s="343"/>
      <c r="U204" s="344">
        <f>'Daily Tekrit'!$J204+'Daily Tekrit'!$M204+SUM($N204:$T204)</f>
        <v>1129.5614856187292</v>
      </c>
      <c r="V204" s="306"/>
      <c r="W204" s="374">
        <v>50</v>
      </c>
      <c r="X204" s="354"/>
      <c r="Y204" s="354">
        <v>3</v>
      </c>
      <c r="Z204" s="346"/>
      <c r="AA204" s="347"/>
      <c r="AB204" s="347"/>
      <c r="AC204" s="347"/>
      <c r="AD204" s="348">
        <f t="shared" si="2"/>
        <v>0</v>
      </c>
      <c r="AE204" s="349"/>
      <c r="AF204" s="349"/>
      <c r="AG204" s="349"/>
      <c r="AH204" s="349">
        <v>8</v>
      </c>
      <c r="AI204" s="349"/>
      <c r="AJ204" s="349">
        <f>300/89.7</f>
        <v>3.3444816053511706</v>
      </c>
      <c r="AK204" s="349"/>
      <c r="AL204" s="349"/>
      <c r="AM204" s="350">
        <f t="shared" si="13"/>
        <v>11.34448160535117</v>
      </c>
      <c r="AN204" s="349"/>
      <c r="AO204" s="351">
        <f t="shared" si="12"/>
        <v>64.344481605351177</v>
      </c>
      <c r="AP204" s="352"/>
      <c r="AQ204" s="306"/>
      <c r="AR204" s="353">
        <f t="shared" si="11"/>
        <v>1065.2170040133781</v>
      </c>
      <c r="AS204" s="239"/>
      <c r="AT204" s="239"/>
      <c r="AU204" s="239"/>
    </row>
    <row r="205" spans="1:47" x14ac:dyDescent="0.35">
      <c r="A205" s="332">
        <v>46172</v>
      </c>
      <c r="B205" s="371"/>
      <c r="C205" s="372">
        <f>'ODOMETERS Tekrit'!J201</f>
        <v>440</v>
      </c>
      <c r="D205" s="334">
        <v>1.4390000000000001</v>
      </c>
      <c r="E205" s="335">
        <f>'Daily Tekrit'!$C205*'Daily Tekrit'!$D205</f>
        <v>633.16000000000008</v>
      </c>
      <c r="F205" s="336">
        <f>'ODOMETERS Tekrit'!K201</f>
        <v>383</v>
      </c>
      <c r="G205" s="334">
        <v>1.4390000000000001</v>
      </c>
      <c r="H205" s="335">
        <f>'Daily Tekrit'!$F205*'Daily Tekrit'!$G205</f>
        <v>551.13700000000006</v>
      </c>
      <c r="I205" s="336">
        <f>'Daily Tekrit'!$C205+'Daily Tekrit'!$F205</f>
        <v>823</v>
      </c>
      <c r="J205" s="337">
        <f>'Daily Tekrit'!$E205+'Daily Tekrit'!$H205</f>
        <v>1184.297</v>
      </c>
      <c r="K205" s="338">
        <f>'ODOMETERS Tekrit'!L201</f>
        <v>75</v>
      </c>
      <c r="L205" s="339">
        <v>1.2245999999999999</v>
      </c>
      <c r="M205" s="340">
        <f>'Daily Tekrit'!$K205*'Daily Tekrit'!$L205</f>
        <v>91.844999999999999</v>
      </c>
      <c r="N205" s="343">
        <f>700/89.7+350/89.7</f>
        <v>11.705685618729095</v>
      </c>
      <c r="O205" s="343"/>
      <c r="P205" s="343"/>
      <c r="Q205" s="343"/>
      <c r="R205" s="343"/>
      <c r="S205" s="343"/>
      <c r="T205" s="343"/>
      <c r="U205" s="344">
        <f>'Daily Tekrit'!$J205+'Daily Tekrit'!$M205+SUM($N205:$T205)</f>
        <v>1287.8476856187292</v>
      </c>
      <c r="V205" s="306"/>
      <c r="W205" s="374"/>
      <c r="X205" s="354"/>
      <c r="Y205" s="354">
        <v>4</v>
      </c>
      <c r="Z205" s="346"/>
      <c r="AA205" s="347"/>
      <c r="AB205" s="347"/>
      <c r="AC205" s="347"/>
      <c r="AD205" s="348">
        <f t="shared" si="2"/>
        <v>0</v>
      </c>
      <c r="AE205" s="349"/>
      <c r="AF205" s="349"/>
      <c r="AG205" s="349"/>
      <c r="AH205" s="349">
        <v>8</v>
      </c>
      <c r="AI205" s="349"/>
      <c r="AJ205" s="349"/>
      <c r="AK205" s="349"/>
      <c r="AL205" s="349"/>
      <c r="AM205" s="350">
        <f t="shared" si="13"/>
        <v>8</v>
      </c>
      <c r="AN205" s="349"/>
      <c r="AO205" s="351">
        <f t="shared" si="12"/>
        <v>12</v>
      </c>
      <c r="AP205" s="352"/>
      <c r="AQ205" s="306"/>
      <c r="AR205" s="353">
        <f t="shared" si="11"/>
        <v>1275.8476856187292</v>
      </c>
      <c r="AS205" s="239"/>
      <c r="AT205" s="239"/>
      <c r="AU205" s="239"/>
    </row>
    <row r="206" spans="1:47" x14ac:dyDescent="0.35">
      <c r="A206" s="332">
        <v>46173</v>
      </c>
      <c r="B206" s="371"/>
      <c r="C206" s="372">
        <f>'ODOMETERS Tekrit'!J202</f>
        <v>552</v>
      </c>
      <c r="D206" s="334">
        <v>1.4390000000000001</v>
      </c>
      <c r="E206" s="335">
        <f>'Daily Tekrit'!$C206*'Daily Tekrit'!$D206</f>
        <v>794.32799999999997</v>
      </c>
      <c r="F206" s="336">
        <f>'ODOMETERS Tekrit'!K202</f>
        <v>26</v>
      </c>
      <c r="G206" s="334">
        <v>1.4390000000000001</v>
      </c>
      <c r="H206" s="335">
        <f>'Daily Tekrit'!$F206*'Daily Tekrit'!$G206</f>
        <v>37.414000000000001</v>
      </c>
      <c r="I206" s="336">
        <f>'Daily Tekrit'!$C206+'Daily Tekrit'!$F206</f>
        <v>578</v>
      </c>
      <c r="J206" s="337">
        <f>'Daily Tekrit'!$E206+'Daily Tekrit'!$H206</f>
        <v>831.74199999999996</v>
      </c>
      <c r="K206" s="338">
        <f>'ODOMETERS Tekrit'!L202</f>
        <v>71</v>
      </c>
      <c r="L206" s="339">
        <v>1.2245999999999999</v>
      </c>
      <c r="M206" s="340">
        <f>'Daily Tekrit'!$K206*'Daily Tekrit'!$L206</f>
        <v>86.946599999999989</v>
      </c>
      <c r="N206" s="343">
        <f>250/89.7+150/89.7+350/89.7</f>
        <v>8.3612040133779253</v>
      </c>
      <c r="O206" s="343"/>
      <c r="P206" s="343"/>
      <c r="Q206" s="343"/>
      <c r="R206" s="343"/>
      <c r="S206" s="343"/>
      <c r="T206" s="343">
        <f>150/89.7</f>
        <v>1.6722408026755853</v>
      </c>
      <c r="U206" s="344">
        <f>'Daily Tekrit'!$J206+'Daily Tekrit'!$M206+SUM($N206:$T206)</f>
        <v>928.72204481605343</v>
      </c>
      <c r="V206" s="306"/>
      <c r="W206" s="374">
        <v>28</v>
      </c>
      <c r="X206" s="354">
        <f>20*1.439</f>
        <v>28.78</v>
      </c>
      <c r="Y206" s="354"/>
      <c r="Z206" s="346"/>
      <c r="AA206" s="347"/>
      <c r="AB206" s="347"/>
      <c r="AC206" s="347"/>
      <c r="AD206" s="348">
        <f t="shared" si="2"/>
        <v>0</v>
      </c>
      <c r="AE206" s="349"/>
      <c r="AF206" s="349"/>
      <c r="AG206" s="349"/>
      <c r="AH206" s="349">
        <v>8</v>
      </c>
      <c r="AI206" s="349"/>
      <c r="AJ206" s="349"/>
      <c r="AK206" s="349"/>
      <c r="AL206" s="349"/>
      <c r="AM206" s="350">
        <f t="shared" si="13"/>
        <v>8</v>
      </c>
      <c r="AN206" s="349"/>
      <c r="AO206" s="351">
        <f t="shared" si="12"/>
        <v>64.78</v>
      </c>
      <c r="AP206" s="352"/>
      <c r="AQ206" s="306"/>
      <c r="AR206" s="353">
        <f t="shared" ref="AR206:AR252" si="14">U206-AO206</f>
        <v>863.94204481605345</v>
      </c>
      <c r="AS206" s="239"/>
      <c r="AT206" s="239"/>
      <c r="AU206" s="243"/>
    </row>
    <row r="207" spans="1:47" x14ac:dyDescent="0.35">
      <c r="A207" s="332">
        <v>46174</v>
      </c>
      <c r="B207" s="371"/>
      <c r="C207" s="372">
        <f>'ODOMETERS Tekrit'!J203</f>
        <v>1550</v>
      </c>
      <c r="D207" s="334">
        <v>1.4390000000000001</v>
      </c>
      <c r="E207" s="335">
        <f>'Daily Tekrit'!$C207*'Daily Tekrit'!$D207</f>
        <v>2230.4500000000003</v>
      </c>
      <c r="F207" s="336">
        <f>'ODOMETERS Tekrit'!K203</f>
        <v>85</v>
      </c>
      <c r="G207" s="334">
        <v>1.4390000000000001</v>
      </c>
      <c r="H207" s="335">
        <f>'Daily Tekrit'!$F207*'Daily Tekrit'!$G207</f>
        <v>122.315</v>
      </c>
      <c r="I207" s="336">
        <f>'Daily Tekrit'!$C207+'Daily Tekrit'!$F207</f>
        <v>1635</v>
      </c>
      <c r="J207" s="337">
        <f>'Daily Tekrit'!$E207+'Daily Tekrit'!$H207</f>
        <v>2352.7650000000003</v>
      </c>
      <c r="K207" s="338">
        <f>'ODOMETERS Tekrit'!L203</f>
        <v>35</v>
      </c>
      <c r="L207" s="339">
        <v>1.2245999999999999</v>
      </c>
      <c r="M207" s="340">
        <f>'Daily Tekrit'!$K207*'Daily Tekrit'!$L207</f>
        <v>42.860999999999997</v>
      </c>
      <c r="N207" s="343">
        <f>350/89.7</f>
        <v>3.9018952062430321</v>
      </c>
      <c r="O207" s="343"/>
      <c r="P207" s="343"/>
      <c r="Q207" s="343"/>
      <c r="R207" s="343"/>
      <c r="S207" s="343"/>
      <c r="T207" s="343">
        <f>100/89.7</f>
        <v>1.1148272017837235</v>
      </c>
      <c r="U207" s="344">
        <f>'Daily Tekrit'!$J207+'Daily Tekrit'!$M207+SUM($N207:$T207)</f>
        <v>2400.6427224080271</v>
      </c>
      <c r="V207" s="306"/>
      <c r="W207" s="374">
        <f>1000*1.439+50</f>
        <v>1489</v>
      </c>
      <c r="X207" s="354">
        <f>10*1.439</f>
        <v>14.39</v>
      </c>
      <c r="Y207" s="354"/>
      <c r="Z207" s="346"/>
      <c r="AA207" s="347"/>
      <c r="AB207" s="347"/>
      <c r="AC207" s="347"/>
      <c r="AD207" s="348">
        <f t="shared" si="2"/>
        <v>0</v>
      </c>
      <c r="AE207" s="349"/>
      <c r="AF207" s="349"/>
      <c r="AG207" s="349"/>
      <c r="AH207" s="349">
        <v>8</v>
      </c>
      <c r="AI207" s="349"/>
      <c r="AJ207" s="349"/>
      <c r="AK207" s="349"/>
      <c r="AL207" s="349"/>
      <c r="AM207" s="350">
        <f t="shared" si="13"/>
        <v>8</v>
      </c>
      <c r="AN207" s="349"/>
      <c r="AO207" s="351">
        <f t="shared" si="12"/>
        <v>1511.39</v>
      </c>
      <c r="AP207" s="352"/>
      <c r="AQ207" s="306"/>
      <c r="AR207" s="353">
        <f t="shared" si="14"/>
        <v>889.25272240802701</v>
      </c>
      <c r="AS207" s="239"/>
      <c r="AT207" s="239"/>
      <c r="AU207" s="239"/>
    </row>
    <row r="208" spans="1:47" x14ac:dyDescent="0.35">
      <c r="A208" s="332">
        <v>46175</v>
      </c>
      <c r="B208" s="371" t="s">
        <v>24</v>
      </c>
      <c r="C208" s="372">
        <f>'ODOMETERS Tekrit'!J204</f>
        <v>266</v>
      </c>
      <c r="D208" s="334">
        <v>1.4390000000000001</v>
      </c>
      <c r="E208" s="335">
        <f>'Daily Tekrit'!$C208*'Daily Tekrit'!$D208</f>
        <v>382.774</v>
      </c>
      <c r="F208" s="336">
        <f>'ODOMETERS Tekrit'!K204</f>
        <v>44</v>
      </c>
      <c r="G208" s="334">
        <v>1.4390000000000001</v>
      </c>
      <c r="H208" s="335">
        <f>'Daily Tekrit'!$F208*'Daily Tekrit'!$G208</f>
        <v>63.316000000000003</v>
      </c>
      <c r="I208" s="336">
        <f>'Daily Tekrit'!$C208+'Daily Tekrit'!$F208</f>
        <v>310</v>
      </c>
      <c r="J208" s="337">
        <f>'Daily Tekrit'!$E208+'Daily Tekrit'!$H208</f>
        <v>446.09000000000003</v>
      </c>
      <c r="K208" s="338">
        <f>'ODOMETERS Tekrit'!L204</f>
        <v>224</v>
      </c>
      <c r="L208" s="339">
        <v>1.2245999999999999</v>
      </c>
      <c r="M208" s="340">
        <f>'Daily Tekrit'!$K208*'Daily Tekrit'!$L208</f>
        <v>274.31039999999996</v>
      </c>
      <c r="N208" s="343">
        <f>350/89.7*2</f>
        <v>7.8037904124860642</v>
      </c>
      <c r="O208" s="343"/>
      <c r="P208" s="343"/>
      <c r="Q208" s="343"/>
      <c r="R208" s="343"/>
      <c r="S208" s="343"/>
      <c r="T208" s="343"/>
      <c r="U208" s="344">
        <f>'Daily Tekrit'!$J208+'Daily Tekrit'!$M208+SUM($N208:$T208)</f>
        <v>728.20419041248601</v>
      </c>
      <c r="V208" s="306"/>
      <c r="W208" s="374">
        <f>200*1.2246</f>
        <v>244.92</v>
      </c>
      <c r="X208" s="354"/>
      <c r="Y208" s="354"/>
      <c r="Z208" s="346"/>
      <c r="AA208" s="347"/>
      <c r="AB208" s="347"/>
      <c r="AC208" s="347"/>
      <c r="AD208" s="348">
        <f t="shared" si="2"/>
        <v>0</v>
      </c>
      <c r="AE208" s="349"/>
      <c r="AF208" s="349"/>
      <c r="AG208" s="349"/>
      <c r="AH208" s="349">
        <f>8+400/89.7</f>
        <v>12.459308807134894</v>
      </c>
      <c r="AI208" s="349"/>
      <c r="AJ208" s="349"/>
      <c r="AK208" s="349"/>
      <c r="AL208" s="349"/>
      <c r="AM208" s="350">
        <f t="shared" si="13"/>
        <v>12.459308807134894</v>
      </c>
      <c r="AN208" s="349"/>
      <c r="AO208" s="351">
        <f t="shared" si="12"/>
        <v>257.37930880713486</v>
      </c>
      <c r="AP208" s="352"/>
      <c r="AQ208" s="306"/>
      <c r="AR208" s="353">
        <f t="shared" si="14"/>
        <v>470.82488160535115</v>
      </c>
      <c r="AS208" s="239"/>
      <c r="AT208" s="239"/>
      <c r="AU208" s="239"/>
    </row>
    <row r="209" spans="1:47" x14ac:dyDescent="0.35">
      <c r="A209" s="332">
        <v>46175</v>
      </c>
      <c r="B209" s="371" t="s">
        <v>25</v>
      </c>
      <c r="C209" s="372">
        <f>'ODOMETERS Tekrit'!J205</f>
        <v>159</v>
      </c>
      <c r="D209" s="334">
        <v>1.4159999999999999</v>
      </c>
      <c r="E209" s="335">
        <f>'Daily Tekrit'!$C209*'Daily Tekrit'!$D209</f>
        <v>225.14399999999998</v>
      </c>
      <c r="F209" s="336">
        <f>'ODOMETERS Tekrit'!K205</f>
        <v>10</v>
      </c>
      <c r="G209" s="334">
        <v>1.4159999999999999</v>
      </c>
      <c r="H209" s="335">
        <f>'Daily Tekrit'!$F209*'Daily Tekrit'!$G209</f>
        <v>14.16</v>
      </c>
      <c r="I209" s="336">
        <f>'Daily Tekrit'!$C209+'Daily Tekrit'!$F209</f>
        <v>169</v>
      </c>
      <c r="J209" s="337">
        <f>'Daily Tekrit'!$E209+'Daily Tekrit'!$H209</f>
        <v>239.30399999999997</v>
      </c>
      <c r="K209" s="338">
        <f>'ODOMETERS Tekrit'!L205</f>
        <v>8</v>
      </c>
      <c r="L209" s="339">
        <v>1.1912</v>
      </c>
      <c r="M209" s="340">
        <f>'Daily Tekrit'!$K209*'Daily Tekrit'!$L209</f>
        <v>9.5296000000000003</v>
      </c>
      <c r="N209" s="343"/>
      <c r="O209" s="343"/>
      <c r="P209" s="343"/>
      <c r="Q209" s="343"/>
      <c r="R209" s="343"/>
      <c r="S209" s="343"/>
      <c r="T209" s="343"/>
      <c r="U209" s="344">
        <f>'Daily Tekrit'!$J209+'Daily Tekrit'!$M209+SUM($N209:$T209)</f>
        <v>248.83359999999996</v>
      </c>
      <c r="V209" s="306"/>
      <c r="W209" s="374">
        <v>59</v>
      </c>
      <c r="X209" s="354"/>
      <c r="Y209" s="354"/>
      <c r="Z209" s="346"/>
      <c r="AA209" s="347"/>
      <c r="AB209" s="347"/>
      <c r="AC209" s="347"/>
      <c r="AD209" s="348">
        <f t="shared" si="2"/>
        <v>0</v>
      </c>
      <c r="AE209" s="349"/>
      <c r="AF209" s="349"/>
      <c r="AG209" s="349"/>
      <c r="AH209" s="349"/>
      <c r="AI209" s="349"/>
      <c r="AJ209" s="349"/>
      <c r="AK209" s="349"/>
      <c r="AL209" s="349"/>
      <c r="AM209" s="350">
        <f t="shared" si="13"/>
        <v>0</v>
      </c>
      <c r="AN209" s="349"/>
      <c r="AO209" s="351">
        <f t="shared" si="12"/>
        <v>59</v>
      </c>
      <c r="AP209" s="352"/>
      <c r="AQ209" s="306"/>
      <c r="AR209" s="353">
        <f t="shared" si="14"/>
        <v>189.83359999999996</v>
      </c>
      <c r="AS209" s="239"/>
      <c r="AT209" s="239"/>
      <c r="AU209" s="239"/>
    </row>
    <row r="210" spans="1:47" x14ac:dyDescent="0.35">
      <c r="A210" s="332">
        <v>46176</v>
      </c>
      <c r="B210" s="371"/>
      <c r="C210" s="372">
        <f>'ODOMETERS Tekrit'!J206</f>
        <v>335</v>
      </c>
      <c r="D210" s="334">
        <v>1.4159999999999999</v>
      </c>
      <c r="E210" s="335">
        <f>'Daily Tekrit'!$C210*'Daily Tekrit'!$D210</f>
        <v>474.35999999999996</v>
      </c>
      <c r="F210" s="336">
        <f>'ODOMETERS Tekrit'!K206</f>
        <v>141</v>
      </c>
      <c r="G210" s="334">
        <v>1.4159999999999999</v>
      </c>
      <c r="H210" s="335">
        <f>'Daily Tekrit'!$F210*'Daily Tekrit'!$G210</f>
        <v>199.65599999999998</v>
      </c>
      <c r="I210" s="336">
        <f>'Daily Tekrit'!$C210+'Daily Tekrit'!$F210</f>
        <v>476</v>
      </c>
      <c r="J210" s="337">
        <f>'Daily Tekrit'!$E210+'Daily Tekrit'!$H210</f>
        <v>674.01599999999996</v>
      </c>
      <c r="K210" s="338">
        <f>'ODOMETERS Tekrit'!L206</f>
        <v>42</v>
      </c>
      <c r="L210" s="339">
        <v>1.1912</v>
      </c>
      <c r="M210" s="340">
        <f>'Daily Tekrit'!$K210*'Daily Tekrit'!$L210</f>
        <v>50.0304</v>
      </c>
      <c r="N210" s="343"/>
      <c r="O210" s="343"/>
      <c r="P210" s="343"/>
      <c r="Q210" s="343"/>
      <c r="R210" s="343"/>
      <c r="S210" s="343">
        <v>30</v>
      </c>
      <c r="T210" s="343"/>
      <c r="U210" s="344">
        <f>'Daily Tekrit'!$J210+'Daily Tekrit'!$M210+SUM($N210:$T210)</f>
        <v>754.04639999999995</v>
      </c>
      <c r="V210" s="306"/>
      <c r="W210" s="374">
        <f>50+20*1.416+20</f>
        <v>98.32</v>
      </c>
      <c r="X210" s="354"/>
      <c r="Y210" s="354"/>
      <c r="Z210" s="346"/>
      <c r="AA210" s="347"/>
      <c r="AB210" s="347"/>
      <c r="AC210" s="347"/>
      <c r="AD210" s="348">
        <f t="shared" si="2"/>
        <v>0</v>
      </c>
      <c r="AE210" s="349"/>
      <c r="AF210" s="349"/>
      <c r="AG210" s="349"/>
      <c r="AH210" s="349"/>
      <c r="AI210" s="349"/>
      <c r="AJ210" s="349">
        <f>300/89.7</f>
        <v>3.3444816053511706</v>
      </c>
      <c r="AK210" s="349"/>
      <c r="AL210" s="349"/>
      <c r="AM210" s="350">
        <f t="shared" si="13"/>
        <v>3.3444816053511706</v>
      </c>
      <c r="AN210" s="349"/>
      <c r="AO210" s="351">
        <f t="shared" si="12"/>
        <v>101.66448160535117</v>
      </c>
      <c r="AP210" s="352"/>
      <c r="AQ210" s="306"/>
      <c r="AR210" s="353">
        <f t="shared" si="14"/>
        <v>652.38191839464878</v>
      </c>
      <c r="AS210" s="239"/>
      <c r="AT210" s="239"/>
      <c r="AU210" s="239"/>
    </row>
    <row r="211" spans="1:47" x14ac:dyDescent="0.35">
      <c r="A211" s="332">
        <v>46177</v>
      </c>
      <c r="B211" s="371"/>
      <c r="C211" s="372">
        <f>'ODOMETERS Tekrit'!J207</f>
        <v>296</v>
      </c>
      <c r="D211" s="334">
        <v>1.4159999999999999</v>
      </c>
      <c r="E211" s="335">
        <f>'Daily Tekrit'!$C211*'Daily Tekrit'!$D211</f>
        <v>419.13599999999997</v>
      </c>
      <c r="F211" s="336">
        <f>'ODOMETERS Tekrit'!K207</f>
        <v>320</v>
      </c>
      <c r="G211" s="334">
        <v>1.4159999999999999</v>
      </c>
      <c r="H211" s="335">
        <f>'Daily Tekrit'!$F211*'Daily Tekrit'!$G211</f>
        <v>453.12</v>
      </c>
      <c r="I211" s="336">
        <f>'Daily Tekrit'!$C211+'Daily Tekrit'!$F211</f>
        <v>616</v>
      </c>
      <c r="J211" s="337">
        <f>'Daily Tekrit'!$E211+'Daily Tekrit'!$H211</f>
        <v>872.25599999999997</v>
      </c>
      <c r="K211" s="338">
        <f>'ODOMETERS Tekrit'!L207</f>
        <v>113</v>
      </c>
      <c r="L211" s="339">
        <v>1.1912</v>
      </c>
      <c r="M211" s="340">
        <f>'Daily Tekrit'!$K211*'Daily Tekrit'!$L211</f>
        <v>134.60560000000001</v>
      </c>
      <c r="N211" s="343">
        <f>700/89.7</f>
        <v>7.8037904124860642</v>
      </c>
      <c r="O211" s="343"/>
      <c r="P211" s="343"/>
      <c r="Q211" s="343"/>
      <c r="R211" s="343"/>
      <c r="S211" s="343"/>
      <c r="T211" s="343"/>
      <c r="U211" s="344">
        <f>'Daily Tekrit'!$J211+'Daily Tekrit'!$M211+SUM($N211:$T211)</f>
        <v>1014.665390412486</v>
      </c>
      <c r="V211" s="306"/>
      <c r="W211" s="374">
        <f>10+10</f>
        <v>20</v>
      </c>
      <c r="X211" s="354"/>
      <c r="Y211" s="354">
        <v>-1</v>
      </c>
      <c r="Z211" s="346"/>
      <c r="AA211" s="347"/>
      <c r="AB211" s="347"/>
      <c r="AC211" s="347"/>
      <c r="AD211" s="348">
        <f t="shared" si="2"/>
        <v>0</v>
      </c>
      <c r="AE211" s="349"/>
      <c r="AF211" s="349"/>
      <c r="AG211" s="349"/>
      <c r="AH211" s="349">
        <f>8+7*1.416</f>
        <v>17.911999999999999</v>
      </c>
      <c r="AI211" s="349"/>
      <c r="AJ211" s="349"/>
      <c r="AK211" s="349"/>
      <c r="AL211" s="349"/>
      <c r="AM211" s="350">
        <f t="shared" si="13"/>
        <v>17.911999999999999</v>
      </c>
      <c r="AN211" s="349"/>
      <c r="AO211" s="351">
        <f t="shared" si="12"/>
        <v>36.911999999999999</v>
      </c>
      <c r="AP211" s="352"/>
      <c r="AQ211" s="306"/>
      <c r="AR211" s="353">
        <f t="shared" si="14"/>
        <v>977.75339041248594</v>
      </c>
      <c r="AS211" s="239"/>
      <c r="AT211" s="239"/>
      <c r="AU211" s="239"/>
    </row>
    <row r="212" spans="1:47" x14ac:dyDescent="0.35">
      <c r="A212" s="332">
        <v>46178</v>
      </c>
      <c r="B212" s="371"/>
      <c r="C212" s="372">
        <f>'ODOMETERS Tekrit'!J208</f>
        <v>358</v>
      </c>
      <c r="D212" s="334">
        <v>1.4159999999999999</v>
      </c>
      <c r="E212" s="335">
        <f>'Daily Tekrit'!$C212*'Daily Tekrit'!$D212</f>
        <v>506.928</v>
      </c>
      <c r="F212" s="336">
        <f>'ODOMETERS Tekrit'!K208</f>
        <v>263</v>
      </c>
      <c r="G212" s="334">
        <v>1.4159999999999999</v>
      </c>
      <c r="H212" s="335">
        <f>'Daily Tekrit'!$F212*'Daily Tekrit'!$G212</f>
        <v>372.40799999999996</v>
      </c>
      <c r="I212" s="336">
        <f>'Daily Tekrit'!$C212+'Daily Tekrit'!$F212</f>
        <v>621</v>
      </c>
      <c r="J212" s="337">
        <f>'Daily Tekrit'!$E212+'Daily Tekrit'!$H212</f>
        <v>879.33600000000001</v>
      </c>
      <c r="K212" s="338">
        <f>'ODOMETERS Tekrit'!L208</f>
        <v>47</v>
      </c>
      <c r="L212" s="339">
        <v>1.1912</v>
      </c>
      <c r="M212" s="340">
        <f>'Daily Tekrit'!$K212*'Daily Tekrit'!$L212</f>
        <v>55.986400000000003</v>
      </c>
      <c r="N212" s="343"/>
      <c r="O212" s="343"/>
      <c r="P212" s="343"/>
      <c r="Q212" s="343"/>
      <c r="R212" s="343"/>
      <c r="S212" s="343">
        <v>20</v>
      </c>
      <c r="T212" s="343">
        <f>350/89.7</f>
        <v>3.9018952062430321</v>
      </c>
      <c r="U212" s="344">
        <f>'Daily Tekrit'!$J212+'Daily Tekrit'!$M212+SUM($N212:$T212)</f>
        <v>959.22429520624303</v>
      </c>
      <c r="V212" s="306"/>
      <c r="W212" s="374">
        <f>27+60+10</f>
        <v>97</v>
      </c>
      <c r="X212" s="354">
        <f>40*1.416</f>
        <v>56.64</v>
      </c>
      <c r="Y212" s="354"/>
      <c r="Z212" s="346"/>
      <c r="AA212" s="347"/>
      <c r="AB212" s="347"/>
      <c r="AC212" s="347"/>
      <c r="AD212" s="348">
        <f t="shared" si="2"/>
        <v>0</v>
      </c>
      <c r="AE212" s="349"/>
      <c r="AF212" s="349"/>
      <c r="AG212" s="349"/>
      <c r="AH212" s="349">
        <v>17</v>
      </c>
      <c r="AI212" s="349"/>
      <c r="AJ212" s="349"/>
      <c r="AK212" s="349"/>
      <c r="AL212" s="349"/>
      <c r="AM212" s="350">
        <f t="shared" si="13"/>
        <v>17</v>
      </c>
      <c r="AN212" s="349"/>
      <c r="AO212" s="351">
        <f t="shared" si="12"/>
        <v>170.64</v>
      </c>
      <c r="AP212" s="352"/>
      <c r="AQ212" s="306"/>
      <c r="AR212" s="353">
        <f t="shared" si="14"/>
        <v>788.58429520624304</v>
      </c>
      <c r="AS212" s="239"/>
      <c r="AT212" s="239"/>
      <c r="AU212" s="239"/>
    </row>
    <row r="213" spans="1:47" x14ac:dyDescent="0.35">
      <c r="A213" s="332">
        <v>46179</v>
      </c>
      <c r="B213" s="371"/>
      <c r="C213" s="372">
        <f>'ODOMETERS Tekrit'!J209</f>
        <v>207</v>
      </c>
      <c r="D213" s="334">
        <v>1.3879999999999999</v>
      </c>
      <c r="E213" s="335">
        <f>'Daily Tekrit'!$C213*'Daily Tekrit'!$D213</f>
        <v>287.31599999999997</v>
      </c>
      <c r="F213" s="336">
        <f>'ODOMETERS Tekrit'!K209</f>
        <v>343</v>
      </c>
      <c r="G213" s="334">
        <v>1.3879999999999999</v>
      </c>
      <c r="H213" s="335">
        <f>'Daily Tekrit'!$F213*'Daily Tekrit'!$G213</f>
        <v>476.08399999999995</v>
      </c>
      <c r="I213" s="336">
        <f>'Daily Tekrit'!$C213+'Daily Tekrit'!$F213</f>
        <v>550</v>
      </c>
      <c r="J213" s="337">
        <f>'Daily Tekrit'!$E213+'Daily Tekrit'!$H213</f>
        <v>763.39999999999986</v>
      </c>
      <c r="K213" s="338">
        <f>'ODOMETERS Tekrit'!L209</f>
        <v>47</v>
      </c>
      <c r="L213" s="339">
        <v>1.1738999999999999</v>
      </c>
      <c r="M213" s="340">
        <f>'Daily Tekrit'!$K213*'Daily Tekrit'!$L213</f>
        <v>55.173299999999998</v>
      </c>
      <c r="N213" s="343"/>
      <c r="O213" s="343"/>
      <c r="P213" s="343"/>
      <c r="Q213" s="343"/>
      <c r="R213" s="343"/>
      <c r="S213" s="343"/>
      <c r="T213" s="343">
        <f>250/89.7</f>
        <v>2.7870680044593086</v>
      </c>
      <c r="U213" s="344">
        <f>'Daily Tekrit'!$J213+'Daily Tekrit'!$M213+SUM($N213:$T213)</f>
        <v>821.36036800445925</v>
      </c>
      <c r="V213" s="306"/>
      <c r="W213" s="374">
        <f>45+34+5+12+10</f>
        <v>106</v>
      </c>
      <c r="X213" s="354">
        <f>29*1.388</f>
        <v>40.251999999999995</v>
      </c>
      <c r="Y213" s="354">
        <v>2</v>
      </c>
      <c r="Z213" s="346"/>
      <c r="AA213" s="347"/>
      <c r="AB213" s="347"/>
      <c r="AC213" s="347"/>
      <c r="AD213" s="348">
        <f t="shared" si="2"/>
        <v>0</v>
      </c>
      <c r="AE213" s="349"/>
      <c r="AF213" s="349">
        <v>182</v>
      </c>
      <c r="AG213" s="349"/>
      <c r="AH213" s="349">
        <v>58</v>
      </c>
      <c r="AI213" s="349"/>
      <c r="AJ213" s="349"/>
      <c r="AK213" s="349"/>
      <c r="AL213" s="349"/>
      <c r="AM213" s="350">
        <f t="shared" si="13"/>
        <v>240</v>
      </c>
      <c r="AN213" s="349"/>
      <c r="AO213" s="351">
        <f t="shared" si="12"/>
        <v>388.25200000000001</v>
      </c>
      <c r="AP213" s="352" t="s">
        <v>234</v>
      </c>
      <c r="AQ213" s="306"/>
      <c r="AR213" s="353">
        <f t="shared" si="14"/>
        <v>433.10836800445924</v>
      </c>
      <c r="AS213" s="239"/>
      <c r="AT213" s="239"/>
      <c r="AU213" s="243"/>
    </row>
    <row r="214" spans="1:47" x14ac:dyDescent="0.35">
      <c r="A214" s="332">
        <v>46180</v>
      </c>
      <c r="B214" s="371"/>
      <c r="C214" s="372">
        <f>'ODOMETERS Tekrit'!J210</f>
        <v>308</v>
      </c>
      <c r="D214" s="334">
        <v>1.3879999999999999</v>
      </c>
      <c r="E214" s="335">
        <f>'Daily Tekrit'!$C214*'Daily Tekrit'!$D214</f>
        <v>427.50399999999996</v>
      </c>
      <c r="F214" s="336">
        <f>'ODOMETERS Tekrit'!K210</f>
        <v>303</v>
      </c>
      <c r="G214" s="334">
        <v>1.3879999999999999</v>
      </c>
      <c r="H214" s="335">
        <f>'Daily Tekrit'!$F214*'Daily Tekrit'!$G214</f>
        <v>420.56399999999996</v>
      </c>
      <c r="I214" s="336">
        <f>'Daily Tekrit'!$C214+'Daily Tekrit'!$F214</f>
        <v>611</v>
      </c>
      <c r="J214" s="337">
        <f>'Daily Tekrit'!$E214+'Daily Tekrit'!$H214</f>
        <v>848.06799999999998</v>
      </c>
      <c r="K214" s="338">
        <f>'ODOMETERS Tekrit'!L210</f>
        <v>65</v>
      </c>
      <c r="L214" s="339">
        <v>1.1738999999999999</v>
      </c>
      <c r="M214" s="340">
        <f>'Daily Tekrit'!$K214*'Daily Tekrit'!$L214</f>
        <v>76.3035</v>
      </c>
      <c r="N214" s="343">
        <f>700/89.7</f>
        <v>7.8037904124860642</v>
      </c>
      <c r="O214" s="343"/>
      <c r="P214" s="343"/>
      <c r="Q214" s="343"/>
      <c r="R214" s="343"/>
      <c r="S214" s="343"/>
      <c r="T214" s="343">
        <f>250/89.7</f>
        <v>2.7870680044593086</v>
      </c>
      <c r="U214" s="344">
        <f>'Daily Tekrit'!$J214+'Daily Tekrit'!$M214+SUM($N214:$T214)</f>
        <v>934.96235841694534</v>
      </c>
      <c r="V214" s="306"/>
      <c r="W214" s="374">
        <f>20+5+50</f>
        <v>75</v>
      </c>
      <c r="X214" s="354">
        <f>30*1.388</f>
        <v>41.64</v>
      </c>
      <c r="Y214" s="354"/>
      <c r="Z214" s="346"/>
      <c r="AA214" s="347"/>
      <c r="AB214" s="347"/>
      <c r="AC214" s="347"/>
      <c r="AD214" s="348">
        <f t="shared" si="2"/>
        <v>0</v>
      </c>
      <c r="AE214" s="349"/>
      <c r="AF214" s="349"/>
      <c r="AG214" s="349"/>
      <c r="AH214" s="349">
        <v>8</v>
      </c>
      <c r="AI214" s="349"/>
      <c r="AJ214" s="349"/>
      <c r="AK214" s="349"/>
      <c r="AL214" s="349"/>
      <c r="AM214" s="350">
        <f t="shared" si="13"/>
        <v>8</v>
      </c>
      <c r="AN214" s="349"/>
      <c r="AO214" s="351">
        <f t="shared" si="12"/>
        <v>124.64</v>
      </c>
      <c r="AP214" s="352"/>
      <c r="AQ214" s="306"/>
      <c r="AR214" s="353">
        <f t="shared" si="14"/>
        <v>810.32235841694535</v>
      </c>
      <c r="AS214" s="239"/>
      <c r="AT214" s="239"/>
      <c r="AU214" s="239"/>
    </row>
    <row r="215" spans="1:47" x14ac:dyDescent="0.35">
      <c r="A215" s="332">
        <v>46181</v>
      </c>
      <c r="B215" s="371"/>
      <c r="C215" s="372">
        <f>'ODOMETERS Tekrit'!J211</f>
        <v>248</v>
      </c>
      <c r="D215" s="334">
        <v>1.3879999999999999</v>
      </c>
      <c r="E215" s="335">
        <f>'Daily Tekrit'!$C215*'Daily Tekrit'!$D215</f>
        <v>344.22399999999999</v>
      </c>
      <c r="F215" s="336">
        <f>'ODOMETERS Tekrit'!K211</f>
        <v>430</v>
      </c>
      <c r="G215" s="334">
        <v>1.3879999999999999</v>
      </c>
      <c r="H215" s="335">
        <f>'Daily Tekrit'!$F215*'Daily Tekrit'!$G215</f>
        <v>596.83999999999992</v>
      </c>
      <c r="I215" s="336">
        <f>'Daily Tekrit'!$C215+'Daily Tekrit'!$F215</f>
        <v>678</v>
      </c>
      <c r="J215" s="337">
        <f>'Daily Tekrit'!$E215+'Daily Tekrit'!$H215</f>
        <v>941.06399999999985</v>
      </c>
      <c r="K215" s="338">
        <f>'ODOMETERS Tekrit'!L211</f>
        <v>51</v>
      </c>
      <c r="L215" s="339">
        <v>1.1738999999999999</v>
      </c>
      <c r="M215" s="340">
        <f>'Daily Tekrit'!$K215*'Daily Tekrit'!$L215</f>
        <v>59.868899999999996</v>
      </c>
      <c r="N215" s="343">
        <f>350/89.7+7</f>
        <v>10.901895206243033</v>
      </c>
      <c r="O215" s="343"/>
      <c r="P215" s="343"/>
      <c r="Q215" s="343"/>
      <c r="R215" s="343"/>
      <c r="S215" s="343"/>
      <c r="T215" s="343"/>
      <c r="U215" s="344">
        <f>'Daily Tekrit'!$J215+'Daily Tekrit'!$M215+SUM($N215:$T215)</f>
        <v>1011.8347952062428</v>
      </c>
      <c r="V215" s="306"/>
      <c r="W215" s="374">
        <f>20+50+15+15</f>
        <v>100</v>
      </c>
      <c r="X215" s="354"/>
      <c r="Y215" s="354"/>
      <c r="Z215" s="346"/>
      <c r="AA215" s="347"/>
      <c r="AB215" s="347"/>
      <c r="AC215" s="347"/>
      <c r="AD215" s="348">
        <f t="shared" si="2"/>
        <v>0</v>
      </c>
      <c r="AE215" s="349"/>
      <c r="AF215" s="349"/>
      <c r="AG215" s="349"/>
      <c r="AH215" s="349">
        <v>8</v>
      </c>
      <c r="AI215" s="349"/>
      <c r="AJ215" s="349"/>
      <c r="AK215" s="349"/>
      <c r="AL215" s="349"/>
      <c r="AM215" s="350">
        <f t="shared" si="13"/>
        <v>8</v>
      </c>
      <c r="AN215" s="349"/>
      <c r="AO215" s="351">
        <f t="shared" si="12"/>
        <v>108</v>
      </c>
      <c r="AP215" s="352"/>
      <c r="AQ215" s="306"/>
      <c r="AR215" s="353">
        <f t="shared" si="14"/>
        <v>903.8347952062428</v>
      </c>
      <c r="AS215" s="239"/>
      <c r="AT215" s="239"/>
      <c r="AU215" s="239"/>
    </row>
    <row r="216" spans="1:47" x14ac:dyDescent="0.35">
      <c r="A216" s="332">
        <v>46182</v>
      </c>
      <c r="B216" s="371" t="s">
        <v>24</v>
      </c>
      <c r="C216" s="372">
        <f>'ODOMETERS Tekrit'!J212</f>
        <v>55</v>
      </c>
      <c r="D216" s="334">
        <v>1.3879999999999999</v>
      </c>
      <c r="E216" s="335">
        <f>'Daily Tekrit'!$C216*'Daily Tekrit'!$D216</f>
        <v>76.339999999999989</v>
      </c>
      <c r="F216" s="336">
        <f>'ODOMETERS Tekrit'!K212</f>
        <v>348</v>
      </c>
      <c r="G216" s="334">
        <v>1.3879999999999999</v>
      </c>
      <c r="H216" s="335">
        <f>'Daily Tekrit'!$F216*'Daily Tekrit'!$G216</f>
        <v>483.02399999999994</v>
      </c>
      <c r="I216" s="336">
        <f>'Daily Tekrit'!$C216+'Daily Tekrit'!$F216</f>
        <v>403</v>
      </c>
      <c r="J216" s="337">
        <f>'Daily Tekrit'!$E216+'Daily Tekrit'!$H216</f>
        <v>559.36399999999992</v>
      </c>
      <c r="K216" s="338">
        <f>'ODOMETERS Tekrit'!L212</f>
        <v>31</v>
      </c>
      <c r="L216" s="339">
        <v>1.1738999999999999</v>
      </c>
      <c r="M216" s="340">
        <f>'Daily Tekrit'!$K216*'Daily Tekrit'!$L216</f>
        <v>36.390899999999995</v>
      </c>
      <c r="N216" s="343">
        <f>350/89.7</f>
        <v>3.9018952062430321</v>
      </c>
      <c r="O216" s="343"/>
      <c r="P216" s="343"/>
      <c r="Q216" s="343"/>
      <c r="R216" s="343"/>
      <c r="S216" s="343"/>
      <c r="T216" s="343"/>
      <c r="U216" s="344">
        <f>'Daily Tekrit'!$J216+'Daily Tekrit'!$M216+SUM($N216:$T216)</f>
        <v>599.65679520624292</v>
      </c>
      <c r="V216" s="306"/>
      <c r="W216" s="374">
        <f>10+10+20</f>
        <v>40</v>
      </c>
      <c r="X216" s="354"/>
      <c r="Y216" s="354">
        <v>1</v>
      </c>
      <c r="Z216" s="346"/>
      <c r="AA216" s="347"/>
      <c r="AB216" s="347"/>
      <c r="AC216" s="347"/>
      <c r="AD216" s="348">
        <f t="shared" si="2"/>
        <v>0</v>
      </c>
      <c r="AE216" s="349"/>
      <c r="AF216" s="349"/>
      <c r="AG216" s="349"/>
      <c r="AH216" s="349">
        <f>8+500/89.7</f>
        <v>13.574136008918618</v>
      </c>
      <c r="AI216" s="349"/>
      <c r="AJ216" s="349"/>
      <c r="AK216" s="349"/>
      <c r="AL216" s="349"/>
      <c r="AM216" s="350">
        <f t="shared" si="13"/>
        <v>13.574136008918618</v>
      </c>
      <c r="AN216" s="349"/>
      <c r="AO216" s="351">
        <f t="shared" si="12"/>
        <v>54.574136008918614</v>
      </c>
      <c r="AP216" s="352"/>
      <c r="AQ216" s="306"/>
      <c r="AR216" s="353">
        <f t="shared" si="14"/>
        <v>545.08265919732435</v>
      </c>
      <c r="AS216" s="239"/>
      <c r="AT216" s="239"/>
      <c r="AU216" s="239"/>
    </row>
    <row r="217" spans="1:47" x14ac:dyDescent="0.35">
      <c r="A217" s="332">
        <v>46182</v>
      </c>
      <c r="B217" s="371" t="s">
        <v>25</v>
      </c>
      <c r="C217" s="372">
        <f>'ODOMETERS Tekrit'!J213</f>
        <v>2</v>
      </c>
      <c r="D217" s="334">
        <v>1.365</v>
      </c>
      <c r="E217" s="335">
        <f>'Daily Tekrit'!$C217*'Daily Tekrit'!$D217</f>
        <v>2.73</v>
      </c>
      <c r="F217" s="336">
        <f>'ODOMETERS Tekrit'!K213</f>
        <v>220</v>
      </c>
      <c r="G217" s="334">
        <v>1.365</v>
      </c>
      <c r="H217" s="335">
        <f>'Daily Tekrit'!$F217*'Daily Tekrit'!$G217</f>
        <v>300.3</v>
      </c>
      <c r="I217" s="336">
        <f>'Daily Tekrit'!$C217+'Daily Tekrit'!$F217</f>
        <v>222</v>
      </c>
      <c r="J217" s="337">
        <f>'Daily Tekrit'!$E217+'Daily Tekrit'!$H217</f>
        <v>303.03000000000003</v>
      </c>
      <c r="K217" s="338">
        <f>'ODOMETERS Tekrit'!L213</f>
        <v>0</v>
      </c>
      <c r="L217" s="339">
        <v>1.1599999999999999</v>
      </c>
      <c r="M217" s="340">
        <f>'Daily Tekrit'!$K217*'Daily Tekrit'!$L217</f>
        <v>0</v>
      </c>
      <c r="N217" s="343"/>
      <c r="O217" s="343"/>
      <c r="P217" s="343"/>
      <c r="Q217" s="343"/>
      <c r="R217" s="343"/>
      <c r="S217" s="343"/>
      <c r="T217" s="343">
        <f>150/89.7</f>
        <v>1.6722408026755853</v>
      </c>
      <c r="U217" s="344">
        <f>'Daily Tekrit'!$J217+'Daily Tekrit'!$M217+SUM($N217:$T217)</f>
        <v>304.70224080267559</v>
      </c>
      <c r="V217" s="306"/>
      <c r="W217" s="374">
        <f>30</f>
        <v>30</v>
      </c>
      <c r="X217" s="354">
        <f>20*1.365</f>
        <v>27.3</v>
      </c>
      <c r="Y217" s="354">
        <v>1</v>
      </c>
      <c r="Z217" s="346"/>
      <c r="AA217" s="347"/>
      <c r="AB217" s="347"/>
      <c r="AC217" s="347"/>
      <c r="AD217" s="348">
        <f t="shared" si="2"/>
        <v>0</v>
      </c>
      <c r="AE217" s="349"/>
      <c r="AF217" s="349"/>
      <c r="AG217" s="349"/>
      <c r="AH217" s="349">
        <f>1000/89.7</f>
        <v>11.148272017837234</v>
      </c>
      <c r="AI217" s="349"/>
      <c r="AJ217" s="349">
        <f>300/89.7</f>
        <v>3.3444816053511706</v>
      </c>
      <c r="AK217" s="349"/>
      <c r="AL217" s="349"/>
      <c r="AM217" s="350">
        <f t="shared" si="13"/>
        <v>14.492753623188404</v>
      </c>
      <c r="AN217" s="349"/>
      <c r="AO217" s="351">
        <f t="shared" si="12"/>
        <v>72.792753623188403</v>
      </c>
      <c r="AP217" s="352"/>
      <c r="AQ217" s="306"/>
      <c r="AR217" s="353">
        <f t="shared" si="14"/>
        <v>231.9094871794872</v>
      </c>
      <c r="AS217" s="239"/>
      <c r="AT217" s="239"/>
      <c r="AU217" s="239"/>
    </row>
    <row r="218" spans="1:47" x14ac:dyDescent="0.35">
      <c r="A218" s="332">
        <v>46183</v>
      </c>
      <c r="B218" s="371"/>
      <c r="C218" s="372">
        <f>'ODOMETERS Tekrit'!J214</f>
        <v>489</v>
      </c>
      <c r="D218" s="334">
        <v>1.365</v>
      </c>
      <c r="E218" s="335">
        <f>'Daily Tekrit'!$C218*'Daily Tekrit'!$D218</f>
        <v>667.48500000000001</v>
      </c>
      <c r="F218" s="336">
        <f>'ODOMETERS Tekrit'!K214</f>
        <v>153</v>
      </c>
      <c r="G218" s="334">
        <v>1.365</v>
      </c>
      <c r="H218" s="335">
        <f>'Daily Tekrit'!$F218*'Daily Tekrit'!$G218</f>
        <v>208.845</v>
      </c>
      <c r="I218" s="336">
        <f>'Daily Tekrit'!$C218+'Daily Tekrit'!$F218</f>
        <v>642</v>
      </c>
      <c r="J218" s="337">
        <f>'Daily Tekrit'!$E218+'Daily Tekrit'!$H218</f>
        <v>876.33</v>
      </c>
      <c r="K218" s="338">
        <f>'ODOMETERS Tekrit'!L214</f>
        <v>71</v>
      </c>
      <c r="L218" s="339">
        <v>1.1599999999999999</v>
      </c>
      <c r="M218" s="340">
        <f>'Daily Tekrit'!$K218*'Daily Tekrit'!$L218</f>
        <v>82.36</v>
      </c>
      <c r="N218" s="343">
        <f>350/89.7</f>
        <v>3.9018952062430321</v>
      </c>
      <c r="O218" s="343"/>
      <c r="P218" s="343"/>
      <c r="Q218" s="343"/>
      <c r="R218" s="343"/>
      <c r="S218" s="343"/>
      <c r="T218" s="343"/>
      <c r="U218" s="344">
        <f>'Daily Tekrit'!$J218+'Daily Tekrit'!$M218+SUM($N218:$T218)</f>
        <v>962.59189520624307</v>
      </c>
      <c r="V218" s="306"/>
      <c r="W218" s="374">
        <f>5+20+50+35</f>
        <v>110</v>
      </c>
      <c r="X218" s="354"/>
      <c r="Y218" s="354">
        <v>1</v>
      </c>
      <c r="Z218" s="346"/>
      <c r="AA218" s="347"/>
      <c r="AB218" s="347"/>
      <c r="AC218" s="347"/>
      <c r="AD218" s="348">
        <f t="shared" si="2"/>
        <v>0</v>
      </c>
      <c r="AE218" s="349"/>
      <c r="AF218" s="349"/>
      <c r="AG218" s="349"/>
      <c r="AH218" s="349">
        <v>8</v>
      </c>
      <c r="AI218" s="349"/>
      <c r="AJ218" s="349"/>
      <c r="AK218" s="349"/>
      <c r="AL218" s="349"/>
      <c r="AM218" s="350">
        <f t="shared" si="13"/>
        <v>8</v>
      </c>
      <c r="AN218" s="349"/>
      <c r="AO218" s="351">
        <f t="shared" si="12"/>
        <v>119</v>
      </c>
      <c r="AP218" s="352"/>
      <c r="AQ218" s="306"/>
      <c r="AR218" s="353">
        <f t="shared" si="14"/>
        <v>843.59189520624307</v>
      </c>
      <c r="AS218" s="239"/>
      <c r="AT218" s="239"/>
      <c r="AU218" s="239"/>
    </row>
    <row r="219" spans="1:47" x14ac:dyDescent="0.35">
      <c r="A219" s="332">
        <v>46184</v>
      </c>
      <c r="B219" s="371"/>
      <c r="C219" s="372">
        <f>'ODOMETERS Tekrit'!J215</f>
        <v>505</v>
      </c>
      <c r="D219" s="334">
        <v>1.365</v>
      </c>
      <c r="E219" s="335">
        <f>'Daily Tekrit'!$C219*'Daily Tekrit'!$D219</f>
        <v>689.32500000000005</v>
      </c>
      <c r="F219" s="336">
        <f>'ODOMETERS Tekrit'!K215</f>
        <v>0</v>
      </c>
      <c r="G219" s="334">
        <v>1.365</v>
      </c>
      <c r="H219" s="335">
        <f>'Daily Tekrit'!$F219*'Daily Tekrit'!$G219</f>
        <v>0</v>
      </c>
      <c r="I219" s="336">
        <f>'Daily Tekrit'!$C219+'Daily Tekrit'!$F219</f>
        <v>505</v>
      </c>
      <c r="J219" s="337">
        <f>'Daily Tekrit'!$E219+'Daily Tekrit'!$H219</f>
        <v>689.32500000000005</v>
      </c>
      <c r="K219" s="338">
        <f>'ODOMETERS Tekrit'!L215</f>
        <v>157</v>
      </c>
      <c r="L219" s="339">
        <v>1.1599999999999999</v>
      </c>
      <c r="M219" s="340">
        <f>'Daily Tekrit'!$K219*'Daily Tekrit'!$L219</f>
        <v>182.11999999999998</v>
      </c>
      <c r="N219" s="343"/>
      <c r="O219" s="343"/>
      <c r="P219" s="343"/>
      <c r="Q219" s="343"/>
      <c r="R219" s="343"/>
      <c r="S219" s="343">
        <f>1250/89.7</f>
        <v>13.935340022296543</v>
      </c>
      <c r="T219" s="343"/>
      <c r="U219" s="344">
        <f>'Daily Tekrit'!$J219+'Daily Tekrit'!$M219+SUM($N219:$T219)</f>
        <v>885.38034002229665</v>
      </c>
      <c r="V219" s="306"/>
      <c r="W219" s="374">
        <f>30+17+5</f>
        <v>52</v>
      </c>
      <c r="X219" s="354"/>
      <c r="Y219" s="354">
        <v>1</v>
      </c>
      <c r="Z219" s="346"/>
      <c r="AA219" s="347"/>
      <c r="AB219" s="347"/>
      <c r="AC219" s="347"/>
      <c r="AD219" s="348">
        <f t="shared" si="2"/>
        <v>0</v>
      </c>
      <c r="AE219" s="349"/>
      <c r="AF219" s="349"/>
      <c r="AG219" s="349"/>
      <c r="AH219" s="349">
        <v>8</v>
      </c>
      <c r="AI219" s="349"/>
      <c r="AJ219" s="349"/>
      <c r="AK219" s="349"/>
      <c r="AL219" s="349"/>
      <c r="AM219" s="350">
        <f t="shared" si="13"/>
        <v>8</v>
      </c>
      <c r="AN219" s="349"/>
      <c r="AO219" s="351">
        <f t="shared" si="12"/>
        <v>61</v>
      </c>
      <c r="AP219" s="352"/>
      <c r="AQ219" s="306"/>
      <c r="AR219" s="353">
        <f t="shared" si="14"/>
        <v>824.38034002229665</v>
      </c>
      <c r="AS219" s="239"/>
      <c r="AT219" s="239"/>
      <c r="AU219" s="239"/>
    </row>
    <row r="220" spans="1:47" x14ac:dyDescent="0.35">
      <c r="A220" s="332">
        <v>46185</v>
      </c>
      <c r="B220" s="371" t="s">
        <v>24</v>
      </c>
      <c r="C220" s="372">
        <f>'ODOMETERS Tekrit'!J216</f>
        <v>302</v>
      </c>
      <c r="D220" s="334">
        <v>1.365</v>
      </c>
      <c r="E220" s="335">
        <f>'Daily Tekrit'!$C220*'Daily Tekrit'!$D220</f>
        <v>412.23</v>
      </c>
      <c r="F220" s="336">
        <f>'ODOMETERS Tekrit'!K216</f>
        <v>0</v>
      </c>
      <c r="G220" s="334">
        <v>1.365</v>
      </c>
      <c r="H220" s="335">
        <f>'Daily Tekrit'!$F220*'Daily Tekrit'!$G220</f>
        <v>0</v>
      </c>
      <c r="I220" s="336">
        <f>'Daily Tekrit'!$C220+'Daily Tekrit'!$F220</f>
        <v>302</v>
      </c>
      <c r="J220" s="337">
        <f>'Daily Tekrit'!$E220+'Daily Tekrit'!$H220</f>
        <v>412.23</v>
      </c>
      <c r="K220" s="338">
        <f>'ODOMETERS Tekrit'!L216</f>
        <v>8</v>
      </c>
      <c r="L220" s="339">
        <v>1.1599999999999999</v>
      </c>
      <c r="M220" s="340">
        <f>'Daily Tekrit'!$K220*'Daily Tekrit'!$L220</f>
        <v>9.2799999999999994</v>
      </c>
      <c r="N220" s="343">
        <f>350/89.7</f>
        <v>3.9018952062430321</v>
      </c>
      <c r="O220" s="343"/>
      <c r="P220" s="343"/>
      <c r="Q220" s="343"/>
      <c r="R220" s="343"/>
      <c r="S220" s="343"/>
      <c r="T220" s="343"/>
      <c r="U220" s="344">
        <f>'Daily Tekrit'!$J220+'Daily Tekrit'!$M220+SUM($N220:$T220)</f>
        <v>425.411895206243</v>
      </c>
      <c r="V220" s="306"/>
      <c r="W220" s="374"/>
      <c r="X220" s="354"/>
      <c r="Y220" s="354"/>
      <c r="Z220" s="346"/>
      <c r="AA220" s="347"/>
      <c r="AB220" s="347"/>
      <c r="AC220" s="347"/>
      <c r="AD220" s="348">
        <f t="shared" si="2"/>
        <v>0</v>
      </c>
      <c r="AE220" s="349"/>
      <c r="AF220" s="349"/>
      <c r="AG220" s="349"/>
      <c r="AH220" s="349"/>
      <c r="AI220" s="349"/>
      <c r="AJ220" s="349"/>
      <c r="AK220" s="349"/>
      <c r="AL220" s="349"/>
      <c r="AM220" s="350">
        <f t="shared" si="13"/>
        <v>0</v>
      </c>
      <c r="AN220" s="349"/>
      <c r="AO220" s="351">
        <f t="shared" si="12"/>
        <v>0</v>
      </c>
      <c r="AP220" s="352"/>
      <c r="AQ220" s="306"/>
      <c r="AR220" s="353">
        <f t="shared" si="14"/>
        <v>425.411895206243</v>
      </c>
      <c r="AS220" s="239"/>
      <c r="AT220" s="239"/>
      <c r="AU220" s="239"/>
    </row>
    <row r="221" spans="1:47" x14ac:dyDescent="0.35">
      <c r="A221" s="332">
        <v>46185</v>
      </c>
      <c r="B221" s="371" t="s">
        <v>25</v>
      </c>
      <c r="C221" s="372">
        <f>'ODOMETERS Tekrit'!J217</f>
        <v>264</v>
      </c>
      <c r="D221" s="334">
        <v>1.3280000000000001</v>
      </c>
      <c r="E221" s="335">
        <f>'Daily Tekrit'!$C221*'Daily Tekrit'!$D221</f>
        <v>350.59200000000004</v>
      </c>
      <c r="F221" s="336">
        <f>'ODOMETERS Tekrit'!K217</f>
        <v>0</v>
      </c>
      <c r="G221" s="334">
        <v>1.3280000000000001</v>
      </c>
      <c r="H221" s="335">
        <f>'Daily Tekrit'!$F221*'Daily Tekrit'!$G221</f>
        <v>0</v>
      </c>
      <c r="I221" s="336">
        <f>'Daily Tekrit'!$C221+'Daily Tekrit'!$F221</f>
        <v>264</v>
      </c>
      <c r="J221" s="337">
        <f>'Daily Tekrit'!$E221+'Daily Tekrit'!$H221</f>
        <v>350.59200000000004</v>
      </c>
      <c r="K221" s="338">
        <f>'ODOMETERS Tekrit'!L217</f>
        <v>21</v>
      </c>
      <c r="L221" s="339">
        <v>1.1337999999999999</v>
      </c>
      <c r="M221" s="340">
        <f>'Daily Tekrit'!$K221*'Daily Tekrit'!$L221</f>
        <v>23.809799999999999</v>
      </c>
      <c r="N221" s="343"/>
      <c r="O221" s="343"/>
      <c r="P221" s="343"/>
      <c r="Q221" s="343"/>
      <c r="R221" s="343"/>
      <c r="S221" s="343"/>
      <c r="T221" s="343"/>
      <c r="U221" s="344">
        <f>'Daily Tekrit'!$J221+'Daily Tekrit'!$M221+SUM($N221:$T221)</f>
        <v>374.40180000000004</v>
      </c>
      <c r="V221" s="306"/>
      <c r="W221" s="374">
        <v>58</v>
      </c>
      <c r="X221" s="354"/>
      <c r="Y221" s="354"/>
      <c r="Z221" s="346"/>
      <c r="AA221" s="347"/>
      <c r="AB221" s="347"/>
      <c r="AC221" s="347"/>
      <c r="AD221" s="348">
        <f t="shared" si="2"/>
        <v>0</v>
      </c>
      <c r="AE221" s="349"/>
      <c r="AF221" s="349"/>
      <c r="AG221" s="349"/>
      <c r="AH221" s="349"/>
      <c r="AI221" s="349"/>
      <c r="AJ221" s="349"/>
      <c r="AK221" s="349"/>
      <c r="AL221" s="349"/>
      <c r="AM221" s="350">
        <f t="shared" si="13"/>
        <v>0</v>
      </c>
      <c r="AN221" s="349"/>
      <c r="AO221" s="351">
        <f t="shared" si="12"/>
        <v>58</v>
      </c>
      <c r="AP221" s="352"/>
      <c r="AQ221" s="306"/>
      <c r="AR221" s="353">
        <f t="shared" si="14"/>
        <v>316.40180000000004</v>
      </c>
      <c r="AS221" s="239"/>
      <c r="AT221" s="239"/>
      <c r="AU221" s="239"/>
    </row>
    <row r="222" spans="1:47" x14ac:dyDescent="0.35">
      <c r="A222" s="332">
        <v>46186</v>
      </c>
      <c r="B222" s="371"/>
      <c r="C222" s="372">
        <f>'ODOMETERS Tekrit'!J218</f>
        <v>651</v>
      </c>
      <c r="D222" s="334">
        <v>1.3280000000000001</v>
      </c>
      <c r="E222" s="335">
        <f>'Daily Tekrit'!$C222*'Daily Tekrit'!$D222</f>
        <v>864.52800000000002</v>
      </c>
      <c r="F222" s="336">
        <f>'ODOMETERS Tekrit'!K218</f>
        <v>0</v>
      </c>
      <c r="G222" s="334">
        <v>1.3280000000000001</v>
      </c>
      <c r="H222" s="335">
        <f>'Daily Tekrit'!$F222*'Daily Tekrit'!$G222</f>
        <v>0</v>
      </c>
      <c r="I222" s="336">
        <f>'Daily Tekrit'!$C222+'Daily Tekrit'!$F222</f>
        <v>651</v>
      </c>
      <c r="J222" s="337">
        <f>'Daily Tekrit'!$E222+'Daily Tekrit'!$H222</f>
        <v>864.52800000000002</v>
      </c>
      <c r="K222" s="338">
        <f>'ODOMETERS Tekrit'!L218</f>
        <v>234</v>
      </c>
      <c r="L222" s="339">
        <v>1.1337999999999999</v>
      </c>
      <c r="M222" s="340">
        <f>'Daily Tekrit'!$K222*'Daily Tekrit'!$L222</f>
        <v>265.30919999999998</v>
      </c>
      <c r="N222" s="343">
        <f>700/89.7</f>
        <v>7.8037904124860642</v>
      </c>
      <c r="O222" s="343"/>
      <c r="P222" s="343"/>
      <c r="Q222" s="343"/>
      <c r="R222" s="343"/>
      <c r="S222" s="343"/>
      <c r="T222" s="343">
        <f>250/89.7</f>
        <v>2.7870680044593086</v>
      </c>
      <c r="U222" s="344">
        <f>'Daily Tekrit'!$J222+'Daily Tekrit'!$M222+SUM($N222:$T222)</f>
        <v>1140.4280584169453</v>
      </c>
      <c r="V222" s="306"/>
      <c r="W222" s="374">
        <f>400/89.7+200*1.1338+10+43+50</f>
        <v>334.21930880713489</v>
      </c>
      <c r="X222" s="354">
        <f>30*1.328</f>
        <v>39.840000000000003</v>
      </c>
      <c r="Y222" s="354">
        <v>3</v>
      </c>
      <c r="Z222" s="346"/>
      <c r="AA222" s="347"/>
      <c r="AB222" s="347"/>
      <c r="AC222" s="347"/>
      <c r="AD222" s="348">
        <f t="shared" si="2"/>
        <v>0</v>
      </c>
      <c r="AE222" s="349"/>
      <c r="AF222" s="349"/>
      <c r="AG222" s="349"/>
      <c r="AH222" s="349">
        <v>13</v>
      </c>
      <c r="AI222" s="349"/>
      <c r="AJ222" s="349"/>
      <c r="AK222" s="349"/>
      <c r="AL222" s="349"/>
      <c r="AM222" s="350">
        <f t="shared" si="13"/>
        <v>13</v>
      </c>
      <c r="AN222" s="349"/>
      <c r="AO222" s="351">
        <f t="shared" si="12"/>
        <v>390.05930880713493</v>
      </c>
      <c r="AP222" s="352"/>
      <c r="AQ222" s="306"/>
      <c r="AR222" s="353">
        <f t="shared" si="14"/>
        <v>750.36874960981038</v>
      </c>
      <c r="AS222" s="239"/>
      <c r="AT222" s="239"/>
      <c r="AU222" s="239"/>
    </row>
    <row r="223" spans="1:47" x14ac:dyDescent="0.35">
      <c r="A223" s="332">
        <v>46187</v>
      </c>
      <c r="B223" s="371"/>
      <c r="C223" s="372">
        <f>'ODOMETERS Tekrit'!J219</f>
        <v>466</v>
      </c>
      <c r="D223" s="334">
        <v>1.3280000000000001</v>
      </c>
      <c r="E223" s="335">
        <f>'Daily Tekrit'!$C223*'Daily Tekrit'!$D223</f>
        <v>618.84800000000007</v>
      </c>
      <c r="F223" s="336">
        <f>'ODOMETERS Tekrit'!K219</f>
        <v>235</v>
      </c>
      <c r="G223" s="334">
        <v>1.3280000000000001</v>
      </c>
      <c r="H223" s="335">
        <f>'Daily Tekrit'!$F223*'Daily Tekrit'!$G223</f>
        <v>312.08000000000004</v>
      </c>
      <c r="I223" s="336">
        <f>'Daily Tekrit'!$C223+'Daily Tekrit'!$F223</f>
        <v>701</v>
      </c>
      <c r="J223" s="337">
        <f>'Daily Tekrit'!$E223+'Daily Tekrit'!$H223</f>
        <v>930.92800000000011</v>
      </c>
      <c r="K223" s="338">
        <f>'ODOMETERS Tekrit'!L219</f>
        <v>62</v>
      </c>
      <c r="L223" s="339">
        <v>1.1337999999999999</v>
      </c>
      <c r="M223" s="340">
        <f>'Daily Tekrit'!$K223*'Daily Tekrit'!$L223</f>
        <v>70.295599999999993</v>
      </c>
      <c r="N223" s="343"/>
      <c r="O223" s="343"/>
      <c r="P223" s="343"/>
      <c r="Q223" s="343"/>
      <c r="R223" s="343"/>
      <c r="S223" s="343">
        <f>400/89.7</f>
        <v>4.4593088071348941</v>
      </c>
      <c r="T223" s="343">
        <f>350/89.7</f>
        <v>3.9018952062430321</v>
      </c>
      <c r="U223" s="344">
        <f>'Daily Tekrit'!$J223+'Daily Tekrit'!$M223+SUM($N223:$T223)</f>
        <v>1009.5848040133781</v>
      </c>
      <c r="V223" s="306"/>
      <c r="W223" s="374">
        <f>80+5+13</f>
        <v>98</v>
      </c>
      <c r="X223" s="354">
        <f>(10+30)*1.328</f>
        <v>53.120000000000005</v>
      </c>
      <c r="Y223" s="354"/>
      <c r="Z223" s="346"/>
      <c r="AA223" s="347"/>
      <c r="AB223" s="347"/>
      <c r="AC223" s="347"/>
      <c r="AD223" s="348">
        <f t="shared" si="2"/>
        <v>0</v>
      </c>
      <c r="AE223" s="349"/>
      <c r="AF223" s="349"/>
      <c r="AG223" s="349"/>
      <c r="AH223" s="349">
        <f>9*1.328+10</f>
        <v>21.951999999999998</v>
      </c>
      <c r="AI223" s="349"/>
      <c r="AJ223" s="349"/>
      <c r="AK223" s="349"/>
      <c r="AL223" s="349"/>
      <c r="AM223" s="350">
        <f t="shared" si="13"/>
        <v>21.951999999999998</v>
      </c>
      <c r="AN223" s="349"/>
      <c r="AO223" s="351">
        <f t="shared" si="12"/>
        <v>173.072</v>
      </c>
      <c r="AP223" s="352"/>
      <c r="AQ223" s="306"/>
      <c r="AR223" s="353">
        <f t="shared" si="14"/>
        <v>836.51280401337806</v>
      </c>
      <c r="AS223" s="239"/>
      <c r="AT223" s="239"/>
      <c r="AU223" s="239"/>
    </row>
    <row r="224" spans="1:47" x14ac:dyDescent="0.35">
      <c r="A224" s="332">
        <v>46188</v>
      </c>
      <c r="B224" s="371"/>
      <c r="C224" s="372">
        <f>'ODOMETERS Tekrit'!J220</f>
        <v>51</v>
      </c>
      <c r="D224" s="334">
        <v>1.3280000000000001</v>
      </c>
      <c r="E224" s="335">
        <f>'Daily Tekrit'!$C224*'Daily Tekrit'!$D224</f>
        <v>67.728000000000009</v>
      </c>
      <c r="F224" s="336">
        <f>'ODOMETERS Tekrit'!K220</f>
        <v>751</v>
      </c>
      <c r="G224" s="334">
        <v>1.3280000000000001</v>
      </c>
      <c r="H224" s="335">
        <f>'Daily Tekrit'!$F224*'Daily Tekrit'!$G224</f>
        <v>997.32800000000009</v>
      </c>
      <c r="I224" s="336">
        <f>'Daily Tekrit'!$C224+'Daily Tekrit'!$F224</f>
        <v>802</v>
      </c>
      <c r="J224" s="337">
        <f>'Daily Tekrit'!$E224+'Daily Tekrit'!$H224</f>
        <v>1065.056</v>
      </c>
      <c r="K224" s="338">
        <f>'ODOMETERS Tekrit'!L220</f>
        <v>37</v>
      </c>
      <c r="L224" s="339">
        <v>1.1337999999999999</v>
      </c>
      <c r="M224" s="340">
        <f>'Daily Tekrit'!$K224*'Daily Tekrit'!$L224</f>
        <v>41.950599999999994</v>
      </c>
      <c r="N224" s="343">
        <f>700/89.7</f>
        <v>7.8037904124860642</v>
      </c>
      <c r="O224" s="343"/>
      <c r="P224" s="343"/>
      <c r="Q224" s="343"/>
      <c r="R224" s="343"/>
      <c r="S224" s="343"/>
      <c r="T224" s="343">
        <f>800/89.7</f>
        <v>8.9186176142697882</v>
      </c>
      <c r="U224" s="344">
        <f>'Daily Tekrit'!$J224+'Daily Tekrit'!$M224+SUM($N224:$T224)</f>
        <v>1123.7290080267558</v>
      </c>
      <c r="V224" s="306"/>
      <c r="W224" s="374">
        <f>30+50+77</f>
        <v>157</v>
      </c>
      <c r="X224" s="354">
        <f>(50+30+20)*1.3278</f>
        <v>132.78</v>
      </c>
      <c r="Y224" s="354"/>
      <c r="Z224" s="346"/>
      <c r="AA224" s="347"/>
      <c r="AB224" s="347"/>
      <c r="AC224" s="347"/>
      <c r="AD224" s="348">
        <f t="shared" si="2"/>
        <v>0</v>
      </c>
      <c r="AE224" s="349"/>
      <c r="AF224" s="349"/>
      <c r="AG224" s="349"/>
      <c r="AH224" s="349"/>
      <c r="AI224" s="349"/>
      <c r="AJ224" s="349"/>
      <c r="AK224" s="349"/>
      <c r="AL224" s="349"/>
      <c r="AM224" s="350">
        <f t="shared" si="13"/>
        <v>0</v>
      </c>
      <c r="AN224" s="349"/>
      <c r="AO224" s="351">
        <f t="shared" si="12"/>
        <v>289.77999999999997</v>
      </c>
      <c r="AP224" s="352"/>
      <c r="AQ224" s="306"/>
      <c r="AR224" s="353">
        <f t="shared" si="14"/>
        <v>833.94900802675579</v>
      </c>
      <c r="AS224" s="239"/>
      <c r="AT224" s="239"/>
      <c r="AU224" s="239"/>
    </row>
    <row r="225" spans="1:47" x14ac:dyDescent="0.35">
      <c r="A225" s="332">
        <v>46189</v>
      </c>
      <c r="B225" s="371" t="s">
        <v>24</v>
      </c>
      <c r="C225" s="372">
        <f>'ODOMETERS Tekrit'!J221</f>
        <v>50</v>
      </c>
      <c r="D225" s="334">
        <v>1.3280000000000001</v>
      </c>
      <c r="E225" s="335">
        <f>'Daily Tekrit'!$C225*'Daily Tekrit'!$D225</f>
        <v>66.400000000000006</v>
      </c>
      <c r="F225" s="336">
        <f>'ODOMETERS Tekrit'!K221</f>
        <v>334</v>
      </c>
      <c r="G225" s="334">
        <v>1.3280000000000001</v>
      </c>
      <c r="H225" s="335">
        <f>'Daily Tekrit'!$F225*'Daily Tekrit'!$G225</f>
        <v>443.55200000000002</v>
      </c>
      <c r="I225" s="336">
        <f>'Daily Tekrit'!$C225+'Daily Tekrit'!$F225</f>
        <v>384</v>
      </c>
      <c r="J225" s="337">
        <f>'Daily Tekrit'!$E225+'Daily Tekrit'!$H225</f>
        <v>509.952</v>
      </c>
      <c r="K225" s="338">
        <f>'ODOMETERS Tekrit'!L221</f>
        <v>55</v>
      </c>
      <c r="L225" s="339">
        <v>1.1337999999999999</v>
      </c>
      <c r="M225" s="340">
        <f>'Daily Tekrit'!$K225*'Daily Tekrit'!$L225</f>
        <v>62.358999999999995</v>
      </c>
      <c r="N225" s="343"/>
      <c r="O225" s="343"/>
      <c r="P225" s="343"/>
      <c r="Q225" s="343"/>
      <c r="R225" s="343"/>
      <c r="S225" s="343"/>
      <c r="T225" s="343"/>
      <c r="U225" s="344">
        <f>'Daily Tekrit'!$J225+'Daily Tekrit'!$M225+SUM($N225:$T225)</f>
        <v>572.31100000000004</v>
      </c>
      <c r="V225" s="306"/>
      <c r="W225" s="374">
        <f>15+8+5</f>
        <v>28</v>
      </c>
      <c r="X225" s="354"/>
      <c r="Y225" s="354">
        <v>1</v>
      </c>
      <c r="Z225" s="346"/>
      <c r="AA225" s="347"/>
      <c r="AB225" s="347"/>
      <c r="AC225" s="347"/>
      <c r="AD225" s="348">
        <f t="shared" si="2"/>
        <v>0</v>
      </c>
      <c r="AE225" s="349"/>
      <c r="AF225" s="349"/>
      <c r="AG225" s="349"/>
      <c r="AH225" s="349"/>
      <c r="AI225" s="349"/>
      <c r="AJ225" s="349"/>
      <c r="AK225" s="349"/>
      <c r="AL225" s="349"/>
      <c r="AM225" s="350">
        <f t="shared" si="13"/>
        <v>0</v>
      </c>
      <c r="AN225" s="349"/>
      <c r="AO225" s="351">
        <f t="shared" si="12"/>
        <v>29</v>
      </c>
      <c r="AP225" s="352"/>
      <c r="AQ225" s="306"/>
      <c r="AR225" s="353">
        <f t="shared" si="14"/>
        <v>543.31100000000004</v>
      </c>
      <c r="AS225" s="239"/>
      <c r="AT225" s="239"/>
      <c r="AU225" s="243"/>
    </row>
    <row r="226" spans="1:47" x14ac:dyDescent="0.35">
      <c r="A226" s="332">
        <v>46189</v>
      </c>
      <c r="B226" s="371" t="s">
        <v>25</v>
      </c>
      <c r="C226" s="372">
        <f>'ODOMETERS Tekrit'!J222</f>
        <v>239</v>
      </c>
      <c r="D226" s="334">
        <v>1.31</v>
      </c>
      <c r="E226" s="335">
        <f>'Daily Tekrit'!$C226*'Daily Tekrit'!$D226</f>
        <v>313.09000000000003</v>
      </c>
      <c r="F226" s="336">
        <f>'ODOMETERS Tekrit'!K222</f>
        <v>212</v>
      </c>
      <c r="G226" s="334">
        <v>1.31</v>
      </c>
      <c r="H226" s="335">
        <f>'Daily Tekrit'!$F226*'Daily Tekrit'!$G226</f>
        <v>277.72000000000003</v>
      </c>
      <c r="I226" s="336">
        <f>'Daily Tekrit'!$C226+'Daily Tekrit'!$F226</f>
        <v>451</v>
      </c>
      <c r="J226" s="337">
        <f>'Daily Tekrit'!$E226+'Daily Tekrit'!$H226</f>
        <v>590.81000000000006</v>
      </c>
      <c r="K226" s="338">
        <f>'ODOMETERS Tekrit'!L222</f>
        <v>4</v>
      </c>
      <c r="L226" s="339">
        <v>1.1175999999999999</v>
      </c>
      <c r="M226" s="340">
        <f>'Daily Tekrit'!$K226*'Daily Tekrit'!$L226</f>
        <v>4.4703999999999997</v>
      </c>
      <c r="N226" s="343">
        <v>9</v>
      </c>
      <c r="O226" s="343"/>
      <c r="P226" s="343"/>
      <c r="Q226" s="343"/>
      <c r="R226" s="343"/>
      <c r="S226" s="343"/>
      <c r="T226" s="343"/>
      <c r="U226" s="344">
        <f>'Daily Tekrit'!$J226+'Daily Tekrit'!$M226+SUM($N226:$T226)</f>
        <v>604.2804000000001</v>
      </c>
      <c r="V226" s="306"/>
      <c r="W226" s="374">
        <f>36+10</f>
        <v>46</v>
      </c>
      <c r="X226" s="354"/>
      <c r="Y226" s="354">
        <v>3</v>
      </c>
      <c r="Z226" s="346"/>
      <c r="AA226" s="347"/>
      <c r="AB226" s="347"/>
      <c r="AC226" s="347"/>
      <c r="AD226" s="348">
        <f t="shared" si="2"/>
        <v>0</v>
      </c>
      <c r="AE226" s="349"/>
      <c r="AF226" s="349"/>
      <c r="AG226" s="349">
        <f>16*1.3099</f>
        <v>20.958400000000001</v>
      </c>
      <c r="AH226" s="349"/>
      <c r="AI226" s="349"/>
      <c r="AJ226" s="349"/>
      <c r="AK226" s="349"/>
      <c r="AL226" s="349"/>
      <c r="AM226" s="350">
        <f t="shared" si="13"/>
        <v>20.958400000000001</v>
      </c>
      <c r="AN226" s="349"/>
      <c r="AO226" s="351">
        <f t="shared" si="12"/>
        <v>69.958399999999997</v>
      </c>
      <c r="AP226" s="352"/>
      <c r="AQ226" s="306"/>
      <c r="AR226" s="353">
        <f t="shared" si="14"/>
        <v>534.32200000000012</v>
      </c>
      <c r="AS226" s="239"/>
      <c r="AT226" s="239"/>
      <c r="AU226" s="239"/>
    </row>
    <row r="227" spans="1:47" x14ac:dyDescent="0.35">
      <c r="A227" s="332">
        <v>46190</v>
      </c>
      <c r="B227" s="371"/>
      <c r="C227" s="372">
        <f>'ODOMETERS Tekrit'!J223</f>
        <v>120</v>
      </c>
      <c r="D227" s="334">
        <v>1.31</v>
      </c>
      <c r="E227" s="335">
        <f>'Daily Tekrit'!$C227*'Daily Tekrit'!$D227</f>
        <v>157.20000000000002</v>
      </c>
      <c r="F227" s="336">
        <f>'ODOMETERS Tekrit'!K223</f>
        <v>413</v>
      </c>
      <c r="G227" s="334">
        <v>1.31</v>
      </c>
      <c r="H227" s="335">
        <f>'Daily Tekrit'!$F227*'Daily Tekrit'!$G227</f>
        <v>541.03</v>
      </c>
      <c r="I227" s="336">
        <f>'Daily Tekrit'!$C227+'Daily Tekrit'!$F227</f>
        <v>533</v>
      </c>
      <c r="J227" s="337">
        <f>'Daily Tekrit'!$E227+'Daily Tekrit'!$H227</f>
        <v>698.23</v>
      </c>
      <c r="K227" s="338">
        <f>'ODOMETERS Tekrit'!L223</f>
        <v>41</v>
      </c>
      <c r="L227" s="339">
        <v>1.1175999999999999</v>
      </c>
      <c r="M227" s="340">
        <f>'Daily Tekrit'!$K227*'Daily Tekrit'!$L227</f>
        <v>45.821599999999997</v>
      </c>
      <c r="N227" s="343"/>
      <c r="O227" s="343"/>
      <c r="P227" s="343"/>
      <c r="Q227" s="343"/>
      <c r="R227" s="343"/>
      <c r="S227" s="343"/>
      <c r="T227" s="343">
        <f>150/89.7</f>
        <v>1.6722408026755853</v>
      </c>
      <c r="U227" s="344">
        <f>'Daily Tekrit'!$J227+'Daily Tekrit'!$M227+SUM($N227:$T227)</f>
        <v>745.72384080267557</v>
      </c>
      <c r="V227" s="306"/>
      <c r="W227" s="374">
        <v>9</v>
      </c>
      <c r="X227" s="354">
        <f>29*1.31</f>
        <v>37.99</v>
      </c>
      <c r="Y227" s="354"/>
      <c r="Z227" s="346"/>
      <c r="AA227" s="347"/>
      <c r="AB227" s="347"/>
      <c r="AC227" s="347"/>
      <c r="AD227" s="348">
        <f t="shared" si="2"/>
        <v>0</v>
      </c>
      <c r="AE227" s="349"/>
      <c r="AF227" s="349"/>
      <c r="AG227" s="349"/>
      <c r="AH227" s="349">
        <v>10</v>
      </c>
      <c r="AI227" s="349"/>
      <c r="AJ227" s="349"/>
      <c r="AK227" s="349"/>
      <c r="AL227" s="349"/>
      <c r="AM227" s="350">
        <f t="shared" si="13"/>
        <v>10</v>
      </c>
      <c r="AN227" s="349"/>
      <c r="AO227" s="351">
        <f t="shared" si="12"/>
        <v>56.99</v>
      </c>
      <c r="AP227" s="352"/>
      <c r="AQ227" s="306"/>
      <c r="AR227" s="353">
        <f t="shared" si="14"/>
        <v>688.73384080267556</v>
      </c>
      <c r="AS227" s="239"/>
      <c r="AT227" s="239"/>
      <c r="AU227" s="239"/>
    </row>
    <row r="228" spans="1:47" x14ac:dyDescent="0.35">
      <c r="A228" s="332">
        <v>46191</v>
      </c>
      <c r="B228" s="371"/>
      <c r="C228" s="372">
        <f>'ODOMETERS Tekrit'!J224</f>
        <v>47</v>
      </c>
      <c r="D228" s="334">
        <v>1.31</v>
      </c>
      <c r="E228" s="335">
        <f>'Daily Tekrit'!$C228*'Daily Tekrit'!$D228</f>
        <v>61.57</v>
      </c>
      <c r="F228" s="336">
        <f>'ODOMETERS Tekrit'!K224</f>
        <v>471</v>
      </c>
      <c r="G228" s="334">
        <v>1.31</v>
      </c>
      <c r="H228" s="335">
        <f>'Daily Tekrit'!$F228*'Daily Tekrit'!$G228</f>
        <v>617.01</v>
      </c>
      <c r="I228" s="336">
        <f>'Daily Tekrit'!$C228+'Daily Tekrit'!$F228</f>
        <v>518</v>
      </c>
      <c r="J228" s="337">
        <f>'Daily Tekrit'!$E228+'Daily Tekrit'!$H228</f>
        <v>678.58</v>
      </c>
      <c r="K228" s="338">
        <f>'ODOMETERS Tekrit'!L224</f>
        <v>27</v>
      </c>
      <c r="L228" s="339">
        <v>1.1175999999999999</v>
      </c>
      <c r="M228" s="340">
        <f>'Daily Tekrit'!$K228*'Daily Tekrit'!$L228</f>
        <v>30.175199999999997</v>
      </c>
      <c r="N228" s="343"/>
      <c r="O228" s="343"/>
      <c r="P228" s="343"/>
      <c r="Q228" s="343"/>
      <c r="R228" s="343"/>
      <c r="S228" s="343"/>
      <c r="T228" s="343"/>
      <c r="U228" s="344">
        <f>'Daily Tekrit'!$J228+'Daily Tekrit'!$M228+SUM($N228:$T228)</f>
        <v>708.75520000000006</v>
      </c>
      <c r="V228" s="306"/>
      <c r="W228" s="374">
        <v>119</v>
      </c>
      <c r="X228" s="354"/>
      <c r="Y228" s="354">
        <v>3</v>
      </c>
      <c r="Z228" s="346"/>
      <c r="AA228" s="347"/>
      <c r="AB228" s="347"/>
      <c r="AC228" s="347"/>
      <c r="AD228" s="348">
        <f t="shared" si="2"/>
        <v>0</v>
      </c>
      <c r="AE228" s="349"/>
      <c r="AF228" s="349">
        <v>300</v>
      </c>
      <c r="AG228" s="349"/>
      <c r="AH228" s="349">
        <v>10</v>
      </c>
      <c r="AI228" s="349"/>
      <c r="AJ228" s="349"/>
      <c r="AK228" s="349"/>
      <c r="AL228" s="349"/>
      <c r="AM228" s="350">
        <f t="shared" si="13"/>
        <v>310</v>
      </c>
      <c r="AN228" s="349"/>
      <c r="AO228" s="351">
        <f t="shared" si="12"/>
        <v>432</v>
      </c>
      <c r="AP228" s="352"/>
      <c r="AQ228" s="306"/>
      <c r="AR228" s="353">
        <f t="shared" si="14"/>
        <v>276.75520000000006</v>
      </c>
      <c r="AS228" s="239"/>
      <c r="AT228" s="239"/>
      <c r="AU228" s="239"/>
    </row>
    <row r="229" spans="1:47" x14ac:dyDescent="0.35">
      <c r="A229" s="332">
        <v>46192</v>
      </c>
      <c r="B229" s="371" t="s">
        <v>24</v>
      </c>
      <c r="C229" s="372">
        <f>'ODOMETERS Tekrit'!J225</f>
        <v>345</v>
      </c>
      <c r="D229" s="334">
        <v>1.31</v>
      </c>
      <c r="E229" s="335">
        <f>'Daily Tekrit'!$C229*'Daily Tekrit'!$D229</f>
        <v>451.95000000000005</v>
      </c>
      <c r="F229" s="336">
        <f>'ODOMETERS Tekrit'!K225</f>
        <v>31</v>
      </c>
      <c r="G229" s="334">
        <v>1.31</v>
      </c>
      <c r="H229" s="335">
        <f>'Daily Tekrit'!$F229*'Daily Tekrit'!$G229</f>
        <v>40.61</v>
      </c>
      <c r="I229" s="336">
        <f>'Daily Tekrit'!$C229+'Daily Tekrit'!$F229</f>
        <v>376</v>
      </c>
      <c r="J229" s="337">
        <f>'Daily Tekrit'!$E229+'Daily Tekrit'!$H229</f>
        <v>492.56000000000006</v>
      </c>
      <c r="K229" s="338">
        <f>'ODOMETERS Tekrit'!L225</f>
        <v>48</v>
      </c>
      <c r="L229" s="339">
        <v>1.1175999999999999</v>
      </c>
      <c r="M229" s="340">
        <f>'Daily Tekrit'!$K229*'Daily Tekrit'!$L229</f>
        <v>53.644799999999996</v>
      </c>
      <c r="N229" s="343"/>
      <c r="O229" s="343"/>
      <c r="P229" s="343"/>
      <c r="Q229" s="343"/>
      <c r="R229" s="343"/>
      <c r="S229" s="343"/>
      <c r="T229" s="343"/>
      <c r="U229" s="344">
        <f>'Daily Tekrit'!$J229+'Daily Tekrit'!$M229+SUM($N229:$T229)</f>
        <v>546.20480000000009</v>
      </c>
      <c r="V229" s="306"/>
      <c r="W229" s="374">
        <v>95</v>
      </c>
      <c r="X229" s="354"/>
      <c r="Y229" s="354"/>
      <c r="Z229" s="346"/>
      <c r="AA229" s="347"/>
      <c r="AB229" s="347"/>
      <c r="AC229" s="347"/>
      <c r="AD229" s="348">
        <f t="shared" si="2"/>
        <v>0</v>
      </c>
      <c r="AE229" s="349"/>
      <c r="AF229" s="349"/>
      <c r="AG229" s="349"/>
      <c r="AH229" s="349">
        <v>10</v>
      </c>
      <c r="AI229" s="349"/>
      <c r="AJ229" s="349"/>
      <c r="AK229" s="349"/>
      <c r="AL229" s="349"/>
      <c r="AM229" s="350">
        <f t="shared" si="13"/>
        <v>10</v>
      </c>
      <c r="AN229" s="349"/>
      <c r="AO229" s="351">
        <f t="shared" si="12"/>
        <v>105</v>
      </c>
      <c r="AP229" s="352"/>
      <c r="AQ229" s="306"/>
      <c r="AR229" s="353">
        <f t="shared" si="14"/>
        <v>441.20480000000009</v>
      </c>
      <c r="AS229" s="239"/>
      <c r="AT229" s="239"/>
      <c r="AU229" s="239"/>
    </row>
    <row r="230" spans="1:47" x14ac:dyDescent="0.35">
      <c r="A230" s="332">
        <v>46192</v>
      </c>
      <c r="B230" s="371" t="s">
        <v>25</v>
      </c>
      <c r="C230" s="372">
        <f>'ODOMETERS Tekrit'!J226</f>
        <v>83</v>
      </c>
      <c r="D230" s="334">
        <v>1.288</v>
      </c>
      <c r="E230" s="335">
        <f>'Daily Tekrit'!$C230*'Daily Tekrit'!$D230</f>
        <v>106.904</v>
      </c>
      <c r="F230" s="336">
        <f>'ODOMETERS Tekrit'!K226</f>
        <v>8</v>
      </c>
      <c r="G230" s="334">
        <v>1.288</v>
      </c>
      <c r="H230" s="335">
        <f>'Daily Tekrit'!$F230*'Daily Tekrit'!$G230</f>
        <v>10.304</v>
      </c>
      <c r="I230" s="336">
        <f>'Daily Tekrit'!$C230+'Daily Tekrit'!$F230</f>
        <v>91</v>
      </c>
      <c r="J230" s="337">
        <f>'Daily Tekrit'!$E230+'Daily Tekrit'!$H230</f>
        <v>117.208</v>
      </c>
      <c r="K230" s="338">
        <f>'ODOMETERS Tekrit'!L226</f>
        <v>21</v>
      </c>
      <c r="L230" s="339">
        <v>1.0948</v>
      </c>
      <c r="M230" s="340">
        <f>'Daily Tekrit'!$K230*'Daily Tekrit'!$L230</f>
        <v>22.9908</v>
      </c>
      <c r="N230" s="343"/>
      <c r="O230" s="343"/>
      <c r="P230" s="343"/>
      <c r="Q230" s="343"/>
      <c r="R230" s="343"/>
      <c r="S230" s="343"/>
      <c r="T230" s="343"/>
      <c r="U230" s="344">
        <f>'Daily Tekrit'!$J230+'Daily Tekrit'!$M230+SUM($N230:$T230)</f>
        <v>140.19880000000001</v>
      </c>
      <c r="V230" s="306"/>
      <c r="W230" s="374">
        <v>25</v>
      </c>
      <c r="X230" s="354"/>
      <c r="Y230" s="354"/>
      <c r="Z230" s="346"/>
      <c r="AA230" s="347"/>
      <c r="AB230" s="347"/>
      <c r="AC230" s="347"/>
      <c r="AD230" s="348">
        <f t="shared" si="2"/>
        <v>0</v>
      </c>
      <c r="AE230" s="349"/>
      <c r="AF230" s="349"/>
      <c r="AG230" s="349"/>
      <c r="AH230" s="349"/>
      <c r="AI230" s="349"/>
      <c r="AJ230" s="349"/>
      <c r="AK230" s="349"/>
      <c r="AL230" s="349"/>
      <c r="AM230" s="350">
        <f t="shared" si="13"/>
        <v>0</v>
      </c>
      <c r="AN230" s="349"/>
      <c r="AO230" s="351">
        <f t="shared" si="12"/>
        <v>25</v>
      </c>
      <c r="AP230" s="352"/>
      <c r="AQ230" s="306"/>
      <c r="AR230" s="353">
        <f t="shared" si="14"/>
        <v>115.19880000000001</v>
      </c>
      <c r="AS230" s="239"/>
      <c r="AT230" s="239"/>
      <c r="AU230" s="239"/>
    </row>
    <row r="231" spans="1:47" x14ac:dyDescent="0.35">
      <c r="A231" s="332">
        <v>46193</v>
      </c>
      <c r="B231" s="371"/>
      <c r="C231" s="372">
        <f>'ODOMETERS Tekrit'!J227</f>
        <v>491</v>
      </c>
      <c r="D231" s="334">
        <v>1.288</v>
      </c>
      <c r="E231" s="335">
        <f>'Daily Tekrit'!$C231*'Daily Tekrit'!$D231</f>
        <v>632.40800000000002</v>
      </c>
      <c r="F231" s="336">
        <f>'ODOMETERS Tekrit'!K227</f>
        <v>27</v>
      </c>
      <c r="G231" s="334">
        <v>1.288</v>
      </c>
      <c r="H231" s="335">
        <f>'Daily Tekrit'!$F231*'Daily Tekrit'!$G231</f>
        <v>34.776000000000003</v>
      </c>
      <c r="I231" s="336">
        <f>'Daily Tekrit'!$C231+'Daily Tekrit'!$F231</f>
        <v>518</v>
      </c>
      <c r="J231" s="337">
        <f>'Daily Tekrit'!$E231+'Daily Tekrit'!$H231</f>
        <v>667.18399999999997</v>
      </c>
      <c r="K231" s="338">
        <f>'ODOMETERS Tekrit'!L227</f>
        <v>55</v>
      </c>
      <c r="L231" s="339">
        <v>1.0948</v>
      </c>
      <c r="M231" s="340">
        <f>'Daily Tekrit'!$K231*'Daily Tekrit'!$L231</f>
        <v>60.213999999999999</v>
      </c>
      <c r="N231" s="343"/>
      <c r="O231" s="343"/>
      <c r="P231" s="343"/>
      <c r="Q231" s="343"/>
      <c r="R231" s="343"/>
      <c r="S231" s="343">
        <v>110</v>
      </c>
      <c r="T231" s="343"/>
      <c r="U231" s="344">
        <f>'Daily Tekrit'!$J231+'Daily Tekrit'!$M231+SUM($N231:$T231)</f>
        <v>837.39799999999991</v>
      </c>
      <c r="V231" s="306"/>
      <c r="W231" s="374">
        <f>25+11+50</f>
        <v>86</v>
      </c>
      <c r="X231" s="354">
        <f>28*1.2887</f>
        <v>36.083599999999997</v>
      </c>
      <c r="Y231" s="354">
        <v>4</v>
      </c>
      <c r="Z231" s="346"/>
      <c r="AA231" s="347"/>
      <c r="AB231" s="347"/>
      <c r="AC231" s="347"/>
      <c r="AD231" s="348">
        <f t="shared" si="2"/>
        <v>0</v>
      </c>
      <c r="AE231" s="349"/>
      <c r="AF231" s="349"/>
      <c r="AG231" s="349"/>
      <c r="AH231" s="349">
        <v>9</v>
      </c>
      <c r="AI231" s="349"/>
      <c r="AJ231" s="349"/>
      <c r="AK231" s="349"/>
      <c r="AL231" s="349"/>
      <c r="AM231" s="350">
        <f t="shared" si="13"/>
        <v>9</v>
      </c>
      <c r="AN231" s="349"/>
      <c r="AO231" s="351">
        <f t="shared" si="12"/>
        <v>135.08359999999999</v>
      </c>
      <c r="AP231" s="352"/>
      <c r="AQ231" s="306"/>
      <c r="AR231" s="353">
        <f t="shared" si="14"/>
        <v>702.31439999999998</v>
      </c>
      <c r="AS231" s="239"/>
      <c r="AT231" s="239"/>
      <c r="AU231" s="239"/>
    </row>
    <row r="232" spans="1:47" x14ac:dyDescent="0.35">
      <c r="A232" s="332">
        <v>46194</v>
      </c>
      <c r="B232" s="371"/>
      <c r="C232" s="372">
        <f>'ODOMETERS Tekrit'!J228</f>
        <v>603</v>
      </c>
      <c r="D232" s="334">
        <v>1.288</v>
      </c>
      <c r="E232" s="335">
        <f>'Daily Tekrit'!$C232*'Daily Tekrit'!$D232</f>
        <v>776.66399999999999</v>
      </c>
      <c r="F232" s="336">
        <f>'ODOMETERS Tekrit'!K228</f>
        <v>0</v>
      </c>
      <c r="G232" s="334">
        <v>1.288</v>
      </c>
      <c r="H232" s="335">
        <f>'Daily Tekrit'!$F232*'Daily Tekrit'!$G232</f>
        <v>0</v>
      </c>
      <c r="I232" s="336">
        <f>'Daily Tekrit'!$C232+'Daily Tekrit'!$F232</f>
        <v>603</v>
      </c>
      <c r="J232" s="337">
        <f>'Daily Tekrit'!$E232+'Daily Tekrit'!$H232</f>
        <v>776.66399999999999</v>
      </c>
      <c r="K232" s="338">
        <f>'ODOMETERS Tekrit'!L228</f>
        <v>89</v>
      </c>
      <c r="L232" s="339">
        <v>1.0948</v>
      </c>
      <c r="M232" s="340">
        <f>'Daily Tekrit'!$K232*'Daily Tekrit'!$L232</f>
        <v>97.437200000000004</v>
      </c>
      <c r="N232" s="343">
        <f>350/89.7</f>
        <v>3.9018952062430321</v>
      </c>
      <c r="O232" s="343"/>
      <c r="P232" s="343"/>
      <c r="Q232" s="343"/>
      <c r="R232" s="343"/>
      <c r="S232" s="343"/>
      <c r="T232" s="343">
        <f>100/89.7</f>
        <v>1.1148272017837235</v>
      </c>
      <c r="U232" s="344">
        <f>'Daily Tekrit'!$J232+'Daily Tekrit'!$M232+SUM($N232:$T232)</f>
        <v>879.11792240802674</v>
      </c>
      <c r="V232" s="306"/>
      <c r="W232" s="374">
        <f>45+8</f>
        <v>53</v>
      </c>
      <c r="X232" s="354">
        <f>10*1.288</f>
        <v>12.88</v>
      </c>
      <c r="Y232" s="354">
        <v>2</v>
      </c>
      <c r="Z232" s="346"/>
      <c r="AA232" s="347"/>
      <c r="AB232" s="347"/>
      <c r="AC232" s="347"/>
      <c r="AD232" s="348">
        <f t="shared" si="2"/>
        <v>0</v>
      </c>
      <c r="AE232" s="349"/>
      <c r="AF232" s="349"/>
      <c r="AG232" s="349"/>
      <c r="AH232" s="349">
        <v>9</v>
      </c>
      <c r="AI232" s="349"/>
      <c r="AJ232" s="349"/>
      <c r="AK232" s="349"/>
      <c r="AL232" s="349"/>
      <c r="AM232" s="350">
        <f t="shared" si="13"/>
        <v>9</v>
      </c>
      <c r="AN232" s="349"/>
      <c r="AO232" s="351">
        <f t="shared" si="12"/>
        <v>76.88</v>
      </c>
      <c r="AP232" s="352"/>
      <c r="AQ232" s="306"/>
      <c r="AR232" s="353">
        <f t="shared" si="14"/>
        <v>802.23792240802675</v>
      </c>
      <c r="AS232" s="239"/>
      <c r="AT232" s="239"/>
      <c r="AU232" s="239"/>
    </row>
    <row r="233" spans="1:47" x14ac:dyDescent="0.35">
      <c r="A233" s="332">
        <v>46195</v>
      </c>
      <c r="B233" s="371"/>
      <c r="C233" s="372">
        <f>'ODOMETERS Tekrit'!J229</f>
        <v>791</v>
      </c>
      <c r="D233" s="334">
        <v>1.288</v>
      </c>
      <c r="E233" s="335">
        <f>'Daily Tekrit'!$C233*'Daily Tekrit'!$D233</f>
        <v>1018.808</v>
      </c>
      <c r="F233" s="336">
        <f>'ODOMETERS Tekrit'!K229</f>
        <v>0</v>
      </c>
      <c r="G233" s="334">
        <v>1.288</v>
      </c>
      <c r="H233" s="335">
        <f>'Daily Tekrit'!$F233*'Daily Tekrit'!$G233</f>
        <v>0</v>
      </c>
      <c r="I233" s="336">
        <f>'Daily Tekrit'!$C233+'Daily Tekrit'!$F233</f>
        <v>791</v>
      </c>
      <c r="J233" s="337">
        <f>'Daily Tekrit'!$E233+'Daily Tekrit'!$H233</f>
        <v>1018.808</v>
      </c>
      <c r="K233" s="338">
        <f>'ODOMETERS Tekrit'!L229</f>
        <v>15</v>
      </c>
      <c r="L233" s="339">
        <v>1.0948</v>
      </c>
      <c r="M233" s="340">
        <f>'Daily Tekrit'!$K233*'Daily Tekrit'!$L233</f>
        <v>16.422000000000001</v>
      </c>
      <c r="N233" s="343"/>
      <c r="O233" s="343"/>
      <c r="P233" s="343"/>
      <c r="Q233" s="343"/>
      <c r="R233" s="343"/>
      <c r="S233" s="343"/>
      <c r="T233" s="343"/>
      <c r="U233" s="344">
        <f>'Daily Tekrit'!$J233+'Daily Tekrit'!$M233+SUM($N233:$T233)</f>
        <v>1035.23</v>
      </c>
      <c r="V233" s="306"/>
      <c r="W233" s="374">
        <f>23+10+800/89.7</f>
        <v>41.918617614269792</v>
      </c>
      <c r="X233" s="354">
        <f>27*1.2887</f>
        <v>34.794899999999998</v>
      </c>
      <c r="Y233" s="354"/>
      <c r="Z233" s="346"/>
      <c r="AA233" s="347"/>
      <c r="AB233" s="347"/>
      <c r="AC233" s="347"/>
      <c r="AD233" s="348">
        <f t="shared" si="2"/>
        <v>0</v>
      </c>
      <c r="AE233" s="349"/>
      <c r="AF233" s="349"/>
      <c r="AG233" s="349"/>
      <c r="AH233" s="349">
        <f>9+800/89.7</f>
        <v>17.918617614269788</v>
      </c>
      <c r="AI233" s="349"/>
      <c r="AJ233" s="349"/>
      <c r="AK233" s="349"/>
      <c r="AL233" s="349"/>
      <c r="AM233" s="350">
        <f t="shared" si="13"/>
        <v>17.918617614269788</v>
      </c>
      <c r="AN233" s="349"/>
      <c r="AO233" s="351">
        <f t="shared" si="12"/>
        <v>94.632135228539582</v>
      </c>
      <c r="AP233" s="352"/>
      <c r="AQ233" s="306"/>
      <c r="AR233" s="353">
        <f t="shared" si="14"/>
        <v>940.59786477146042</v>
      </c>
      <c r="AS233" s="239"/>
      <c r="AT233" s="239"/>
      <c r="AU233" s="239"/>
    </row>
    <row r="234" spans="1:47" x14ac:dyDescent="0.35">
      <c r="A234" s="332">
        <v>46196</v>
      </c>
      <c r="B234" s="371"/>
      <c r="C234" s="372">
        <f>'ODOMETERS Tekrit'!J230</f>
        <v>195</v>
      </c>
      <c r="D234" s="334">
        <v>1.288</v>
      </c>
      <c r="E234" s="335">
        <f>'Daily Tekrit'!$C234*'Daily Tekrit'!$D234</f>
        <v>251.16</v>
      </c>
      <c r="F234" s="336">
        <f>'ODOMETERS Tekrit'!K230</f>
        <v>295</v>
      </c>
      <c r="G234" s="334">
        <v>1.288</v>
      </c>
      <c r="H234" s="335">
        <f>'Daily Tekrit'!$F234*'Daily Tekrit'!$G234</f>
        <v>379.96000000000004</v>
      </c>
      <c r="I234" s="336">
        <f>'Daily Tekrit'!$C234+'Daily Tekrit'!$F234</f>
        <v>490</v>
      </c>
      <c r="J234" s="337">
        <f>'Daily Tekrit'!$E234+'Daily Tekrit'!$H234</f>
        <v>631.12</v>
      </c>
      <c r="K234" s="338">
        <f>'ODOMETERS Tekrit'!L230</f>
        <v>17</v>
      </c>
      <c r="L234" s="339">
        <v>1.0948</v>
      </c>
      <c r="M234" s="340">
        <f>'Daily Tekrit'!$K234*'Daily Tekrit'!$L234</f>
        <v>18.611599999999999</v>
      </c>
      <c r="N234" s="343">
        <f>350/89.7</f>
        <v>3.9018952062430321</v>
      </c>
      <c r="O234" s="343"/>
      <c r="P234" s="343"/>
      <c r="Q234" s="343"/>
      <c r="R234" s="343"/>
      <c r="S234" s="343"/>
      <c r="T234" s="343"/>
      <c r="U234" s="344">
        <f>'Daily Tekrit'!$J234+'Daily Tekrit'!$M234+SUM($N234:$T234)</f>
        <v>653.63349520624297</v>
      </c>
      <c r="V234" s="306"/>
      <c r="W234" s="374">
        <f>10+7+90+5</f>
        <v>112</v>
      </c>
      <c r="X234" s="354"/>
      <c r="Y234" s="354"/>
      <c r="Z234" s="346"/>
      <c r="AA234" s="347"/>
      <c r="AB234" s="347"/>
      <c r="AC234" s="347"/>
      <c r="AD234" s="348">
        <f t="shared" si="2"/>
        <v>0</v>
      </c>
      <c r="AE234" s="349"/>
      <c r="AF234" s="349"/>
      <c r="AG234" s="349"/>
      <c r="AH234" s="349">
        <v>9</v>
      </c>
      <c r="AI234" s="349"/>
      <c r="AJ234" s="349"/>
      <c r="AK234" s="349"/>
      <c r="AL234" s="349"/>
      <c r="AM234" s="350">
        <f t="shared" si="13"/>
        <v>9</v>
      </c>
      <c r="AN234" s="349"/>
      <c r="AO234" s="351">
        <f t="shared" si="12"/>
        <v>121</v>
      </c>
      <c r="AP234" s="352"/>
      <c r="AQ234" s="306"/>
      <c r="AR234" s="353">
        <f t="shared" si="14"/>
        <v>532.63349520624297</v>
      </c>
      <c r="AS234" s="239"/>
      <c r="AT234" s="239"/>
      <c r="AU234" s="239"/>
    </row>
    <row r="235" spans="1:47" x14ac:dyDescent="0.35">
      <c r="A235" s="332">
        <v>46197</v>
      </c>
      <c r="B235" s="371" t="s">
        <v>24</v>
      </c>
      <c r="C235" s="372">
        <f>'ODOMETERS Tekrit'!J231</f>
        <v>5</v>
      </c>
      <c r="D235" s="334">
        <v>1.288</v>
      </c>
      <c r="E235" s="335">
        <f>'Daily Tekrit'!$C235*'Daily Tekrit'!$D235</f>
        <v>6.44</v>
      </c>
      <c r="F235" s="336">
        <f>'ODOMETERS Tekrit'!K231</f>
        <v>56</v>
      </c>
      <c r="G235" s="334">
        <v>1.288</v>
      </c>
      <c r="H235" s="335">
        <f>'Daily Tekrit'!$F235*'Daily Tekrit'!$G235</f>
        <v>72.128</v>
      </c>
      <c r="I235" s="336">
        <f>'Daily Tekrit'!$C235+'Daily Tekrit'!$F235</f>
        <v>61</v>
      </c>
      <c r="J235" s="337">
        <f>'Daily Tekrit'!$E235+'Daily Tekrit'!$H235</f>
        <v>78.567999999999998</v>
      </c>
      <c r="K235" s="338">
        <f>'ODOMETERS Tekrit'!L231</f>
        <v>0</v>
      </c>
      <c r="L235" s="339">
        <v>1.0948</v>
      </c>
      <c r="M235" s="340">
        <f>'Daily Tekrit'!$K235*'Daily Tekrit'!$L235</f>
        <v>0</v>
      </c>
      <c r="N235" s="343"/>
      <c r="O235" s="343"/>
      <c r="P235" s="343"/>
      <c r="Q235" s="343"/>
      <c r="R235" s="343"/>
      <c r="S235" s="343"/>
      <c r="T235" s="343"/>
      <c r="U235" s="344">
        <f>'Daily Tekrit'!$J235+'Daily Tekrit'!$M235+SUM($N235:$T235)</f>
        <v>78.567999999999998</v>
      </c>
      <c r="V235" s="306"/>
      <c r="W235" s="374"/>
      <c r="X235" s="354">
        <f>9*1.288</f>
        <v>11.592000000000001</v>
      </c>
      <c r="Y235" s="354"/>
      <c r="Z235" s="346"/>
      <c r="AA235" s="347"/>
      <c r="AB235" s="347"/>
      <c r="AC235" s="347"/>
      <c r="AD235" s="348">
        <f t="shared" si="2"/>
        <v>0</v>
      </c>
      <c r="AE235" s="349"/>
      <c r="AF235" s="349"/>
      <c r="AG235" s="349"/>
      <c r="AH235" s="349"/>
      <c r="AI235" s="349"/>
      <c r="AJ235" s="349"/>
      <c r="AK235" s="349"/>
      <c r="AL235" s="349"/>
      <c r="AM235" s="350">
        <f t="shared" si="13"/>
        <v>0</v>
      </c>
      <c r="AN235" s="349"/>
      <c r="AO235" s="351">
        <f t="shared" si="12"/>
        <v>11.592000000000001</v>
      </c>
      <c r="AP235" s="352"/>
      <c r="AQ235" s="306"/>
      <c r="AR235" s="353">
        <f t="shared" si="14"/>
        <v>66.975999999999999</v>
      </c>
      <c r="AS235" s="239"/>
      <c r="AT235" s="239"/>
      <c r="AU235" s="239"/>
    </row>
    <row r="236" spans="1:47" x14ac:dyDescent="0.35">
      <c r="A236" s="332">
        <v>46197</v>
      </c>
      <c r="B236" s="371" t="s">
        <v>25</v>
      </c>
      <c r="C236" s="372">
        <f>'ODOMETERS Tekrit'!J232</f>
        <v>34</v>
      </c>
      <c r="D236" s="334">
        <v>1.2769999999999999</v>
      </c>
      <c r="E236" s="335">
        <f>'Daily Tekrit'!$C236*'Daily Tekrit'!$D236</f>
        <v>43.417999999999999</v>
      </c>
      <c r="F236" s="336">
        <f>'ODOMETERS Tekrit'!K232</f>
        <v>462</v>
      </c>
      <c r="G236" s="334">
        <v>1.2769999999999999</v>
      </c>
      <c r="H236" s="335">
        <f>'Daily Tekrit'!$F236*'Daily Tekrit'!$G236</f>
        <v>589.97399999999993</v>
      </c>
      <c r="I236" s="336">
        <f>'Daily Tekrit'!$C236+'Daily Tekrit'!$F236</f>
        <v>496</v>
      </c>
      <c r="J236" s="337">
        <f>'Daily Tekrit'!$E236+'Daily Tekrit'!$H236</f>
        <v>633.39199999999994</v>
      </c>
      <c r="K236" s="338">
        <f>'ODOMETERS Tekrit'!L232</f>
        <v>41</v>
      </c>
      <c r="L236" s="339">
        <v>1.0803</v>
      </c>
      <c r="M236" s="340">
        <f>'Daily Tekrit'!$K236*'Daily Tekrit'!$L236</f>
        <v>44.292300000000004</v>
      </c>
      <c r="N236" s="343"/>
      <c r="O236" s="343"/>
      <c r="P236" s="343"/>
      <c r="Q236" s="343"/>
      <c r="R236" s="343"/>
      <c r="S236" s="343">
        <v>19</v>
      </c>
      <c r="T236" s="343"/>
      <c r="U236" s="344">
        <f>'Daily Tekrit'!$J236+'Daily Tekrit'!$M236+SUM($N236:$T236)</f>
        <v>696.68429999999989</v>
      </c>
      <c r="V236" s="306"/>
      <c r="W236" s="374">
        <v>28</v>
      </c>
      <c r="X236" s="354"/>
      <c r="Y236" s="354">
        <v>2</v>
      </c>
      <c r="Z236" s="346"/>
      <c r="AA236" s="347"/>
      <c r="AB236" s="347"/>
      <c r="AC236" s="347"/>
      <c r="AD236" s="348">
        <f t="shared" si="2"/>
        <v>0</v>
      </c>
      <c r="AE236" s="349"/>
      <c r="AF236" s="349"/>
      <c r="AG236" s="349"/>
      <c r="AH236" s="349"/>
      <c r="AI236" s="349"/>
      <c r="AJ236" s="349"/>
      <c r="AK236" s="349"/>
      <c r="AL236" s="349"/>
      <c r="AM236" s="350">
        <f t="shared" si="13"/>
        <v>0</v>
      </c>
      <c r="AN236" s="349"/>
      <c r="AO236" s="351">
        <f t="shared" si="12"/>
        <v>30</v>
      </c>
      <c r="AP236" s="352"/>
      <c r="AQ236" s="306"/>
      <c r="AR236" s="353">
        <f t="shared" si="14"/>
        <v>666.68429999999989</v>
      </c>
      <c r="AS236" s="239"/>
      <c r="AT236" s="239"/>
      <c r="AU236" s="239"/>
    </row>
    <row r="237" spans="1:47" x14ac:dyDescent="0.35">
      <c r="A237" s="332">
        <v>46198</v>
      </c>
      <c r="B237" s="371"/>
      <c r="C237" s="372">
        <f>'ODOMETERS Tekrit'!J233</f>
        <v>297</v>
      </c>
      <c r="D237" s="334">
        <v>1.2769999999999999</v>
      </c>
      <c r="E237" s="335">
        <f>'Daily Tekrit'!$C237*'Daily Tekrit'!$D237</f>
        <v>379.26899999999995</v>
      </c>
      <c r="F237" s="336">
        <f>'ODOMETERS Tekrit'!K233</f>
        <v>410</v>
      </c>
      <c r="G237" s="334">
        <v>1.2769999999999999</v>
      </c>
      <c r="H237" s="335">
        <f>'Daily Tekrit'!$F237*'Daily Tekrit'!$G237</f>
        <v>523.56999999999994</v>
      </c>
      <c r="I237" s="336">
        <f>'Daily Tekrit'!$C237+'Daily Tekrit'!$F237</f>
        <v>707</v>
      </c>
      <c r="J237" s="337">
        <f>'Daily Tekrit'!$E237+'Daily Tekrit'!$H237</f>
        <v>902.83899999999994</v>
      </c>
      <c r="K237" s="338">
        <f>'ODOMETERS Tekrit'!L233</f>
        <v>54</v>
      </c>
      <c r="L237" s="339">
        <v>1.0803</v>
      </c>
      <c r="M237" s="340">
        <f>'Daily Tekrit'!$K237*'Daily Tekrit'!$L237</f>
        <v>58.336200000000005</v>
      </c>
      <c r="N237" s="343">
        <f>700/89.7</f>
        <v>7.8037904124860642</v>
      </c>
      <c r="O237" s="343"/>
      <c r="P237" s="343"/>
      <c r="Q237" s="343"/>
      <c r="R237" s="343"/>
      <c r="S237" s="343">
        <v>10</v>
      </c>
      <c r="T237" s="343"/>
      <c r="U237" s="344">
        <f>'Daily Tekrit'!$J237+'Daily Tekrit'!$M237+SUM($N237:$T237)</f>
        <v>978.97899041248593</v>
      </c>
      <c r="V237" s="306"/>
      <c r="W237" s="374">
        <f>46+70</f>
        <v>116</v>
      </c>
      <c r="X237" s="354"/>
      <c r="Y237" s="354">
        <v>2</v>
      </c>
      <c r="Z237" s="346"/>
      <c r="AA237" s="347"/>
      <c r="AB237" s="347"/>
      <c r="AC237" s="347"/>
      <c r="AD237" s="348">
        <f t="shared" si="2"/>
        <v>0</v>
      </c>
      <c r="AE237" s="349"/>
      <c r="AF237" s="349"/>
      <c r="AG237" s="349"/>
      <c r="AH237" s="349">
        <f>8+900/89.7</f>
        <v>18.03344481605351</v>
      </c>
      <c r="AI237" s="349"/>
      <c r="AJ237" s="349"/>
      <c r="AK237" s="349"/>
      <c r="AL237" s="349"/>
      <c r="AM237" s="350">
        <f t="shared" si="13"/>
        <v>18.03344481605351</v>
      </c>
      <c r="AN237" s="349"/>
      <c r="AO237" s="351">
        <f t="shared" si="12"/>
        <v>136.0334448160535</v>
      </c>
      <c r="AP237" s="352"/>
      <c r="AQ237" s="306"/>
      <c r="AR237" s="353">
        <f t="shared" si="14"/>
        <v>842.94554559643245</v>
      </c>
      <c r="AS237" s="239"/>
      <c r="AT237" s="239"/>
      <c r="AU237" s="239"/>
    </row>
    <row r="238" spans="1:47" x14ac:dyDescent="0.35">
      <c r="A238" s="332">
        <v>46199</v>
      </c>
      <c r="B238" s="371"/>
      <c r="C238" s="372">
        <f>'ODOMETERS Tekrit'!J234</f>
        <v>177</v>
      </c>
      <c r="D238" s="334">
        <v>1.2715000000000001</v>
      </c>
      <c r="E238" s="335">
        <f>'Daily Tekrit'!$C238*'Daily Tekrit'!$D238</f>
        <v>225.05550000000002</v>
      </c>
      <c r="F238" s="336">
        <f>'ODOMETERS Tekrit'!K234</f>
        <v>530</v>
      </c>
      <c r="G238" s="334">
        <v>1.2715000000000001</v>
      </c>
      <c r="H238" s="335">
        <f>'Daily Tekrit'!$F238*'Daily Tekrit'!$G238</f>
        <v>673.8950000000001</v>
      </c>
      <c r="I238" s="336">
        <f>'Daily Tekrit'!$C238+'Daily Tekrit'!$F238</f>
        <v>707</v>
      </c>
      <c r="J238" s="337">
        <f>'Daily Tekrit'!$E238+'Daily Tekrit'!$H238</f>
        <v>898.95050000000015</v>
      </c>
      <c r="K238" s="338">
        <f>'ODOMETERS Tekrit'!L234</f>
        <v>92</v>
      </c>
      <c r="L238" s="339">
        <v>1.0596000000000001</v>
      </c>
      <c r="M238" s="340">
        <f>'Daily Tekrit'!$K238*'Daily Tekrit'!$L238</f>
        <v>97.483200000000011</v>
      </c>
      <c r="N238" s="343"/>
      <c r="O238" s="343"/>
      <c r="P238" s="343"/>
      <c r="Q238" s="343"/>
      <c r="R238" s="343"/>
      <c r="S238" s="343"/>
      <c r="T238" s="343"/>
      <c r="U238" s="344">
        <f>'Daily Tekrit'!$J238+'Daily Tekrit'!$M238+SUM($N238:$T238)</f>
        <v>996.43370000000016</v>
      </c>
      <c r="V238" s="306"/>
      <c r="W238" s="374"/>
      <c r="X238" s="354"/>
      <c r="Y238" s="354">
        <v>3</v>
      </c>
      <c r="Z238" s="346"/>
      <c r="AA238" s="347"/>
      <c r="AB238" s="347"/>
      <c r="AC238" s="347"/>
      <c r="AD238" s="348">
        <f t="shared" si="2"/>
        <v>0</v>
      </c>
      <c r="AE238" s="349"/>
      <c r="AF238" s="349"/>
      <c r="AG238" s="349"/>
      <c r="AH238" s="349">
        <f>800/89.7</f>
        <v>8.9186176142697882</v>
      </c>
      <c r="AI238" s="349"/>
      <c r="AJ238" s="349">
        <f>300/89.7</f>
        <v>3.3444816053511706</v>
      </c>
      <c r="AK238" s="349"/>
      <c r="AL238" s="349"/>
      <c r="AM238" s="350">
        <f t="shared" si="13"/>
        <v>12.263099219620958</v>
      </c>
      <c r="AN238" s="349"/>
      <c r="AO238" s="351">
        <f t="shared" si="12"/>
        <v>15.263099219620958</v>
      </c>
      <c r="AP238" s="352"/>
      <c r="AQ238" s="306"/>
      <c r="AR238" s="353">
        <f t="shared" si="14"/>
        <v>981.17060078037923</v>
      </c>
      <c r="AS238" s="239"/>
      <c r="AT238" s="239"/>
      <c r="AU238" s="239"/>
    </row>
    <row r="239" spans="1:47" x14ac:dyDescent="0.35">
      <c r="A239" s="332">
        <v>46200</v>
      </c>
      <c r="B239" s="371"/>
      <c r="C239" s="372">
        <f>'ODOMETERS Tekrit'!J235</f>
        <v>117</v>
      </c>
      <c r="D239" s="334">
        <v>1.2715000000000001</v>
      </c>
      <c r="E239" s="335">
        <f>'Daily Tekrit'!$C239*'Daily Tekrit'!$D239</f>
        <v>148.7655</v>
      </c>
      <c r="F239" s="336">
        <f>'ODOMETERS Tekrit'!K235</f>
        <v>453</v>
      </c>
      <c r="G239" s="334">
        <v>1.2715000000000001</v>
      </c>
      <c r="H239" s="335">
        <f>'Daily Tekrit'!$F239*'Daily Tekrit'!$G239</f>
        <v>575.98950000000002</v>
      </c>
      <c r="I239" s="336">
        <f>'Daily Tekrit'!$C239+'Daily Tekrit'!$F239</f>
        <v>570</v>
      </c>
      <c r="J239" s="337">
        <f>'Daily Tekrit'!$E239+'Daily Tekrit'!$H239</f>
        <v>724.755</v>
      </c>
      <c r="K239" s="338">
        <f>'ODOMETERS Tekrit'!L235</f>
        <v>65</v>
      </c>
      <c r="L239" s="339">
        <v>1.0596000000000001</v>
      </c>
      <c r="M239" s="340">
        <f>'Daily Tekrit'!$K239*'Daily Tekrit'!$L239</f>
        <v>68.874000000000009</v>
      </c>
      <c r="N239" s="343"/>
      <c r="O239" s="343"/>
      <c r="P239" s="343"/>
      <c r="Q239" s="343"/>
      <c r="R239" s="343"/>
      <c r="S239" s="343"/>
      <c r="T239" s="343"/>
      <c r="U239" s="344">
        <f>'Daily Tekrit'!$J239+'Daily Tekrit'!$M239+SUM($N239:$T239)</f>
        <v>793.62900000000002</v>
      </c>
      <c r="V239" s="306"/>
      <c r="W239" s="374">
        <f>10+30+500/89.7+10</f>
        <v>55.574136008918614</v>
      </c>
      <c r="X239" s="354"/>
      <c r="Y239" s="354">
        <v>4</v>
      </c>
      <c r="Z239" s="346"/>
      <c r="AA239" s="347"/>
      <c r="AB239" s="347"/>
      <c r="AC239" s="347"/>
      <c r="AD239" s="348">
        <f t="shared" si="2"/>
        <v>0</v>
      </c>
      <c r="AE239" s="349"/>
      <c r="AF239" s="349"/>
      <c r="AG239" s="349"/>
      <c r="AH239" s="349">
        <f>700/89.7</f>
        <v>7.8037904124860642</v>
      </c>
      <c r="AI239" s="349"/>
      <c r="AJ239" s="349"/>
      <c r="AK239" s="349"/>
      <c r="AL239" s="349"/>
      <c r="AM239" s="350">
        <f t="shared" si="13"/>
        <v>7.8037904124860642</v>
      </c>
      <c r="AN239" s="349"/>
      <c r="AO239" s="351">
        <f t="shared" si="12"/>
        <v>67.37792642140468</v>
      </c>
      <c r="AP239" s="352"/>
      <c r="AQ239" s="306"/>
      <c r="AR239" s="353">
        <f t="shared" si="14"/>
        <v>726.25107357859531</v>
      </c>
      <c r="AS239" s="239"/>
      <c r="AT239" s="239"/>
      <c r="AU239" s="239"/>
    </row>
    <row r="240" spans="1:47" x14ac:dyDescent="0.35">
      <c r="A240" s="332">
        <v>46201</v>
      </c>
      <c r="B240" s="371"/>
      <c r="C240" s="372">
        <f>'ODOMETERS Tekrit'!J236</f>
        <v>28</v>
      </c>
      <c r="D240" s="334">
        <v>1.2715000000000001</v>
      </c>
      <c r="E240" s="335">
        <f>'Daily Tekrit'!$C240*'Daily Tekrit'!$D240</f>
        <v>35.602000000000004</v>
      </c>
      <c r="F240" s="336">
        <f>'ODOMETERS Tekrit'!K236</f>
        <v>523</v>
      </c>
      <c r="G240" s="334">
        <v>1.2715000000000001</v>
      </c>
      <c r="H240" s="335">
        <f>'Daily Tekrit'!$F240*'Daily Tekrit'!$G240</f>
        <v>664.99450000000002</v>
      </c>
      <c r="I240" s="336">
        <f>'Daily Tekrit'!$C240+'Daily Tekrit'!$F240</f>
        <v>551</v>
      </c>
      <c r="J240" s="337">
        <f>'Daily Tekrit'!$E240+'Daily Tekrit'!$H240</f>
        <v>700.59649999999999</v>
      </c>
      <c r="K240" s="338">
        <f>'ODOMETERS Tekrit'!L236</f>
        <v>99</v>
      </c>
      <c r="L240" s="339">
        <v>1.0596000000000001</v>
      </c>
      <c r="M240" s="340">
        <f>'Daily Tekrit'!$K240*'Daily Tekrit'!$L240</f>
        <v>104.9004</v>
      </c>
      <c r="N240" s="343"/>
      <c r="O240" s="343"/>
      <c r="P240" s="343"/>
      <c r="Q240" s="343"/>
      <c r="R240" s="343"/>
      <c r="S240" s="343"/>
      <c r="T240" s="343"/>
      <c r="U240" s="344">
        <f>'Daily Tekrit'!$J240+'Daily Tekrit'!$M240+SUM($N240:$T240)</f>
        <v>805.49689999999998</v>
      </c>
      <c r="V240" s="306"/>
      <c r="W240" s="374">
        <f>6+25</f>
        <v>31</v>
      </c>
      <c r="X240" s="354"/>
      <c r="Y240" s="354">
        <v>4</v>
      </c>
      <c r="Z240" s="346"/>
      <c r="AA240" s="347"/>
      <c r="AB240" s="347"/>
      <c r="AC240" s="347"/>
      <c r="AD240" s="348">
        <f t="shared" si="2"/>
        <v>0</v>
      </c>
      <c r="AE240" s="349"/>
      <c r="AF240" s="349"/>
      <c r="AG240" s="349"/>
      <c r="AH240" s="349">
        <f>700/89.7</f>
        <v>7.8037904124860642</v>
      </c>
      <c r="AI240" s="349"/>
      <c r="AJ240" s="349"/>
      <c r="AK240" s="349"/>
      <c r="AL240" s="349"/>
      <c r="AM240" s="350">
        <f t="shared" si="13"/>
        <v>7.8037904124860642</v>
      </c>
      <c r="AN240" s="349"/>
      <c r="AO240" s="351">
        <f t="shared" si="12"/>
        <v>42.803790412486066</v>
      </c>
      <c r="AP240" s="352"/>
      <c r="AQ240" s="306"/>
      <c r="AR240" s="353">
        <f t="shared" si="14"/>
        <v>762.69310958751396</v>
      </c>
      <c r="AS240" s="239"/>
      <c r="AT240" s="239"/>
      <c r="AU240" s="239"/>
    </row>
    <row r="241" spans="1:47" x14ac:dyDescent="0.35">
      <c r="A241" s="332">
        <v>46202</v>
      </c>
      <c r="B241" s="371"/>
      <c r="C241" s="372">
        <f>'ODOMETERS Tekrit'!J237</f>
        <v>85</v>
      </c>
      <c r="D241" s="334">
        <v>1.2715000000000001</v>
      </c>
      <c r="E241" s="335">
        <f>'Daily Tekrit'!$C241*'Daily Tekrit'!$D241</f>
        <v>108.0775</v>
      </c>
      <c r="F241" s="336">
        <f>'ODOMETERS Tekrit'!K237</f>
        <v>659</v>
      </c>
      <c r="G241" s="334">
        <v>1.2715000000000001</v>
      </c>
      <c r="H241" s="335">
        <f>'Daily Tekrit'!$F241*'Daily Tekrit'!$G241</f>
        <v>837.91849999999999</v>
      </c>
      <c r="I241" s="336">
        <f>'Daily Tekrit'!$C241+'Daily Tekrit'!$F241</f>
        <v>744</v>
      </c>
      <c r="J241" s="337">
        <f>'Daily Tekrit'!$E241+'Daily Tekrit'!$H241</f>
        <v>945.99599999999998</v>
      </c>
      <c r="K241" s="338">
        <f>'ODOMETERS Tekrit'!L237</f>
        <v>54</v>
      </c>
      <c r="L241" s="339">
        <v>1.0596000000000001</v>
      </c>
      <c r="M241" s="340">
        <f>'Daily Tekrit'!$K241*'Daily Tekrit'!$L241</f>
        <v>57.218400000000003</v>
      </c>
      <c r="N241" s="343"/>
      <c r="O241" s="343"/>
      <c r="P241" s="343"/>
      <c r="Q241" s="343"/>
      <c r="R241" s="343"/>
      <c r="S241" s="343"/>
      <c r="T241" s="343">
        <f>150/89.7</f>
        <v>1.6722408026755853</v>
      </c>
      <c r="U241" s="344">
        <f>'Daily Tekrit'!$J241+'Daily Tekrit'!$M241+SUM($N241:$T241)</f>
        <v>1004.8866408026755</v>
      </c>
      <c r="V241" s="306"/>
      <c r="W241" s="374">
        <f>224+25+30+10</f>
        <v>289</v>
      </c>
      <c r="X241" s="354">
        <f>20*1.2715</f>
        <v>25.43</v>
      </c>
      <c r="Y241" s="354"/>
      <c r="Z241" s="346"/>
      <c r="AA241" s="347"/>
      <c r="AB241" s="347"/>
      <c r="AC241" s="347"/>
      <c r="AD241" s="348">
        <f t="shared" si="2"/>
        <v>0</v>
      </c>
      <c r="AE241" s="349"/>
      <c r="AF241" s="349"/>
      <c r="AG241" s="349"/>
      <c r="AH241" s="349">
        <v>8</v>
      </c>
      <c r="AI241" s="349"/>
      <c r="AJ241" s="349"/>
      <c r="AK241" s="349"/>
      <c r="AL241" s="349"/>
      <c r="AM241" s="350">
        <f t="shared" si="13"/>
        <v>8</v>
      </c>
      <c r="AN241" s="349"/>
      <c r="AO241" s="351">
        <f t="shared" si="12"/>
        <v>322.43</v>
      </c>
      <c r="AP241" s="352"/>
      <c r="AQ241" s="306"/>
      <c r="AR241" s="353">
        <f t="shared" si="14"/>
        <v>682.45664080267557</v>
      </c>
      <c r="AS241" s="239"/>
      <c r="AT241" s="239"/>
      <c r="AU241" s="239"/>
    </row>
    <row r="242" spans="1:47" x14ac:dyDescent="0.35">
      <c r="A242" s="332">
        <v>46203</v>
      </c>
      <c r="B242" s="371"/>
      <c r="C242" s="372">
        <f>'ODOMETERS Tekrit'!J238</f>
        <v>255</v>
      </c>
      <c r="D242" s="334">
        <v>1.2470000000000001</v>
      </c>
      <c r="E242" s="335">
        <f>'Daily Tekrit'!$C242*'Daily Tekrit'!$D242</f>
        <v>317.98500000000001</v>
      </c>
      <c r="F242" s="336">
        <f>'ODOMETERS Tekrit'!K238</f>
        <v>473</v>
      </c>
      <c r="G242" s="334">
        <v>1.2470000000000001</v>
      </c>
      <c r="H242" s="335">
        <f>'Daily Tekrit'!$F242*'Daily Tekrit'!$G242</f>
        <v>589.83100000000002</v>
      </c>
      <c r="I242" s="336">
        <f>'Daily Tekrit'!$C242+'Daily Tekrit'!$F242</f>
        <v>728</v>
      </c>
      <c r="J242" s="337">
        <f>'Daily Tekrit'!$E242+'Daily Tekrit'!$H242</f>
        <v>907.81600000000003</v>
      </c>
      <c r="K242" s="338">
        <f>'ODOMETERS Tekrit'!L238</f>
        <v>44</v>
      </c>
      <c r="L242" s="339">
        <v>1.0228999999999999</v>
      </c>
      <c r="M242" s="340">
        <f>'Daily Tekrit'!$K242*'Daily Tekrit'!$L242</f>
        <v>45.007599999999996</v>
      </c>
      <c r="N242" s="343"/>
      <c r="O242" s="343"/>
      <c r="P242" s="343"/>
      <c r="Q242" s="343"/>
      <c r="R242" s="343"/>
      <c r="S242" s="343">
        <v>25</v>
      </c>
      <c r="T242" s="343"/>
      <c r="U242" s="344">
        <f>'Daily Tekrit'!$J242+'Daily Tekrit'!$M242+SUM($N242:$T242)</f>
        <v>977.82360000000006</v>
      </c>
      <c r="V242" s="306"/>
      <c r="W242" s="374"/>
      <c r="X242" s="354"/>
      <c r="Y242" s="354"/>
      <c r="Z242" s="346"/>
      <c r="AA242" s="347"/>
      <c r="AB242" s="347"/>
      <c r="AC242" s="347"/>
      <c r="AD242" s="348">
        <f t="shared" si="2"/>
        <v>0</v>
      </c>
      <c r="AE242" s="349"/>
      <c r="AF242" s="349"/>
      <c r="AG242" s="349"/>
      <c r="AH242" s="349">
        <v>8</v>
      </c>
      <c r="AI242" s="349"/>
      <c r="AJ242" s="349"/>
      <c r="AK242" s="349"/>
      <c r="AL242" s="349"/>
      <c r="AM242" s="350">
        <f t="shared" si="13"/>
        <v>8</v>
      </c>
      <c r="AN242" s="349"/>
      <c r="AO242" s="351">
        <f t="shared" si="12"/>
        <v>8</v>
      </c>
      <c r="AP242" s="352"/>
      <c r="AQ242" s="306"/>
      <c r="AR242" s="353">
        <f t="shared" si="14"/>
        <v>969.82360000000006</v>
      </c>
      <c r="AS242" s="239"/>
      <c r="AT242" s="239"/>
      <c r="AU242" s="239"/>
    </row>
    <row r="243" spans="1:47" x14ac:dyDescent="0.35">
      <c r="A243" s="332">
        <v>46204</v>
      </c>
      <c r="B243" s="371"/>
      <c r="C243" s="372">
        <f>'ODOMETERS Tekrit'!J239</f>
        <v>228</v>
      </c>
      <c r="D243" s="334">
        <v>1.2470000000000001</v>
      </c>
      <c r="E243" s="335">
        <f>'Daily Tekrit'!$C243*'Daily Tekrit'!$D243</f>
        <v>284.31600000000003</v>
      </c>
      <c r="F243" s="336">
        <f>'ODOMETERS Tekrit'!K239</f>
        <v>375</v>
      </c>
      <c r="G243" s="334">
        <v>1.2470000000000001</v>
      </c>
      <c r="H243" s="335">
        <f>'Daily Tekrit'!$F243*'Daily Tekrit'!$G243</f>
        <v>467.62500000000006</v>
      </c>
      <c r="I243" s="336">
        <f>'Daily Tekrit'!$C243+'Daily Tekrit'!$F243</f>
        <v>603</v>
      </c>
      <c r="J243" s="337">
        <f>'Daily Tekrit'!$E243+'Daily Tekrit'!$H243</f>
        <v>751.94100000000003</v>
      </c>
      <c r="K243" s="338">
        <f>'ODOMETERS Tekrit'!L239</f>
        <v>49</v>
      </c>
      <c r="L243" s="339">
        <v>1.0228999999999999</v>
      </c>
      <c r="M243" s="340">
        <f>'Daily Tekrit'!$K243*'Daily Tekrit'!$L243</f>
        <v>50.122099999999996</v>
      </c>
      <c r="N243" s="343"/>
      <c r="O243" s="343"/>
      <c r="P243" s="343"/>
      <c r="Q243" s="343"/>
      <c r="R243" s="343"/>
      <c r="S243" s="343"/>
      <c r="T243" s="343"/>
      <c r="U243" s="344">
        <f>'Daily Tekrit'!$J243+'Daily Tekrit'!$M243+SUM($N243:$T243)</f>
        <v>802.06310000000008</v>
      </c>
      <c r="V243" s="306"/>
      <c r="W243" s="374">
        <v>40</v>
      </c>
      <c r="X243" s="354"/>
      <c r="Y243" s="354"/>
      <c r="Z243" s="346"/>
      <c r="AA243" s="347"/>
      <c r="AB243" s="347"/>
      <c r="AC243" s="347"/>
      <c r="AD243" s="348">
        <f t="shared" si="2"/>
        <v>0</v>
      </c>
      <c r="AE243" s="349"/>
      <c r="AF243" s="349"/>
      <c r="AG243" s="349"/>
      <c r="AH243" s="349">
        <v>10</v>
      </c>
      <c r="AI243" s="349"/>
      <c r="AJ243" s="349"/>
      <c r="AK243" s="349"/>
      <c r="AL243" s="349"/>
      <c r="AM243" s="350">
        <f t="shared" si="13"/>
        <v>10</v>
      </c>
      <c r="AN243" s="349"/>
      <c r="AO243" s="351">
        <f t="shared" si="12"/>
        <v>50</v>
      </c>
      <c r="AP243" s="352"/>
      <c r="AQ243" s="306"/>
      <c r="AR243" s="353">
        <f t="shared" si="14"/>
        <v>752.06310000000008</v>
      </c>
      <c r="AS243" s="239"/>
      <c r="AT243" s="239"/>
      <c r="AU243" s="239"/>
    </row>
    <row r="244" spans="1:47" x14ac:dyDescent="0.35">
      <c r="A244" s="332">
        <v>46205</v>
      </c>
      <c r="B244" s="371"/>
      <c r="C244" s="372">
        <f>'ODOMETERS Tekrit'!J240</f>
        <v>200</v>
      </c>
      <c r="D244" s="334">
        <v>1.2470000000000001</v>
      </c>
      <c r="E244" s="335">
        <f>'Daily Tekrit'!$C244*'Daily Tekrit'!$D244</f>
        <v>249.40000000000003</v>
      </c>
      <c r="F244" s="336">
        <f>'ODOMETERS Tekrit'!K240</f>
        <v>403</v>
      </c>
      <c r="G244" s="334">
        <v>1.2470000000000001</v>
      </c>
      <c r="H244" s="335">
        <f>'Daily Tekrit'!$F244*'Daily Tekrit'!$G244</f>
        <v>502.54100000000005</v>
      </c>
      <c r="I244" s="336">
        <f>'Daily Tekrit'!$C244+'Daily Tekrit'!$F244</f>
        <v>603</v>
      </c>
      <c r="J244" s="337">
        <f>'Daily Tekrit'!$E244+'Daily Tekrit'!$H244</f>
        <v>751.94100000000003</v>
      </c>
      <c r="K244" s="338">
        <f>'ODOMETERS Tekrit'!L240</f>
        <v>1</v>
      </c>
      <c r="L244" s="339">
        <v>1.0228999999999999</v>
      </c>
      <c r="M244" s="340">
        <f>'Daily Tekrit'!$K244*'Daily Tekrit'!$L244</f>
        <v>1.0228999999999999</v>
      </c>
      <c r="N244" s="343">
        <f>150/89.7</f>
        <v>1.6722408026755853</v>
      </c>
      <c r="O244" s="343"/>
      <c r="P244" s="343"/>
      <c r="Q244" s="343"/>
      <c r="R244" s="343"/>
      <c r="S244" s="343"/>
      <c r="T244" s="343"/>
      <c r="U244" s="344">
        <f>'Daily Tekrit'!$J244+'Daily Tekrit'!$M244+SUM($N244:$T244)</f>
        <v>754.63614080267564</v>
      </c>
      <c r="V244" s="306"/>
      <c r="W244" s="374">
        <f>6+15</f>
        <v>21</v>
      </c>
      <c r="X244" s="354">
        <f>9*1.247</f>
        <v>11.223000000000001</v>
      </c>
      <c r="Y244" s="354"/>
      <c r="Z244" s="346"/>
      <c r="AA244" s="347"/>
      <c r="AB244" s="347"/>
      <c r="AC244" s="347"/>
      <c r="AD244" s="348">
        <f t="shared" si="2"/>
        <v>0</v>
      </c>
      <c r="AE244" s="349"/>
      <c r="AF244" s="349">
        <v>222</v>
      </c>
      <c r="AG244" s="349"/>
      <c r="AH244" s="349"/>
      <c r="AI244" s="349"/>
      <c r="AJ244" s="349"/>
      <c r="AK244" s="349"/>
      <c r="AL244" s="349"/>
      <c r="AM244" s="350">
        <f t="shared" si="13"/>
        <v>222</v>
      </c>
      <c r="AN244" s="349"/>
      <c r="AO244" s="351">
        <f t="shared" si="12"/>
        <v>254.22300000000001</v>
      </c>
      <c r="AP244" s="352"/>
      <c r="AQ244" s="306"/>
      <c r="AR244" s="353">
        <f t="shared" si="14"/>
        <v>500.41314080267563</v>
      </c>
      <c r="AS244" s="239"/>
      <c r="AT244" s="239"/>
      <c r="AU244" s="239"/>
    </row>
    <row r="245" spans="1:47" x14ac:dyDescent="0.35">
      <c r="A245" s="332">
        <v>46206</v>
      </c>
      <c r="B245" s="371"/>
      <c r="C245" s="372">
        <f>'ODOMETERS Tekrit'!J241</f>
        <v>113</v>
      </c>
      <c r="D245" s="334">
        <v>1.2470000000000001</v>
      </c>
      <c r="E245" s="335">
        <f>'Daily Tekrit'!$C245*'Daily Tekrit'!$D245</f>
        <v>140.911</v>
      </c>
      <c r="F245" s="336">
        <f>'ODOMETERS Tekrit'!K241</f>
        <v>610</v>
      </c>
      <c r="G245" s="334">
        <v>1.2470000000000001</v>
      </c>
      <c r="H245" s="335">
        <f>'Daily Tekrit'!$F245*'Daily Tekrit'!$G245</f>
        <v>760.67000000000007</v>
      </c>
      <c r="I245" s="336">
        <f>'Daily Tekrit'!$C245+'Daily Tekrit'!$F245</f>
        <v>723</v>
      </c>
      <c r="J245" s="337">
        <f>'Daily Tekrit'!$E245+'Daily Tekrit'!$H245</f>
        <v>901.58100000000013</v>
      </c>
      <c r="K245" s="338">
        <f>'ODOMETERS Tekrit'!L241</f>
        <v>40</v>
      </c>
      <c r="L245" s="339">
        <v>1.0228999999999999</v>
      </c>
      <c r="M245" s="340">
        <f>'Daily Tekrit'!$K245*'Daily Tekrit'!$L245</f>
        <v>40.915999999999997</v>
      </c>
      <c r="N245" s="343"/>
      <c r="O245" s="343"/>
      <c r="P245" s="343"/>
      <c r="Q245" s="343"/>
      <c r="R245" s="343"/>
      <c r="S245" s="343"/>
      <c r="T245" s="343"/>
      <c r="U245" s="344">
        <f>'Daily Tekrit'!$J245+'Daily Tekrit'!$M245+SUM($N245:$T245)</f>
        <v>942.49700000000007</v>
      </c>
      <c r="V245" s="306"/>
      <c r="W245" s="374">
        <f>1000/89.7+10</f>
        <v>21.148272017837236</v>
      </c>
      <c r="X245" s="354"/>
      <c r="Y245" s="354"/>
      <c r="Z245" s="346"/>
      <c r="AA245" s="347"/>
      <c r="AB245" s="347"/>
      <c r="AC245" s="347"/>
      <c r="AD245" s="348">
        <f t="shared" si="2"/>
        <v>0</v>
      </c>
      <c r="AE245" s="349"/>
      <c r="AF245" s="349"/>
      <c r="AG245" s="349"/>
      <c r="AH245" s="349">
        <f>700/89.7</f>
        <v>7.8037904124860642</v>
      </c>
      <c r="AI245" s="349"/>
      <c r="AJ245" s="349"/>
      <c r="AK245" s="349"/>
      <c r="AL245" s="349"/>
      <c r="AM245" s="350">
        <f t="shared" si="13"/>
        <v>7.8037904124860642</v>
      </c>
      <c r="AN245" s="349"/>
      <c r="AO245" s="351">
        <f t="shared" si="12"/>
        <v>28.952062430323302</v>
      </c>
      <c r="AP245" s="352"/>
      <c r="AQ245" s="306"/>
      <c r="AR245" s="353">
        <f t="shared" si="14"/>
        <v>913.54493756967679</v>
      </c>
      <c r="AS245" s="239"/>
      <c r="AT245" s="239"/>
      <c r="AU245" s="239"/>
    </row>
    <row r="246" spans="1:47" x14ac:dyDescent="0.35">
      <c r="A246" s="332">
        <v>46207</v>
      </c>
      <c r="B246" s="371"/>
      <c r="C246" s="372">
        <f>'ODOMETERS Tekrit'!J242</f>
        <v>394</v>
      </c>
      <c r="D246" s="334">
        <v>1.2370000000000001</v>
      </c>
      <c r="E246" s="335">
        <f>'Daily Tekrit'!$C246*'Daily Tekrit'!$D246</f>
        <v>487.37800000000004</v>
      </c>
      <c r="F246" s="336">
        <f>'ODOMETERS Tekrit'!K242</f>
        <v>311</v>
      </c>
      <c r="G246" s="334">
        <v>1.2370000000000001</v>
      </c>
      <c r="H246" s="335">
        <f>'Daily Tekrit'!$F246*'Daily Tekrit'!$G246</f>
        <v>384.70700000000005</v>
      </c>
      <c r="I246" s="336">
        <f>'Daily Tekrit'!$C246+'Daily Tekrit'!$F246</f>
        <v>705</v>
      </c>
      <c r="J246" s="337">
        <f>'Daily Tekrit'!$E246+'Daily Tekrit'!$H246</f>
        <v>872.08500000000004</v>
      </c>
      <c r="K246" s="338">
        <f>'ODOMETERS Tekrit'!L242</f>
        <v>56</v>
      </c>
      <c r="L246" s="339">
        <v>1.0005999999999999</v>
      </c>
      <c r="M246" s="340">
        <f>'Daily Tekrit'!$K246*'Daily Tekrit'!$L246</f>
        <v>56.033599999999993</v>
      </c>
      <c r="N246" s="343"/>
      <c r="O246" s="343"/>
      <c r="P246" s="343"/>
      <c r="Q246" s="343"/>
      <c r="R246" s="343"/>
      <c r="S246" s="343"/>
      <c r="T246" s="343"/>
      <c r="U246" s="344">
        <f>'Daily Tekrit'!$J246+'Daily Tekrit'!$M246+SUM($N246:$T246)</f>
        <v>928.11860000000001</v>
      </c>
      <c r="V246" s="306"/>
      <c r="W246" s="374"/>
      <c r="X246" s="354"/>
      <c r="Y246" s="354"/>
      <c r="Z246" s="346"/>
      <c r="AA246" s="347"/>
      <c r="AB246" s="347"/>
      <c r="AC246" s="347"/>
      <c r="AD246" s="348">
        <f t="shared" si="2"/>
        <v>0</v>
      </c>
      <c r="AE246" s="349"/>
      <c r="AF246" s="349">
        <v>135</v>
      </c>
      <c r="AG246" s="349"/>
      <c r="AH246" s="349">
        <v>8</v>
      </c>
      <c r="AI246" s="349"/>
      <c r="AJ246" s="349"/>
      <c r="AK246" s="349"/>
      <c r="AL246" s="349"/>
      <c r="AM246" s="350">
        <f t="shared" si="13"/>
        <v>143</v>
      </c>
      <c r="AN246" s="349"/>
      <c r="AO246" s="351">
        <f t="shared" si="12"/>
        <v>143</v>
      </c>
      <c r="AP246" s="352"/>
      <c r="AQ246" s="306"/>
      <c r="AR246" s="353">
        <f t="shared" si="14"/>
        <v>785.11860000000001</v>
      </c>
      <c r="AS246" s="239"/>
      <c r="AT246" s="239"/>
      <c r="AU246" s="239"/>
    </row>
    <row r="247" spans="1:47" x14ac:dyDescent="0.35">
      <c r="A247" s="332">
        <v>46208</v>
      </c>
      <c r="B247" s="371"/>
      <c r="C247" s="372">
        <f>'ODOMETERS Tekrit'!J243</f>
        <v>183</v>
      </c>
      <c r="D247" s="334">
        <v>1.2370000000000001</v>
      </c>
      <c r="E247" s="335">
        <f>'Daily Tekrit'!$C247*'Daily Tekrit'!$D247</f>
        <v>226.37100000000001</v>
      </c>
      <c r="F247" s="336">
        <f>'ODOMETERS Tekrit'!K243</f>
        <v>710</v>
      </c>
      <c r="G247" s="334">
        <v>1.2370000000000001</v>
      </c>
      <c r="H247" s="335">
        <f>'Daily Tekrit'!$F247*'Daily Tekrit'!$G247</f>
        <v>878.2700000000001</v>
      </c>
      <c r="I247" s="336">
        <f>'Daily Tekrit'!$C247+'Daily Tekrit'!$F247</f>
        <v>893</v>
      </c>
      <c r="J247" s="337">
        <f>'Daily Tekrit'!$E247+'Daily Tekrit'!$H247</f>
        <v>1104.6410000000001</v>
      </c>
      <c r="K247" s="338">
        <f>'ODOMETERS Tekrit'!L243</f>
        <v>87</v>
      </c>
      <c r="L247" s="339">
        <v>1.0005999999999999</v>
      </c>
      <c r="M247" s="340">
        <f>'Daily Tekrit'!$K247*'Daily Tekrit'!$L247</f>
        <v>87.052199999999999</v>
      </c>
      <c r="N247" s="343"/>
      <c r="O247" s="343"/>
      <c r="P247" s="343"/>
      <c r="Q247" s="343"/>
      <c r="R247" s="343"/>
      <c r="S247" s="343">
        <v>50</v>
      </c>
      <c r="T247" s="343"/>
      <c r="U247" s="344">
        <f>'Daily Tekrit'!$J247+'Daily Tekrit'!$M247+SUM($N247:$T247)</f>
        <v>1241.6932000000002</v>
      </c>
      <c r="V247" s="306"/>
      <c r="W247" s="374">
        <v>30</v>
      </c>
      <c r="X247" s="354">
        <f>9*1.237</f>
        <v>11.133000000000001</v>
      </c>
      <c r="Y247" s="354">
        <v>2</v>
      </c>
      <c r="Z247" s="346"/>
      <c r="AA247" s="347"/>
      <c r="AB247" s="347"/>
      <c r="AC247" s="347"/>
      <c r="AD247" s="348">
        <f t="shared" si="2"/>
        <v>0</v>
      </c>
      <c r="AE247" s="349"/>
      <c r="AF247" s="349"/>
      <c r="AG247" s="349">
        <v>20</v>
      </c>
      <c r="AH247" s="349">
        <v>9</v>
      </c>
      <c r="AI247" s="349"/>
      <c r="AJ247" s="349"/>
      <c r="AK247" s="349"/>
      <c r="AL247" s="349"/>
      <c r="AM247" s="350">
        <f t="shared" si="13"/>
        <v>29</v>
      </c>
      <c r="AN247" s="349"/>
      <c r="AO247" s="351">
        <f t="shared" si="12"/>
        <v>72.13300000000001</v>
      </c>
      <c r="AP247" s="352"/>
      <c r="AQ247" s="306"/>
      <c r="AR247" s="353">
        <f t="shared" si="14"/>
        <v>1169.5602000000001</v>
      </c>
      <c r="AS247" s="239"/>
      <c r="AT247" s="239"/>
      <c r="AU247" s="239"/>
    </row>
    <row r="248" spans="1:47" x14ac:dyDescent="0.35">
      <c r="A248" s="332">
        <v>46209</v>
      </c>
      <c r="B248" s="371"/>
      <c r="C248" s="372">
        <f>'ODOMETERS Tekrit'!J244</f>
        <v>217</v>
      </c>
      <c r="D248" s="334">
        <v>1.2370000000000001</v>
      </c>
      <c r="E248" s="335">
        <f>'Daily Tekrit'!$C248*'Daily Tekrit'!$D248</f>
        <v>268.42900000000003</v>
      </c>
      <c r="F248" s="336">
        <f>'ODOMETERS Tekrit'!K244</f>
        <v>478</v>
      </c>
      <c r="G248" s="334">
        <v>1.2370000000000001</v>
      </c>
      <c r="H248" s="335">
        <f>'Daily Tekrit'!$F248*'Daily Tekrit'!$G248</f>
        <v>591.28600000000006</v>
      </c>
      <c r="I248" s="336">
        <f>'Daily Tekrit'!$C248+'Daily Tekrit'!$F248</f>
        <v>695</v>
      </c>
      <c r="J248" s="337">
        <f>'Daily Tekrit'!$E248+'Daily Tekrit'!$H248</f>
        <v>859.71500000000015</v>
      </c>
      <c r="K248" s="338">
        <f>'ODOMETERS Tekrit'!L244</f>
        <v>323</v>
      </c>
      <c r="L248" s="339">
        <v>1.0005999999999999</v>
      </c>
      <c r="M248" s="340">
        <f>'Daily Tekrit'!$K248*'Daily Tekrit'!$L248</f>
        <v>323.19379999999995</v>
      </c>
      <c r="N248" s="343"/>
      <c r="O248" s="343"/>
      <c r="P248" s="343"/>
      <c r="Q248" s="343"/>
      <c r="R248" s="343"/>
      <c r="S248" s="343"/>
      <c r="T248" s="343"/>
      <c r="U248" s="344">
        <f>'Daily Tekrit'!$J248+'Daily Tekrit'!$M248+SUM($N248:$T248)</f>
        <v>1182.9088000000002</v>
      </c>
      <c r="V248" s="306"/>
      <c r="W248" s="374">
        <f>50+100*1.006</f>
        <v>150.6</v>
      </c>
      <c r="X248" s="354">
        <f>9*1.237</f>
        <v>11.133000000000001</v>
      </c>
      <c r="Y248" s="354"/>
      <c r="Z248" s="346"/>
      <c r="AA248" s="347"/>
      <c r="AB248" s="347"/>
      <c r="AC248" s="347"/>
      <c r="AD248" s="348">
        <f t="shared" si="2"/>
        <v>0</v>
      </c>
      <c r="AE248" s="349"/>
      <c r="AF248" s="349"/>
      <c r="AG248" s="349"/>
      <c r="AH248" s="349">
        <v>8</v>
      </c>
      <c r="AI248" s="349"/>
      <c r="AJ248" s="349"/>
      <c r="AK248" s="349"/>
      <c r="AL248" s="349"/>
      <c r="AM248" s="350">
        <f t="shared" si="13"/>
        <v>8</v>
      </c>
      <c r="AN248" s="349"/>
      <c r="AO248" s="351">
        <f t="shared" si="12"/>
        <v>169.733</v>
      </c>
      <c r="AP248" s="352"/>
      <c r="AQ248" s="306"/>
      <c r="AR248" s="353">
        <f t="shared" si="14"/>
        <v>1013.1758000000002</v>
      </c>
      <c r="AS248" s="239"/>
      <c r="AT248" s="239"/>
      <c r="AU248" s="239"/>
    </row>
    <row r="249" spans="1:47" x14ac:dyDescent="0.35">
      <c r="A249" s="332">
        <v>46210</v>
      </c>
      <c r="B249" s="371" t="s">
        <v>24</v>
      </c>
      <c r="C249" s="372">
        <f>'ODOMETERS Tekrit'!J245</f>
        <v>165</v>
      </c>
      <c r="D249" s="334">
        <v>1.2370000000000001</v>
      </c>
      <c r="E249" s="335">
        <f>'Daily Tekrit'!$C249*'Daily Tekrit'!$D249</f>
        <v>204.10500000000002</v>
      </c>
      <c r="F249" s="336">
        <f>'ODOMETERS Tekrit'!K245</f>
        <v>402</v>
      </c>
      <c r="G249" s="334">
        <v>1.2370000000000001</v>
      </c>
      <c r="H249" s="335">
        <f>'Daily Tekrit'!$F249*'Daily Tekrit'!$G249</f>
        <v>497.27400000000006</v>
      </c>
      <c r="I249" s="336">
        <f>'Daily Tekrit'!$C249+'Daily Tekrit'!$F249</f>
        <v>567</v>
      </c>
      <c r="J249" s="337">
        <f>'Daily Tekrit'!$E249+'Daily Tekrit'!$H249</f>
        <v>701.37900000000013</v>
      </c>
      <c r="K249" s="338">
        <f>'ODOMETERS Tekrit'!L245</f>
        <v>12</v>
      </c>
      <c r="L249" s="339">
        <v>1.0005999999999999</v>
      </c>
      <c r="M249" s="340">
        <f>'Daily Tekrit'!$K249*'Daily Tekrit'!$L249</f>
        <v>12.007199999999999</v>
      </c>
      <c r="N249" s="343"/>
      <c r="O249" s="343"/>
      <c r="P249" s="343"/>
      <c r="Q249" s="343"/>
      <c r="R249" s="343"/>
      <c r="S249" s="343"/>
      <c r="T249" s="343"/>
      <c r="U249" s="344">
        <f>'Daily Tekrit'!$J249+'Daily Tekrit'!$M249+SUM($N249:$T249)</f>
        <v>713.38620000000014</v>
      </c>
      <c r="V249" s="306"/>
      <c r="W249" s="374">
        <v>50</v>
      </c>
      <c r="X249" s="354"/>
      <c r="Y249" s="354">
        <v>3</v>
      </c>
      <c r="Z249" s="346"/>
      <c r="AA249" s="347"/>
      <c r="AB249" s="347"/>
      <c r="AC249" s="347"/>
      <c r="AD249" s="348">
        <f t="shared" si="2"/>
        <v>0</v>
      </c>
      <c r="AE249" s="349"/>
      <c r="AF249" s="349"/>
      <c r="AG249" s="349"/>
      <c r="AH249" s="349">
        <f>700/89.7</f>
        <v>7.8037904124860642</v>
      </c>
      <c r="AI249" s="349"/>
      <c r="AJ249" s="349"/>
      <c r="AK249" s="349"/>
      <c r="AL249" s="349"/>
      <c r="AM249" s="350">
        <f t="shared" si="13"/>
        <v>7.8037904124860642</v>
      </c>
      <c r="AN249" s="349"/>
      <c r="AO249" s="351">
        <f t="shared" si="12"/>
        <v>60.803790412486066</v>
      </c>
      <c r="AP249" s="352"/>
      <c r="AQ249" s="306"/>
      <c r="AR249" s="353">
        <f t="shared" si="14"/>
        <v>652.58240958751412</v>
      </c>
      <c r="AS249" s="239"/>
      <c r="AT249" s="239"/>
      <c r="AU249" s="239"/>
    </row>
    <row r="250" spans="1:47" x14ac:dyDescent="0.35">
      <c r="A250" s="332">
        <v>46210</v>
      </c>
      <c r="B250" s="371" t="s">
        <v>25</v>
      </c>
      <c r="C250" s="372">
        <f>'ODOMETERS Tekrit'!J246</f>
        <v>26</v>
      </c>
      <c r="D250" s="334">
        <v>1.2302</v>
      </c>
      <c r="E250" s="335">
        <f>'Daily Tekrit'!$C250*'Daily Tekrit'!$D250</f>
        <v>31.985199999999999</v>
      </c>
      <c r="F250" s="336">
        <f>'ODOMETERS Tekrit'!K246</f>
        <v>134</v>
      </c>
      <c r="G250" s="334">
        <v>1.2302</v>
      </c>
      <c r="H250" s="335">
        <f>'Daily Tekrit'!$F250*'Daily Tekrit'!$G250</f>
        <v>164.8468</v>
      </c>
      <c r="I250" s="336">
        <f>'Daily Tekrit'!$C250+'Daily Tekrit'!$F250</f>
        <v>160</v>
      </c>
      <c r="J250" s="337">
        <f>'Daily Tekrit'!$E250+'Daily Tekrit'!$H250</f>
        <v>196.83199999999999</v>
      </c>
      <c r="K250" s="338">
        <f>'ODOMETERS Tekrit'!L246</f>
        <v>0</v>
      </c>
      <c r="L250" s="339">
        <v>0.99219999999999997</v>
      </c>
      <c r="M250" s="340">
        <f>'Daily Tekrit'!$K250*'Daily Tekrit'!$L250</f>
        <v>0</v>
      </c>
      <c r="N250" s="343"/>
      <c r="O250" s="343"/>
      <c r="P250" s="343"/>
      <c r="Q250" s="343"/>
      <c r="R250" s="343"/>
      <c r="S250" s="343"/>
      <c r="T250" s="343"/>
      <c r="U250" s="344">
        <f>'Daily Tekrit'!$J250+'Daily Tekrit'!$M250+SUM($N250:$T250)</f>
        <v>196.83199999999999</v>
      </c>
      <c r="V250" s="306"/>
      <c r="W250" s="374">
        <v>10</v>
      </c>
      <c r="X250" s="354"/>
      <c r="Y250" s="354"/>
      <c r="Z250" s="346"/>
      <c r="AA250" s="347"/>
      <c r="AB250" s="347"/>
      <c r="AC250" s="347"/>
      <c r="AD250" s="348">
        <f t="shared" si="2"/>
        <v>0</v>
      </c>
      <c r="AE250" s="349"/>
      <c r="AF250" s="349"/>
      <c r="AG250" s="349"/>
      <c r="AH250" s="349"/>
      <c r="AI250" s="349"/>
      <c r="AJ250" s="349"/>
      <c r="AK250" s="349"/>
      <c r="AL250" s="349"/>
      <c r="AM250" s="350">
        <f t="shared" si="13"/>
        <v>0</v>
      </c>
      <c r="AN250" s="349"/>
      <c r="AO250" s="351">
        <f t="shared" si="12"/>
        <v>10</v>
      </c>
      <c r="AP250" s="352"/>
      <c r="AQ250" s="306"/>
      <c r="AR250" s="353">
        <f t="shared" si="14"/>
        <v>186.83199999999999</v>
      </c>
      <c r="AS250" s="239"/>
      <c r="AT250" s="239"/>
      <c r="AU250" s="239"/>
    </row>
    <row r="251" spans="1:47" x14ac:dyDescent="0.35">
      <c r="A251" s="332">
        <v>46211</v>
      </c>
      <c r="B251" s="371"/>
      <c r="C251" s="372">
        <f>'ODOMETERS Tekrit'!J247</f>
        <v>98</v>
      </c>
      <c r="D251" s="334">
        <v>1.2302</v>
      </c>
      <c r="E251" s="335">
        <f>'Daily Tekrit'!$C251*'Daily Tekrit'!$D251</f>
        <v>120.55959999999999</v>
      </c>
      <c r="F251" s="336">
        <f>'ODOMETERS Tekrit'!K247</f>
        <v>580</v>
      </c>
      <c r="G251" s="334">
        <v>1.2302</v>
      </c>
      <c r="H251" s="335">
        <f>'Daily Tekrit'!$F251*'Daily Tekrit'!$G251</f>
        <v>713.51599999999996</v>
      </c>
      <c r="I251" s="336">
        <f>'Daily Tekrit'!$C251+'Daily Tekrit'!$F251</f>
        <v>678</v>
      </c>
      <c r="J251" s="337">
        <f>'Daily Tekrit'!$E251+'Daily Tekrit'!$H251</f>
        <v>834.07559999999989</v>
      </c>
      <c r="K251" s="338">
        <f>'ODOMETERS Tekrit'!L247</f>
        <v>7</v>
      </c>
      <c r="L251" s="339">
        <v>0.99219999999999997</v>
      </c>
      <c r="M251" s="340">
        <f>'Daily Tekrit'!$K251*'Daily Tekrit'!$L251</f>
        <v>6.9453999999999994</v>
      </c>
      <c r="N251" s="343"/>
      <c r="O251" s="343"/>
      <c r="P251" s="343"/>
      <c r="Q251" s="343"/>
      <c r="R251" s="343"/>
      <c r="S251" s="343"/>
      <c r="T251" s="343"/>
      <c r="U251" s="344">
        <f>'Daily Tekrit'!$J251+'Daily Tekrit'!$M251+SUM($N251:$T251)</f>
        <v>841.02099999999984</v>
      </c>
      <c r="V251" s="306"/>
      <c r="W251" s="374">
        <f>50+500/89.7+700/89.7</f>
        <v>63.37792642140468</v>
      </c>
      <c r="X251" s="354"/>
      <c r="Y251" s="354"/>
      <c r="Z251" s="346"/>
      <c r="AA251" s="347"/>
      <c r="AB251" s="347"/>
      <c r="AC251" s="347"/>
      <c r="AD251" s="348">
        <f t="shared" si="2"/>
        <v>0</v>
      </c>
      <c r="AE251" s="349"/>
      <c r="AF251" s="349"/>
      <c r="AG251" s="349"/>
      <c r="AH251" s="349">
        <f>700/89.7+1000/89.7</f>
        <v>18.952062430323299</v>
      </c>
      <c r="AI251" s="349"/>
      <c r="AJ251" s="349"/>
      <c r="AK251" s="349"/>
      <c r="AL251" s="349"/>
      <c r="AM251" s="350">
        <f t="shared" si="13"/>
        <v>18.952062430323299</v>
      </c>
      <c r="AN251" s="349"/>
      <c r="AO251" s="351">
        <f t="shared" si="12"/>
        <v>82.329988851727975</v>
      </c>
      <c r="AP251" s="352"/>
      <c r="AQ251" s="306"/>
      <c r="AR251" s="353">
        <f t="shared" si="14"/>
        <v>758.69101114827185</v>
      </c>
      <c r="AS251" s="239"/>
      <c r="AT251" s="239"/>
      <c r="AU251" s="239"/>
    </row>
    <row r="252" spans="1:47" x14ac:dyDescent="0.35">
      <c r="A252" s="332">
        <v>46212</v>
      </c>
      <c r="B252" s="371"/>
      <c r="C252" s="372">
        <f>'ODOMETERS Tekrit'!J248</f>
        <v>121</v>
      </c>
      <c r="D252" s="334">
        <v>1.2302</v>
      </c>
      <c r="E252" s="335">
        <f>'Daily Tekrit'!$C252*'Daily Tekrit'!$D252</f>
        <v>148.85419999999999</v>
      </c>
      <c r="F252" s="336">
        <f>'ODOMETERS Tekrit'!K248</f>
        <v>540</v>
      </c>
      <c r="G252" s="334">
        <v>1.2302</v>
      </c>
      <c r="H252" s="335">
        <f>'Daily Tekrit'!$F252*'Daily Tekrit'!$G252</f>
        <v>664.30799999999999</v>
      </c>
      <c r="I252" s="336">
        <f>'Daily Tekrit'!$C252+'Daily Tekrit'!$F252</f>
        <v>661</v>
      </c>
      <c r="J252" s="337">
        <f>'Daily Tekrit'!$E252+'Daily Tekrit'!$H252</f>
        <v>813.16219999999998</v>
      </c>
      <c r="K252" s="338">
        <f>'ODOMETERS Tekrit'!L248</f>
        <v>20</v>
      </c>
      <c r="L252" s="339">
        <v>0.99219999999999997</v>
      </c>
      <c r="M252" s="340">
        <f>'Daily Tekrit'!$K252*'Daily Tekrit'!$L252</f>
        <v>19.844000000000001</v>
      </c>
      <c r="N252" s="343">
        <f>350/89.7</f>
        <v>3.9018952062430321</v>
      </c>
      <c r="O252" s="343"/>
      <c r="P252" s="343"/>
      <c r="Q252" s="343"/>
      <c r="R252" s="343"/>
      <c r="S252" s="343"/>
      <c r="T252" s="343">
        <f>75/89.7</f>
        <v>0.83612040133779264</v>
      </c>
      <c r="U252" s="344">
        <f>'Daily Tekrit'!$J252+'Daily Tekrit'!$M252+SUM($N252:$T252)</f>
        <v>837.74421560758083</v>
      </c>
      <c r="V252" s="306"/>
      <c r="W252" s="374"/>
      <c r="X252" s="354">
        <f>10*1.2302</f>
        <v>12.302</v>
      </c>
      <c r="Y252" s="354"/>
      <c r="Z252" s="346"/>
      <c r="AA252" s="347"/>
      <c r="AB252" s="347"/>
      <c r="AC252" s="347"/>
      <c r="AD252" s="348">
        <f t="shared" si="2"/>
        <v>0</v>
      </c>
      <c r="AE252" s="349"/>
      <c r="AF252" s="349"/>
      <c r="AG252" s="349">
        <f>101*1.2302</f>
        <v>124.25019999999999</v>
      </c>
      <c r="AH252" s="349">
        <f>700/89.7+25</f>
        <v>32.803790412486066</v>
      </c>
      <c r="AI252" s="349"/>
      <c r="AJ252" s="349">
        <f>600/89.7</f>
        <v>6.6889632107023411</v>
      </c>
      <c r="AK252" s="349"/>
      <c r="AL252" s="349"/>
      <c r="AM252" s="350">
        <f t="shared" si="13"/>
        <v>163.74295362318841</v>
      </c>
      <c r="AN252" s="349"/>
      <c r="AO252" s="351">
        <f t="shared" si="12"/>
        <v>176.04495362318841</v>
      </c>
      <c r="AP252" s="352"/>
      <c r="AQ252" s="306"/>
      <c r="AR252" s="353">
        <f t="shared" si="14"/>
        <v>661.69926198439248</v>
      </c>
      <c r="AS252" s="239"/>
      <c r="AT252" s="239"/>
      <c r="AU252" s="239"/>
    </row>
    <row r="253" spans="1:47" x14ac:dyDescent="0.35">
      <c r="A253" s="332">
        <v>46213</v>
      </c>
      <c r="B253" s="371" t="s">
        <v>24</v>
      </c>
      <c r="C253" s="372">
        <f>'ODOMETERS Tekrit'!J249</f>
        <v>174</v>
      </c>
      <c r="D253" s="334">
        <v>1.2302</v>
      </c>
      <c r="E253" s="335">
        <f>'Daily Tekrit'!$C253*'Daily Tekrit'!$D253</f>
        <v>214.0548</v>
      </c>
      <c r="F253" s="336">
        <f>'ODOMETERS Tekrit'!K249</f>
        <v>260</v>
      </c>
      <c r="G253" s="334">
        <v>1.2302</v>
      </c>
      <c r="H253" s="335">
        <f>'Daily Tekrit'!$F253*'Daily Tekrit'!$G253</f>
        <v>319.85199999999998</v>
      </c>
      <c r="I253" s="336">
        <f>'Daily Tekrit'!$C253+'Daily Tekrit'!$F253</f>
        <v>434</v>
      </c>
      <c r="J253" s="337">
        <f>'Daily Tekrit'!$E253+'Daily Tekrit'!$H253</f>
        <v>533.90679999999998</v>
      </c>
      <c r="K253" s="338">
        <f>'ODOMETERS Tekrit'!L249</f>
        <v>18</v>
      </c>
      <c r="L253" s="339">
        <v>0.99219999999999997</v>
      </c>
      <c r="M253" s="340">
        <f>'Daily Tekrit'!$K253*'Daily Tekrit'!$L253</f>
        <v>17.8596</v>
      </c>
      <c r="N253" s="343"/>
      <c r="O253" s="343"/>
      <c r="P253" s="343"/>
      <c r="Q253" s="343"/>
      <c r="R253" s="343"/>
      <c r="S253" s="343"/>
      <c r="T253" s="343">
        <f>70/89.7</f>
        <v>0.78037904124860646</v>
      </c>
      <c r="U253" s="344">
        <f>'Daily Tekrit'!$J253+'Daily Tekrit'!$M253+SUM($N253:$T253)</f>
        <v>552.54677904124856</v>
      </c>
      <c r="V253" s="306"/>
      <c r="W253" s="374"/>
      <c r="X253" s="354">
        <f>10*1.2302</f>
        <v>12.302</v>
      </c>
      <c r="Y253" s="354"/>
      <c r="Z253" s="346"/>
      <c r="AA253" s="347"/>
      <c r="AB253" s="347"/>
      <c r="AC253" s="347"/>
      <c r="AD253" s="348">
        <f t="shared" si="2"/>
        <v>0</v>
      </c>
      <c r="AE253" s="349"/>
      <c r="AF253" s="349"/>
      <c r="AG253" s="349"/>
      <c r="AH253" s="349">
        <f>700/89.7</f>
        <v>7.8037904124860642</v>
      </c>
      <c r="AI253" s="349"/>
      <c r="AJ253" s="349"/>
      <c r="AK253" s="349"/>
      <c r="AL253" s="349"/>
      <c r="AM253" s="350">
        <f t="shared" si="13"/>
        <v>7.8037904124860642</v>
      </c>
      <c r="AN253" s="349"/>
      <c r="AO253" s="351">
        <f t="shared" si="12"/>
        <v>20.105790412486066</v>
      </c>
      <c r="AP253" s="352"/>
      <c r="AQ253" s="306"/>
      <c r="AR253" s="353">
        <f t="shared" ref="AR253:AR272" si="15">U253-AO253</f>
        <v>532.44098862876251</v>
      </c>
      <c r="AS253" s="239"/>
      <c r="AT253" s="239"/>
      <c r="AU253" s="239"/>
    </row>
    <row r="254" spans="1:47" x14ac:dyDescent="0.35">
      <c r="A254" s="332">
        <v>46213</v>
      </c>
      <c r="B254" s="371" t="s">
        <v>25</v>
      </c>
      <c r="C254" s="372">
        <f>'ODOMETERS Tekrit'!J250</f>
        <v>51</v>
      </c>
      <c r="D254" s="334">
        <v>1.238</v>
      </c>
      <c r="E254" s="335">
        <f>'Daily Tekrit'!$C254*'Daily Tekrit'!$D254</f>
        <v>63.137999999999998</v>
      </c>
      <c r="F254" s="336">
        <f>'ODOMETERS Tekrit'!K250</f>
        <v>197</v>
      </c>
      <c r="G254" s="334">
        <v>1.238</v>
      </c>
      <c r="H254" s="335">
        <f>'Daily Tekrit'!$F254*'Daily Tekrit'!$G254</f>
        <v>243.886</v>
      </c>
      <c r="I254" s="336">
        <f>'Daily Tekrit'!$C254+'Daily Tekrit'!$F254</f>
        <v>248</v>
      </c>
      <c r="J254" s="337">
        <f>'Daily Tekrit'!$E254+'Daily Tekrit'!$H254</f>
        <v>307.024</v>
      </c>
      <c r="K254" s="338">
        <f>'ODOMETERS Tekrit'!L250</f>
        <v>8</v>
      </c>
      <c r="L254" s="339">
        <v>1.01</v>
      </c>
      <c r="M254" s="340">
        <f>'Daily Tekrit'!$K254*'Daily Tekrit'!$L254</f>
        <v>8.08</v>
      </c>
      <c r="N254" s="343"/>
      <c r="O254" s="343"/>
      <c r="P254" s="343"/>
      <c r="Q254" s="343"/>
      <c r="R254" s="343"/>
      <c r="S254" s="343"/>
      <c r="T254" s="343"/>
      <c r="U254" s="344">
        <f>'Daily Tekrit'!$J254+'Daily Tekrit'!$M254+SUM($N254:$T254)</f>
        <v>315.10399999999998</v>
      </c>
      <c r="V254" s="306"/>
      <c r="W254" s="374">
        <v>20</v>
      </c>
      <c r="X254" s="354"/>
      <c r="Y254" s="354"/>
      <c r="Z254" s="346"/>
      <c r="AA254" s="347"/>
      <c r="AB254" s="347"/>
      <c r="AC254" s="347"/>
      <c r="AD254" s="348">
        <f t="shared" si="2"/>
        <v>0</v>
      </c>
      <c r="AE254" s="349"/>
      <c r="AF254" s="349"/>
      <c r="AG254" s="349"/>
      <c r="AH254" s="349"/>
      <c r="AI254" s="349"/>
      <c r="AJ254" s="349"/>
      <c r="AK254" s="349"/>
      <c r="AL254" s="349"/>
      <c r="AM254" s="350">
        <f t="shared" si="13"/>
        <v>0</v>
      </c>
      <c r="AN254" s="349"/>
      <c r="AO254" s="351">
        <f t="shared" si="12"/>
        <v>20</v>
      </c>
      <c r="AP254" s="352"/>
      <c r="AQ254" s="306"/>
      <c r="AR254" s="353">
        <f t="shared" si="15"/>
        <v>295.10399999999998</v>
      </c>
      <c r="AS254" s="239"/>
      <c r="AT254" s="239"/>
      <c r="AU254" s="239"/>
    </row>
    <row r="255" spans="1:47" x14ac:dyDescent="0.35">
      <c r="A255" s="332">
        <v>46214</v>
      </c>
      <c r="B255" s="371"/>
      <c r="C255" s="372">
        <f>'ODOMETERS Tekrit'!J251</f>
        <v>252</v>
      </c>
      <c r="D255" s="334">
        <v>1.238</v>
      </c>
      <c r="E255" s="335">
        <f>'Daily Tekrit'!$C255*'Daily Tekrit'!$D255</f>
        <v>311.976</v>
      </c>
      <c r="F255" s="336">
        <f>'ODOMETERS Tekrit'!K251</f>
        <v>444</v>
      </c>
      <c r="G255" s="334">
        <v>1.238</v>
      </c>
      <c r="H255" s="335">
        <f>'Daily Tekrit'!$F255*'Daily Tekrit'!$G255</f>
        <v>549.67200000000003</v>
      </c>
      <c r="I255" s="336">
        <f>'Daily Tekrit'!$C255+'Daily Tekrit'!$F255</f>
        <v>696</v>
      </c>
      <c r="J255" s="337">
        <f>'Daily Tekrit'!$E255+'Daily Tekrit'!$H255</f>
        <v>861.64800000000002</v>
      </c>
      <c r="K255" s="338">
        <f>'ODOMETERS Tekrit'!L251</f>
        <v>36</v>
      </c>
      <c r="L255" s="339">
        <v>1.01</v>
      </c>
      <c r="M255" s="340">
        <f>'Daily Tekrit'!$K255*'Daily Tekrit'!$L255</f>
        <v>36.36</v>
      </c>
      <c r="N255" s="343"/>
      <c r="O255" s="343"/>
      <c r="P255" s="343"/>
      <c r="Q255" s="343"/>
      <c r="R255" s="343"/>
      <c r="S255" s="343"/>
      <c r="T255" s="343">
        <f>100/89.7</f>
        <v>1.1148272017837235</v>
      </c>
      <c r="U255" s="344">
        <f>'Daily Tekrit'!$J255+'Daily Tekrit'!$M255+SUM($N255:$T255)</f>
        <v>899.12282720178371</v>
      </c>
      <c r="V255" s="306"/>
      <c r="W255" s="374">
        <f>1000/89.7+65</f>
        <v>76.148272017837229</v>
      </c>
      <c r="X255" s="354">
        <f>10*1.238</f>
        <v>12.379999999999999</v>
      </c>
      <c r="Y255" s="354"/>
      <c r="Z255" s="346"/>
      <c r="AA255" s="347"/>
      <c r="AB255" s="347"/>
      <c r="AC255" s="347"/>
      <c r="AD255" s="348">
        <f t="shared" si="2"/>
        <v>0</v>
      </c>
      <c r="AE255" s="349"/>
      <c r="AF255" s="349"/>
      <c r="AG255" s="349"/>
      <c r="AH255" s="349">
        <f>700/89.7</f>
        <v>7.8037904124860642</v>
      </c>
      <c r="AI255" s="349"/>
      <c r="AJ255" s="349"/>
      <c r="AK255" s="349"/>
      <c r="AL255" s="349"/>
      <c r="AM255" s="350">
        <f t="shared" si="13"/>
        <v>7.8037904124860642</v>
      </c>
      <c r="AN255" s="349"/>
      <c r="AO255" s="351">
        <f t="shared" si="12"/>
        <v>96.33206243032329</v>
      </c>
      <c r="AP255" s="352"/>
      <c r="AQ255" s="306"/>
      <c r="AR255" s="353">
        <f t="shared" si="15"/>
        <v>802.79076477146043</v>
      </c>
      <c r="AS255" s="239"/>
      <c r="AT255" s="239"/>
      <c r="AU255" s="239"/>
    </row>
    <row r="256" spans="1:47" x14ac:dyDescent="0.35">
      <c r="A256" s="332">
        <v>46215</v>
      </c>
      <c r="B256" s="371"/>
      <c r="C256" s="372">
        <f>'ODOMETERS Tekrit'!J252</f>
        <v>245</v>
      </c>
      <c r="D256" s="334">
        <v>1.238</v>
      </c>
      <c r="E256" s="335">
        <f>'Daily Tekrit'!$C256*'Daily Tekrit'!$D256</f>
        <v>303.31</v>
      </c>
      <c r="F256" s="336">
        <f>'ODOMETERS Tekrit'!K252</f>
        <v>479</v>
      </c>
      <c r="G256" s="334">
        <v>1.238</v>
      </c>
      <c r="H256" s="335">
        <f>'Daily Tekrit'!$F256*'Daily Tekrit'!$G256</f>
        <v>593.00199999999995</v>
      </c>
      <c r="I256" s="336">
        <f>'Daily Tekrit'!$C256+'Daily Tekrit'!$F256</f>
        <v>724</v>
      </c>
      <c r="J256" s="337">
        <f>'Daily Tekrit'!$E256+'Daily Tekrit'!$H256</f>
        <v>896.3119999999999</v>
      </c>
      <c r="K256" s="338">
        <f>'ODOMETERS Tekrit'!L252</f>
        <v>66</v>
      </c>
      <c r="L256" s="339">
        <v>1.01</v>
      </c>
      <c r="M256" s="340">
        <f>'Daily Tekrit'!$K256*'Daily Tekrit'!$L256</f>
        <v>66.66</v>
      </c>
      <c r="N256" s="343"/>
      <c r="O256" s="343"/>
      <c r="P256" s="343"/>
      <c r="Q256" s="343"/>
      <c r="R256" s="343"/>
      <c r="S256" s="343"/>
      <c r="T256" s="343">
        <f>100/89.7</f>
        <v>1.1148272017837235</v>
      </c>
      <c r="U256" s="344">
        <f>'Daily Tekrit'!$J256+'Daily Tekrit'!$M256+SUM($N256:$T256)</f>
        <v>964.08682720178354</v>
      </c>
      <c r="V256" s="306"/>
      <c r="W256" s="374"/>
      <c r="X256" s="354">
        <f>10*1.238</f>
        <v>12.379999999999999</v>
      </c>
      <c r="Y256" s="354">
        <v>2</v>
      </c>
      <c r="Z256" s="346"/>
      <c r="AA256" s="347"/>
      <c r="AB256" s="347"/>
      <c r="AC256" s="347"/>
      <c r="AD256" s="348">
        <f t="shared" si="2"/>
        <v>0</v>
      </c>
      <c r="AE256" s="349"/>
      <c r="AF256" s="349"/>
      <c r="AG256" s="349"/>
      <c r="AH256" s="349">
        <f>700/89.7</f>
        <v>7.8037904124860642</v>
      </c>
      <c r="AI256" s="349"/>
      <c r="AJ256" s="349"/>
      <c r="AK256" s="349"/>
      <c r="AL256" s="349"/>
      <c r="AM256" s="350">
        <f t="shared" si="13"/>
        <v>7.8037904124860642</v>
      </c>
      <c r="AN256" s="349"/>
      <c r="AO256" s="351">
        <f t="shared" si="12"/>
        <v>22.183790412486061</v>
      </c>
      <c r="AP256" s="352"/>
      <c r="AQ256" s="306"/>
      <c r="AR256" s="353">
        <f t="shared" si="15"/>
        <v>941.90303678929752</v>
      </c>
      <c r="AS256" s="239"/>
      <c r="AT256" s="239"/>
      <c r="AU256" s="239"/>
    </row>
    <row r="257" spans="1:47" x14ac:dyDescent="0.35">
      <c r="A257" s="332">
        <v>46216</v>
      </c>
      <c r="B257" s="371"/>
      <c r="C257" s="372">
        <f>'ODOMETERS Tekrit'!J253</f>
        <v>266</v>
      </c>
      <c r="D257" s="334">
        <v>1.238</v>
      </c>
      <c r="E257" s="335">
        <f>'Daily Tekrit'!$C257*'Daily Tekrit'!$D257</f>
        <v>329.30799999999999</v>
      </c>
      <c r="F257" s="336">
        <f>'ODOMETERS Tekrit'!K253</f>
        <v>478</v>
      </c>
      <c r="G257" s="334">
        <v>1.238</v>
      </c>
      <c r="H257" s="335">
        <f>'Daily Tekrit'!$F257*'Daily Tekrit'!$G257</f>
        <v>591.76400000000001</v>
      </c>
      <c r="I257" s="336">
        <f>'Daily Tekrit'!$C257+'Daily Tekrit'!$F257</f>
        <v>744</v>
      </c>
      <c r="J257" s="337">
        <f>'Daily Tekrit'!$E257+'Daily Tekrit'!$H257</f>
        <v>921.072</v>
      </c>
      <c r="K257" s="338">
        <f>'ODOMETERS Tekrit'!L253</f>
        <v>36</v>
      </c>
      <c r="L257" s="339">
        <v>1.01</v>
      </c>
      <c r="M257" s="340">
        <f>'Daily Tekrit'!$K257*'Daily Tekrit'!$L257</f>
        <v>36.36</v>
      </c>
      <c r="N257" s="343"/>
      <c r="O257" s="343"/>
      <c r="P257" s="343"/>
      <c r="Q257" s="343"/>
      <c r="R257" s="343"/>
      <c r="S257" s="343"/>
      <c r="T257" s="343"/>
      <c r="U257" s="344">
        <f>'Daily Tekrit'!$J257+'Daily Tekrit'!$M257+SUM($N257:$T257)</f>
        <v>957.43200000000002</v>
      </c>
      <c r="V257" s="306"/>
      <c r="W257" s="374">
        <f>30</f>
        <v>30</v>
      </c>
      <c r="X257" s="354">
        <f>18*1.238</f>
        <v>22.283999999999999</v>
      </c>
      <c r="Y257" s="354">
        <v>2</v>
      </c>
      <c r="Z257" s="346"/>
      <c r="AA257" s="347"/>
      <c r="AB257" s="347"/>
      <c r="AC257" s="347"/>
      <c r="AD257" s="348">
        <f t="shared" si="2"/>
        <v>0</v>
      </c>
      <c r="AE257" s="349"/>
      <c r="AF257" s="349">
        <v>50</v>
      </c>
      <c r="AG257" s="349"/>
      <c r="AH257" s="349">
        <f>700/89.7</f>
        <v>7.8037904124860642</v>
      </c>
      <c r="AI257" s="349"/>
      <c r="AJ257" s="349"/>
      <c r="AK257" s="349"/>
      <c r="AL257" s="349"/>
      <c r="AM257" s="350">
        <f t="shared" si="13"/>
        <v>57.803790412486066</v>
      </c>
      <c r="AN257" s="349"/>
      <c r="AO257" s="351">
        <f t="shared" si="12"/>
        <v>112.08779041248607</v>
      </c>
      <c r="AP257" s="352"/>
      <c r="AQ257" s="306"/>
      <c r="AR257" s="353">
        <f t="shared" si="15"/>
        <v>845.34420958751389</v>
      </c>
      <c r="AS257" s="239"/>
      <c r="AT257" s="239"/>
      <c r="AU257" s="239"/>
    </row>
    <row r="258" spans="1:47" x14ac:dyDescent="0.35">
      <c r="A258" s="332"/>
      <c r="B258" s="371"/>
      <c r="C258" s="372">
        <f>'ODOMETERS Tekrit'!J265</f>
        <v>0</v>
      </c>
      <c r="D258" s="334"/>
      <c r="E258" s="335">
        <f>'Daily Tekrit'!$C258*'Daily Tekrit'!$D258</f>
        <v>0</v>
      </c>
      <c r="F258" s="336"/>
      <c r="G258" s="334"/>
      <c r="H258" s="335">
        <f>'Daily Tekrit'!$F258*'Daily Tekrit'!$G258</f>
        <v>0</v>
      </c>
      <c r="I258" s="336">
        <f>'Daily Tekrit'!$C258+'Daily Tekrit'!$F258</f>
        <v>0</v>
      </c>
      <c r="J258" s="337">
        <f>'Daily Tekrit'!$E258+'Daily Tekrit'!$H258</f>
        <v>0</v>
      </c>
      <c r="K258" s="338">
        <f>'ODOMETERS Tekrit'!L265</f>
        <v>0</v>
      </c>
      <c r="L258" s="339"/>
      <c r="M258" s="340">
        <f>'Daily Tekrit'!$K258*'Daily Tekrit'!$L258</f>
        <v>0</v>
      </c>
      <c r="N258" s="343"/>
      <c r="O258" s="343"/>
      <c r="P258" s="343"/>
      <c r="Q258" s="343"/>
      <c r="R258" s="343"/>
      <c r="S258" s="343"/>
      <c r="T258" s="343"/>
      <c r="U258" s="344">
        <f>'Daily Tekrit'!$J258+'Daily Tekrit'!$M258+SUM($N258:$T258)</f>
        <v>0</v>
      </c>
      <c r="V258" s="306"/>
      <c r="W258" s="374"/>
      <c r="X258" s="354"/>
      <c r="Y258" s="354"/>
      <c r="Z258" s="346"/>
      <c r="AA258" s="347"/>
      <c r="AB258" s="347"/>
      <c r="AC258" s="347"/>
      <c r="AD258" s="348">
        <f t="shared" si="2"/>
        <v>0</v>
      </c>
      <c r="AE258" s="349"/>
      <c r="AF258" s="349"/>
      <c r="AG258" s="349"/>
      <c r="AH258" s="349"/>
      <c r="AI258" s="349"/>
      <c r="AJ258" s="349"/>
      <c r="AK258" s="349"/>
      <c r="AL258" s="349"/>
      <c r="AM258" s="350">
        <f t="shared" si="13"/>
        <v>0</v>
      </c>
      <c r="AN258" s="349"/>
      <c r="AO258" s="351">
        <f t="shared" si="12"/>
        <v>0</v>
      </c>
      <c r="AP258" s="352"/>
      <c r="AQ258" s="306"/>
      <c r="AR258" s="353">
        <f t="shared" si="15"/>
        <v>0</v>
      </c>
      <c r="AS258" s="239"/>
      <c r="AT258" s="239"/>
      <c r="AU258" s="239"/>
    </row>
    <row r="259" spans="1:47" x14ac:dyDescent="0.35">
      <c r="A259" s="332"/>
      <c r="B259" s="371"/>
      <c r="C259" s="372">
        <f>'ODOMETERS Tekrit'!J266</f>
        <v>0</v>
      </c>
      <c r="D259" s="334"/>
      <c r="E259" s="335">
        <f>'Daily Tekrit'!$C259*'Daily Tekrit'!$D259</f>
        <v>0</v>
      </c>
      <c r="F259" s="336"/>
      <c r="G259" s="334"/>
      <c r="H259" s="335">
        <f>'Daily Tekrit'!$F259*'Daily Tekrit'!$G259</f>
        <v>0</v>
      </c>
      <c r="I259" s="336">
        <f>'Daily Tekrit'!$C259+'Daily Tekrit'!$F259</f>
        <v>0</v>
      </c>
      <c r="J259" s="337">
        <f>'Daily Tekrit'!$E259+'Daily Tekrit'!$H259</f>
        <v>0</v>
      </c>
      <c r="K259" s="338">
        <f>'ODOMETERS Tekrit'!L266</f>
        <v>0</v>
      </c>
      <c r="L259" s="339"/>
      <c r="M259" s="340">
        <f>'Daily Tekrit'!$K259*'Daily Tekrit'!$L259</f>
        <v>0</v>
      </c>
      <c r="N259" s="343"/>
      <c r="O259" s="343"/>
      <c r="P259" s="343"/>
      <c r="Q259" s="343"/>
      <c r="R259" s="343"/>
      <c r="S259" s="343"/>
      <c r="T259" s="343"/>
      <c r="U259" s="344">
        <f>'Daily Tekrit'!$J259+'Daily Tekrit'!$M259+SUM($N259:$T259)</f>
        <v>0</v>
      </c>
      <c r="V259" s="306"/>
      <c r="W259" s="374"/>
      <c r="X259" s="354"/>
      <c r="Y259" s="354"/>
      <c r="Z259" s="346"/>
      <c r="AA259" s="347"/>
      <c r="AB259" s="347"/>
      <c r="AC259" s="347"/>
      <c r="AD259" s="348">
        <f t="shared" si="2"/>
        <v>0</v>
      </c>
      <c r="AE259" s="349"/>
      <c r="AF259" s="349"/>
      <c r="AG259" s="349"/>
      <c r="AH259" s="349"/>
      <c r="AI259" s="349"/>
      <c r="AJ259" s="349"/>
      <c r="AK259" s="349"/>
      <c r="AL259" s="349"/>
      <c r="AM259" s="350">
        <f t="shared" si="13"/>
        <v>0</v>
      </c>
      <c r="AN259" s="349"/>
      <c r="AO259" s="351">
        <f t="shared" si="12"/>
        <v>0</v>
      </c>
      <c r="AP259" s="352"/>
      <c r="AQ259" s="306"/>
      <c r="AR259" s="353">
        <f t="shared" si="15"/>
        <v>0</v>
      </c>
      <c r="AS259" s="239"/>
      <c r="AT259" s="239"/>
      <c r="AU259" s="239"/>
    </row>
    <row r="260" spans="1:47" x14ac:dyDescent="0.35">
      <c r="A260" s="332"/>
      <c r="B260" s="371"/>
      <c r="C260" s="372">
        <f>'ODOMETERS Tekrit'!J267</f>
        <v>0</v>
      </c>
      <c r="D260" s="334"/>
      <c r="E260" s="335">
        <f>'Daily Tekrit'!$C260*'Daily Tekrit'!$D260</f>
        <v>0</v>
      </c>
      <c r="F260" s="336"/>
      <c r="G260" s="334"/>
      <c r="H260" s="335">
        <f>'Daily Tekrit'!$F260*'Daily Tekrit'!$G260</f>
        <v>0</v>
      </c>
      <c r="I260" s="336">
        <f>'Daily Tekrit'!$C260+'Daily Tekrit'!$F260</f>
        <v>0</v>
      </c>
      <c r="J260" s="337">
        <f>'Daily Tekrit'!$E260+'Daily Tekrit'!$H260</f>
        <v>0</v>
      </c>
      <c r="K260" s="338">
        <f>'ODOMETERS Tekrit'!L267</f>
        <v>0</v>
      </c>
      <c r="L260" s="339"/>
      <c r="M260" s="340">
        <f>'Daily Tekrit'!$K260*'Daily Tekrit'!$L260</f>
        <v>0</v>
      </c>
      <c r="N260" s="343"/>
      <c r="O260" s="343"/>
      <c r="P260" s="343"/>
      <c r="Q260" s="343"/>
      <c r="R260" s="343"/>
      <c r="S260" s="343"/>
      <c r="T260" s="343"/>
      <c r="U260" s="344">
        <f>'Daily Tekrit'!$J260+'Daily Tekrit'!$M260+SUM($N260:$T260)</f>
        <v>0</v>
      </c>
      <c r="V260" s="306"/>
      <c r="W260" s="374"/>
      <c r="X260" s="354"/>
      <c r="Y260" s="354"/>
      <c r="Z260" s="346"/>
      <c r="AA260" s="347"/>
      <c r="AB260" s="347"/>
      <c r="AC260" s="347"/>
      <c r="AD260" s="348">
        <f t="shared" si="2"/>
        <v>0</v>
      </c>
      <c r="AE260" s="349"/>
      <c r="AF260" s="349"/>
      <c r="AG260" s="349"/>
      <c r="AH260" s="349"/>
      <c r="AI260" s="349"/>
      <c r="AJ260" s="349"/>
      <c r="AK260" s="349"/>
      <c r="AL260" s="349"/>
      <c r="AM260" s="350">
        <f t="shared" si="13"/>
        <v>0</v>
      </c>
      <c r="AN260" s="349"/>
      <c r="AO260" s="351">
        <f t="shared" ref="AO260:AO272" si="16">SUM(W260:Y260,AD260,AM260,AN260)</f>
        <v>0</v>
      </c>
      <c r="AP260" s="352"/>
      <c r="AQ260" s="306"/>
      <c r="AR260" s="353">
        <f t="shared" si="15"/>
        <v>0</v>
      </c>
      <c r="AS260" s="239"/>
      <c r="AT260" s="239"/>
      <c r="AU260" s="239"/>
    </row>
    <row r="261" spans="1:47" x14ac:dyDescent="0.35">
      <c r="A261" s="332"/>
      <c r="B261" s="371"/>
      <c r="C261" s="372">
        <f>'ODOMETERS Tekrit'!J268</f>
        <v>0</v>
      </c>
      <c r="D261" s="334"/>
      <c r="E261" s="335">
        <f>'Daily Tekrit'!$C261*'Daily Tekrit'!$D261</f>
        <v>0</v>
      </c>
      <c r="F261" s="336"/>
      <c r="G261" s="334"/>
      <c r="H261" s="335">
        <f>'Daily Tekrit'!$F261*'Daily Tekrit'!$G261</f>
        <v>0</v>
      </c>
      <c r="I261" s="336">
        <f>'Daily Tekrit'!$C261+'Daily Tekrit'!$F261</f>
        <v>0</v>
      </c>
      <c r="J261" s="337">
        <f>'Daily Tekrit'!$E261+'Daily Tekrit'!$H261</f>
        <v>0</v>
      </c>
      <c r="K261" s="338">
        <f>'ODOMETERS Tekrit'!L268</f>
        <v>0</v>
      </c>
      <c r="L261" s="339"/>
      <c r="M261" s="340">
        <f>'Daily Tekrit'!$K261*'Daily Tekrit'!$L261</f>
        <v>0</v>
      </c>
      <c r="N261" s="343"/>
      <c r="O261" s="343"/>
      <c r="P261" s="343"/>
      <c r="Q261" s="343"/>
      <c r="R261" s="343"/>
      <c r="S261" s="343"/>
      <c r="T261" s="343"/>
      <c r="U261" s="344">
        <f>'Daily Tekrit'!$J261+'Daily Tekrit'!$M261+SUM($N261:$T261)</f>
        <v>0</v>
      </c>
      <c r="V261" s="306"/>
      <c r="W261" s="374"/>
      <c r="X261" s="354"/>
      <c r="Y261" s="354"/>
      <c r="Z261" s="346"/>
      <c r="AA261" s="347"/>
      <c r="AB261" s="347"/>
      <c r="AC261" s="347"/>
      <c r="AD261" s="348">
        <f t="shared" si="2"/>
        <v>0</v>
      </c>
      <c r="AE261" s="349"/>
      <c r="AF261" s="349"/>
      <c r="AG261" s="349"/>
      <c r="AH261" s="349"/>
      <c r="AI261" s="349"/>
      <c r="AJ261" s="349"/>
      <c r="AK261" s="349"/>
      <c r="AL261" s="349"/>
      <c r="AM261" s="350">
        <f t="shared" si="13"/>
        <v>0</v>
      </c>
      <c r="AN261" s="349"/>
      <c r="AO261" s="351">
        <f t="shared" si="16"/>
        <v>0</v>
      </c>
      <c r="AP261" s="352"/>
      <c r="AQ261" s="306"/>
      <c r="AR261" s="353">
        <f t="shared" si="15"/>
        <v>0</v>
      </c>
      <c r="AS261" s="239"/>
      <c r="AT261" s="239"/>
      <c r="AU261" s="239"/>
    </row>
    <row r="262" spans="1:47" x14ac:dyDescent="0.35">
      <c r="A262" s="332"/>
      <c r="B262" s="371"/>
      <c r="C262" s="372">
        <f>'ODOMETERS Tekrit'!J269</f>
        <v>0</v>
      </c>
      <c r="D262" s="334"/>
      <c r="E262" s="335">
        <f>'Daily Tekrit'!$C262*'Daily Tekrit'!$D262</f>
        <v>0</v>
      </c>
      <c r="F262" s="336"/>
      <c r="G262" s="334"/>
      <c r="H262" s="335">
        <f>'Daily Tekrit'!$F262*'Daily Tekrit'!$G262</f>
        <v>0</v>
      </c>
      <c r="I262" s="336">
        <f>'Daily Tekrit'!$C262+'Daily Tekrit'!$F262</f>
        <v>0</v>
      </c>
      <c r="J262" s="337">
        <f>'Daily Tekrit'!$E262+'Daily Tekrit'!$H262</f>
        <v>0</v>
      </c>
      <c r="K262" s="338">
        <f>'ODOMETERS Tekrit'!L269</f>
        <v>0</v>
      </c>
      <c r="L262" s="339"/>
      <c r="M262" s="340">
        <f>'Daily Tekrit'!$K262*'Daily Tekrit'!$L262</f>
        <v>0</v>
      </c>
      <c r="N262" s="343"/>
      <c r="O262" s="343"/>
      <c r="P262" s="343"/>
      <c r="Q262" s="343"/>
      <c r="R262" s="343"/>
      <c r="S262" s="343"/>
      <c r="T262" s="343"/>
      <c r="U262" s="344">
        <f>'Daily Tekrit'!$J262+'Daily Tekrit'!$M262+SUM($N262:$T262)</f>
        <v>0</v>
      </c>
      <c r="V262" s="306"/>
      <c r="W262" s="374"/>
      <c r="X262" s="354"/>
      <c r="Y262" s="354"/>
      <c r="Z262" s="346"/>
      <c r="AA262" s="347"/>
      <c r="AB262" s="347"/>
      <c r="AC262" s="347"/>
      <c r="AD262" s="348">
        <f t="shared" si="2"/>
        <v>0</v>
      </c>
      <c r="AE262" s="349"/>
      <c r="AF262" s="349"/>
      <c r="AG262" s="349"/>
      <c r="AH262" s="349"/>
      <c r="AI262" s="349"/>
      <c r="AJ262" s="349"/>
      <c r="AK262" s="349"/>
      <c r="AL262" s="349"/>
      <c r="AM262" s="350">
        <f t="shared" si="13"/>
        <v>0</v>
      </c>
      <c r="AN262" s="349"/>
      <c r="AO262" s="351">
        <f t="shared" si="16"/>
        <v>0</v>
      </c>
      <c r="AP262" s="352"/>
      <c r="AQ262" s="306"/>
      <c r="AR262" s="353">
        <f t="shared" si="15"/>
        <v>0</v>
      </c>
      <c r="AS262" s="239"/>
      <c r="AT262" s="239"/>
      <c r="AU262" s="239"/>
    </row>
    <row r="263" spans="1:47" x14ac:dyDescent="0.35">
      <c r="A263" s="332"/>
      <c r="B263" s="371"/>
      <c r="C263" s="372">
        <f>'ODOMETERS Tekrit'!J270</f>
        <v>0</v>
      </c>
      <c r="D263" s="334"/>
      <c r="E263" s="335">
        <f>'Daily Tekrit'!$C263*'Daily Tekrit'!$D263</f>
        <v>0</v>
      </c>
      <c r="F263" s="336"/>
      <c r="G263" s="334"/>
      <c r="H263" s="335">
        <f>'Daily Tekrit'!$F263*'Daily Tekrit'!$G263</f>
        <v>0</v>
      </c>
      <c r="I263" s="336">
        <f>'Daily Tekrit'!$C263+'Daily Tekrit'!$F263</f>
        <v>0</v>
      </c>
      <c r="J263" s="337">
        <f>'Daily Tekrit'!$E263+'Daily Tekrit'!$H263</f>
        <v>0</v>
      </c>
      <c r="K263" s="338">
        <f>'ODOMETERS Tekrit'!L270</f>
        <v>0</v>
      </c>
      <c r="L263" s="339"/>
      <c r="M263" s="340">
        <f>'Daily Tekrit'!$K263*'Daily Tekrit'!$L263</f>
        <v>0</v>
      </c>
      <c r="N263" s="343"/>
      <c r="O263" s="343"/>
      <c r="P263" s="343"/>
      <c r="Q263" s="343"/>
      <c r="R263" s="343"/>
      <c r="S263" s="343"/>
      <c r="T263" s="343"/>
      <c r="U263" s="344">
        <f>'Daily Tekrit'!$J263+'Daily Tekrit'!$M263+SUM($N263:$T263)</f>
        <v>0</v>
      </c>
      <c r="V263" s="306"/>
      <c r="W263" s="374"/>
      <c r="X263" s="354"/>
      <c r="Y263" s="354"/>
      <c r="Z263" s="346"/>
      <c r="AA263" s="347"/>
      <c r="AB263" s="347"/>
      <c r="AC263" s="347"/>
      <c r="AD263" s="348">
        <f t="shared" ref="AD263:AD272" si="17">SUM(Z263:AC263)</f>
        <v>0</v>
      </c>
      <c r="AE263" s="349"/>
      <c r="AF263" s="349"/>
      <c r="AG263" s="349"/>
      <c r="AH263" s="349"/>
      <c r="AI263" s="349"/>
      <c r="AJ263" s="349"/>
      <c r="AK263" s="349"/>
      <c r="AL263" s="349"/>
      <c r="AM263" s="350">
        <f t="shared" si="13"/>
        <v>0</v>
      </c>
      <c r="AN263" s="349"/>
      <c r="AO263" s="351">
        <f t="shared" si="16"/>
        <v>0</v>
      </c>
      <c r="AP263" s="352"/>
      <c r="AQ263" s="306"/>
      <c r="AR263" s="353">
        <f t="shared" si="15"/>
        <v>0</v>
      </c>
      <c r="AS263" s="239"/>
      <c r="AT263" s="239"/>
      <c r="AU263" s="239"/>
    </row>
    <row r="264" spans="1:47" x14ac:dyDescent="0.35">
      <c r="A264" s="332"/>
      <c r="B264" s="371"/>
      <c r="C264" s="372">
        <f>'ODOMETERS Tekrit'!J271</f>
        <v>0</v>
      </c>
      <c r="D264" s="334"/>
      <c r="E264" s="335">
        <f>'Daily Tekrit'!$C264*'Daily Tekrit'!$D264</f>
        <v>0</v>
      </c>
      <c r="F264" s="336"/>
      <c r="G264" s="334"/>
      <c r="H264" s="335">
        <f>'Daily Tekrit'!$F264*'Daily Tekrit'!$G264</f>
        <v>0</v>
      </c>
      <c r="I264" s="336">
        <f>'Daily Tekrit'!$C264+'Daily Tekrit'!$F264</f>
        <v>0</v>
      </c>
      <c r="J264" s="337">
        <f>'Daily Tekrit'!$E264+'Daily Tekrit'!$H264</f>
        <v>0</v>
      </c>
      <c r="K264" s="338">
        <f>'ODOMETERS Tekrit'!L271</f>
        <v>0</v>
      </c>
      <c r="L264" s="339"/>
      <c r="M264" s="340">
        <f>'Daily Tekrit'!$K264*'Daily Tekrit'!$L264</f>
        <v>0</v>
      </c>
      <c r="N264" s="343"/>
      <c r="O264" s="343"/>
      <c r="P264" s="343"/>
      <c r="Q264" s="343"/>
      <c r="R264" s="343"/>
      <c r="S264" s="343"/>
      <c r="T264" s="343"/>
      <c r="U264" s="344">
        <f>'Daily Tekrit'!$J264+'Daily Tekrit'!$M264+SUM($N264:$T264)</f>
        <v>0</v>
      </c>
      <c r="V264" s="306"/>
      <c r="W264" s="374"/>
      <c r="X264" s="354"/>
      <c r="Y264" s="354"/>
      <c r="Z264" s="346"/>
      <c r="AA264" s="347"/>
      <c r="AB264" s="347"/>
      <c r="AC264" s="347"/>
      <c r="AD264" s="348">
        <f t="shared" si="17"/>
        <v>0</v>
      </c>
      <c r="AE264" s="349"/>
      <c r="AF264" s="349"/>
      <c r="AG264" s="349"/>
      <c r="AH264" s="349"/>
      <c r="AI264" s="349"/>
      <c r="AJ264" s="349"/>
      <c r="AK264" s="349"/>
      <c r="AL264" s="349"/>
      <c r="AM264" s="350">
        <f t="shared" ref="AM264:AM272" si="18">SUM(AE264:AL264)</f>
        <v>0</v>
      </c>
      <c r="AN264" s="349"/>
      <c r="AO264" s="351">
        <f t="shared" si="16"/>
        <v>0</v>
      </c>
      <c r="AP264" s="352"/>
      <c r="AQ264" s="306"/>
      <c r="AR264" s="353">
        <f t="shared" si="15"/>
        <v>0</v>
      </c>
      <c r="AS264" s="239"/>
      <c r="AT264" s="239"/>
      <c r="AU264" s="239"/>
    </row>
    <row r="265" spans="1:47" x14ac:dyDescent="0.35">
      <c r="A265" s="332"/>
      <c r="B265" s="371"/>
      <c r="C265" s="372">
        <f>'ODOMETERS Tekrit'!J272</f>
        <v>0</v>
      </c>
      <c r="D265" s="334"/>
      <c r="E265" s="335">
        <f>'Daily Tekrit'!$C265*'Daily Tekrit'!$D265</f>
        <v>0</v>
      </c>
      <c r="F265" s="336"/>
      <c r="G265" s="334"/>
      <c r="H265" s="335">
        <f>'Daily Tekrit'!$F265*'Daily Tekrit'!$G265</f>
        <v>0</v>
      </c>
      <c r="I265" s="336">
        <f>'Daily Tekrit'!$C265+'Daily Tekrit'!$F265</f>
        <v>0</v>
      </c>
      <c r="J265" s="337">
        <f>'Daily Tekrit'!$E265+'Daily Tekrit'!$H265</f>
        <v>0</v>
      </c>
      <c r="K265" s="338">
        <f>'ODOMETERS Tekrit'!L272</f>
        <v>0</v>
      </c>
      <c r="L265" s="339"/>
      <c r="M265" s="340">
        <f>'Daily Tekrit'!$K265*'Daily Tekrit'!$L265</f>
        <v>0</v>
      </c>
      <c r="N265" s="343"/>
      <c r="O265" s="343"/>
      <c r="P265" s="343"/>
      <c r="Q265" s="343"/>
      <c r="R265" s="343"/>
      <c r="S265" s="343"/>
      <c r="T265" s="343"/>
      <c r="U265" s="344">
        <f>'Daily Tekrit'!$J265+'Daily Tekrit'!$M265+SUM($N265:$T265)</f>
        <v>0</v>
      </c>
      <c r="V265" s="306"/>
      <c r="W265" s="374"/>
      <c r="X265" s="354"/>
      <c r="Y265" s="354"/>
      <c r="Z265" s="346"/>
      <c r="AA265" s="347"/>
      <c r="AB265" s="347"/>
      <c r="AC265" s="347"/>
      <c r="AD265" s="348">
        <f t="shared" si="17"/>
        <v>0</v>
      </c>
      <c r="AE265" s="349"/>
      <c r="AF265" s="349"/>
      <c r="AG265" s="349"/>
      <c r="AH265" s="349"/>
      <c r="AI265" s="349"/>
      <c r="AJ265" s="349"/>
      <c r="AK265" s="349"/>
      <c r="AL265" s="349"/>
      <c r="AM265" s="350">
        <f t="shared" si="18"/>
        <v>0</v>
      </c>
      <c r="AN265" s="349"/>
      <c r="AO265" s="351">
        <f t="shared" si="16"/>
        <v>0</v>
      </c>
      <c r="AP265" s="352"/>
      <c r="AQ265" s="306"/>
      <c r="AR265" s="353">
        <f t="shared" si="15"/>
        <v>0</v>
      </c>
      <c r="AS265" s="239"/>
      <c r="AT265" s="239"/>
      <c r="AU265" s="239"/>
    </row>
    <row r="266" spans="1:47" x14ac:dyDescent="0.35">
      <c r="A266" s="332"/>
      <c r="B266" s="371"/>
      <c r="C266" s="372">
        <f>'ODOMETERS Tekrit'!J273</f>
        <v>0</v>
      </c>
      <c r="D266" s="334"/>
      <c r="E266" s="335">
        <f>'Daily Tekrit'!$C266*'Daily Tekrit'!$D266</f>
        <v>0</v>
      </c>
      <c r="F266" s="336"/>
      <c r="G266" s="334"/>
      <c r="H266" s="335">
        <f>'Daily Tekrit'!$F266*'Daily Tekrit'!$G266</f>
        <v>0</v>
      </c>
      <c r="I266" s="336">
        <f>'Daily Tekrit'!$C266+'Daily Tekrit'!$F266</f>
        <v>0</v>
      </c>
      <c r="J266" s="337">
        <f>'Daily Tekrit'!$E266+'Daily Tekrit'!$H266</f>
        <v>0</v>
      </c>
      <c r="K266" s="338">
        <f>'ODOMETERS Tekrit'!L273</f>
        <v>0</v>
      </c>
      <c r="L266" s="339"/>
      <c r="M266" s="340">
        <f>'Daily Tekrit'!$K266*'Daily Tekrit'!$L266</f>
        <v>0</v>
      </c>
      <c r="N266" s="343"/>
      <c r="O266" s="343"/>
      <c r="P266" s="343"/>
      <c r="Q266" s="343"/>
      <c r="R266" s="343"/>
      <c r="S266" s="343"/>
      <c r="T266" s="343"/>
      <c r="U266" s="344">
        <f>'Daily Tekrit'!$J266+'Daily Tekrit'!$M266+SUM($N266:$T266)</f>
        <v>0</v>
      </c>
      <c r="V266" s="306"/>
      <c r="W266" s="374"/>
      <c r="X266" s="354"/>
      <c r="Y266" s="354"/>
      <c r="Z266" s="346"/>
      <c r="AA266" s="347"/>
      <c r="AB266" s="347"/>
      <c r="AC266" s="347"/>
      <c r="AD266" s="348">
        <f t="shared" si="17"/>
        <v>0</v>
      </c>
      <c r="AE266" s="349"/>
      <c r="AF266" s="349"/>
      <c r="AG266" s="349"/>
      <c r="AH266" s="349"/>
      <c r="AI266" s="349"/>
      <c r="AJ266" s="349"/>
      <c r="AK266" s="349"/>
      <c r="AL266" s="349"/>
      <c r="AM266" s="350">
        <f t="shared" si="18"/>
        <v>0</v>
      </c>
      <c r="AN266" s="349"/>
      <c r="AO266" s="351">
        <f t="shared" si="16"/>
        <v>0</v>
      </c>
      <c r="AP266" s="352"/>
      <c r="AQ266" s="306"/>
      <c r="AR266" s="353">
        <f t="shared" si="15"/>
        <v>0</v>
      </c>
      <c r="AS266" s="239"/>
      <c r="AT266" s="239"/>
      <c r="AU266" s="239"/>
    </row>
    <row r="267" spans="1:47" x14ac:dyDescent="0.35">
      <c r="A267" s="332"/>
      <c r="B267" s="371"/>
      <c r="C267" s="372">
        <f>'ODOMETERS Tekrit'!J274</f>
        <v>0</v>
      </c>
      <c r="D267" s="334"/>
      <c r="E267" s="335">
        <f>'Daily Tekrit'!$C267*'Daily Tekrit'!$D267</f>
        <v>0</v>
      </c>
      <c r="F267" s="336"/>
      <c r="G267" s="334"/>
      <c r="H267" s="335">
        <f>'Daily Tekrit'!$F267*'Daily Tekrit'!$G267</f>
        <v>0</v>
      </c>
      <c r="I267" s="336">
        <f>'Daily Tekrit'!$C267+'Daily Tekrit'!$F267</f>
        <v>0</v>
      </c>
      <c r="J267" s="337">
        <f>'Daily Tekrit'!$E267+'Daily Tekrit'!$H267</f>
        <v>0</v>
      </c>
      <c r="K267" s="338">
        <f>'ODOMETERS Tekrit'!L274</f>
        <v>0</v>
      </c>
      <c r="L267" s="339"/>
      <c r="M267" s="340">
        <f>'Daily Tekrit'!$K267*'Daily Tekrit'!$L267</f>
        <v>0</v>
      </c>
      <c r="N267" s="343"/>
      <c r="O267" s="343"/>
      <c r="P267" s="343"/>
      <c r="Q267" s="343"/>
      <c r="R267" s="343"/>
      <c r="S267" s="343"/>
      <c r="T267" s="343"/>
      <c r="U267" s="344">
        <f>'Daily Tekrit'!$J267+'Daily Tekrit'!$M267+SUM($N267:$T267)</f>
        <v>0</v>
      </c>
      <c r="V267" s="306"/>
      <c r="W267" s="374"/>
      <c r="X267" s="354"/>
      <c r="Y267" s="354"/>
      <c r="Z267" s="346"/>
      <c r="AA267" s="347"/>
      <c r="AB267" s="347"/>
      <c r="AC267" s="347"/>
      <c r="AD267" s="348">
        <f t="shared" si="17"/>
        <v>0</v>
      </c>
      <c r="AE267" s="349"/>
      <c r="AF267" s="349"/>
      <c r="AG267" s="349"/>
      <c r="AH267" s="349"/>
      <c r="AI267" s="349"/>
      <c r="AJ267" s="349"/>
      <c r="AK267" s="349"/>
      <c r="AL267" s="349"/>
      <c r="AM267" s="350">
        <f t="shared" si="18"/>
        <v>0</v>
      </c>
      <c r="AN267" s="349"/>
      <c r="AO267" s="351">
        <f t="shared" si="16"/>
        <v>0</v>
      </c>
      <c r="AP267" s="352"/>
      <c r="AQ267" s="306"/>
      <c r="AR267" s="353">
        <f t="shared" si="15"/>
        <v>0</v>
      </c>
      <c r="AS267" s="239"/>
      <c r="AT267" s="239"/>
      <c r="AU267" s="239"/>
    </row>
    <row r="268" spans="1:47" x14ac:dyDescent="0.35">
      <c r="A268" s="332"/>
      <c r="B268" s="371"/>
      <c r="C268" s="372">
        <f>'ODOMETERS Tekrit'!J275</f>
        <v>0</v>
      </c>
      <c r="D268" s="334"/>
      <c r="E268" s="335">
        <f>'Daily Tekrit'!$C268*'Daily Tekrit'!$D268</f>
        <v>0</v>
      </c>
      <c r="F268" s="336"/>
      <c r="G268" s="334"/>
      <c r="H268" s="335">
        <f>'Daily Tekrit'!$F268*'Daily Tekrit'!$G268</f>
        <v>0</v>
      </c>
      <c r="I268" s="336">
        <f>'Daily Tekrit'!$C268+'Daily Tekrit'!$F268</f>
        <v>0</v>
      </c>
      <c r="J268" s="337">
        <f>'Daily Tekrit'!$E268+'Daily Tekrit'!$H268</f>
        <v>0</v>
      </c>
      <c r="K268" s="338">
        <f>'ODOMETERS Tekrit'!L275</f>
        <v>0</v>
      </c>
      <c r="L268" s="339"/>
      <c r="M268" s="340">
        <f>'Daily Tekrit'!$K268*'Daily Tekrit'!$L268</f>
        <v>0</v>
      </c>
      <c r="N268" s="343"/>
      <c r="O268" s="343"/>
      <c r="P268" s="343"/>
      <c r="Q268" s="343"/>
      <c r="R268" s="343"/>
      <c r="S268" s="343"/>
      <c r="T268" s="343"/>
      <c r="U268" s="344">
        <f>'Daily Tekrit'!$J268+'Daily Tekrit'!$M268+SUM($N268:$T268)</f>
        <v>0</v>
      </c>
      <c r="V268" s="306"/>
      <c r="W268" s="374"/>
      <c r="X268" s="354"/>
      <c r="Y268" s="354"/>
      <c r="Z268" s="346"/>
      <c r="AA268" s="347"/>
      <c r="AB268" s="347"/>
      <c r="AC268" s="347"/>
      <c r="AD268" s="348">
        <f t="shared" si="17"/>
        <v>0</v>
      </c>
      <c r="AE268" s="349"/>
      <c r="AF268" s="349"/>
      <c r="AG268" s="349"/>
      <c r="AH268" s="349"/>
      <c r="AI268" s="349"/>
      <c r="AJ268" s="349"/>
      <c r="AK268" s="349"/>
      <c r="AL268" s="349"/>
      <c r="AM268" s="350">
        <f t="shared" si="18"/>
        <v>0</v>
      </c>
      <c r="AN268" s="349"/>
      <c r="AO268" s="351">
        <f t="shared" si="16"/>
        <v>0</v>
      </c>
      <c r="AP268" s="352"/>
      <c r="AQ268" s="306"/>
      <c r="AR268" s="353">
        <f t="shared" si="15"/>
        <v>0</v>
      </c>
      <c r="AS268" s="239"/>
      <c r="AT268" s="239"/>
      <c r="AU268" s="239"/>
    </row>
    <row r="269" spans="1:47" x14ac:dyDescent="0.35">
      <c r="A269" s="332"/>
      <c r="B269" s="371"/>
      <c r="C269" s="372">
        <f>'ODOMETERS Tekrit'!J276</f>
        <v>0</v>
      </c>
      <c r="D269" s="334"/>
      <c r="E269" s="335">
        <f>'Daily Tekrit'!$C269*'Daily Tekrit'!$D269</f>
        <v>0</v>
      </c>
      <c r="F269" s="336"/>
      <c r="G269" s="334"/>
      <c r="H269" s="335">
        <f>'Daily Tekrit'!$F269*'Daily Tekrit'!$G269</f>
        <v>0</v>
      </c>
      <c r="I269" s="336">
        <f>'Daily Tekrit'!$C269+'Daily Tekrit'!$F269</f>
        <v>0</v>
      </c>
      <c r="J269" s="337">
        <f>'Daily Tekrit'!$E269+'Daily Tekrit'!$H269</f>
        <v>0</v>
      </c>
      <c r="K269" s="338">
        <f>'ODOMETERS Tekrit'!L276</f>
        <v>0</v>
      </c>
      <c r="L269" s="339"/>
      <c r="M269" s="340">
        <f>'Daily Tekrit'!$K269*'Daily Tekrit'!$L269</f>
        <v>0</v>
      </c>
      <c r="N269" s="343"/>
      <c r="O269" s="343"/>
      <c r="P269" s="343"/>
      <c r="Q269" s="343"/>
      <c r="R269" s="343"/>
      <c r="S269" s="343"/>
      <c r="T269" s="343"/>
      <c r="U269" s="344">
        <f>'Daily Tekrit'!$J269+'Daily Tekrit'!$M269+SUM($N269:$T269)</f>
        <v>0</v>
      </c>
      <c r="V269" s="306"/>
      <c r="W269" s="374"/>
      <c r="X269" s="354"/>
      <c r="Y269" s="354"/>
      <c r="Z269" s="346"/>
      <c r="AA269" s="347"/>
      <c r="AB269" s="347"/>
      <c r="AC269" s="347"/>
      <c r="AD269" s="348">
        <f t="shared" si="17"/>
        <v>0</v>
      </c>
      <c r="AE269" s="349"/>
      <c r="AF269" s="349"/>
      <c r="AG269" s="349"/>
      <c r="AH269" s="349"/>
      <c r="AI269" s="349"/>
      <c r="AJ269" s="349"/>
      <c r="AK269" s="349"/>
      <c r="AL269" s="349"/>
      <c r="AM269" s="350">
        <f t="shared" si="18"/>
        <v>0</v>
      </c>
      <c r="AN269" s="349"/>
      <c r="AO269" s="351">
        <f t="shared" si="16"/>
        <v>0</v>
      </c>
      <c r="AP269" s="352"/>
      <c r="AQ269" s="306"/>
      <c r="AR269" s="353">
        <f t="shared" si="15"/>
        <v>0</v>
      </c>
      <c r="AS269" s="239"/>
      <c r="AT269" s="239"/>
      <c r="AU269" s="239"/>
    </row>
    <row r="270" spans="1:47" x14ac:dyDescent="0.35">
      <c r="A270" s="332"/>
      <c r="B270" s="371"/>
      <c r="C270" s="372">
        <f>'ODOMETERS Tekrit'!J277</f>
        <v>0</v>
      </c>
      <c r="D270" s="334"/>
      <c r="E270" s="335">
        <f>'Daily Tekrit'!$C270*'Daily Tekrit'!$D270</f>
        <v>0</v>
      </c>
      <c r="F270" s="336"/>
      <c r="G270" s="334"/>
      <c r="H270" s="335">
        <f>'Daily Tekrit'!$F270*'Daily Tekrit'!$G270</f>
        <v>0</v>
      </c>
      <c r="I270" s="336">
        <f>'Daily Tekrit'!$C270+'Daily Tekrit'!$F270</f>
        <v>0</v>
      </c>
      <c r="J270" s="337">
        <f>'Daily Tekrit'!$E270+'Daily Tekrit'!$H270</f>
        <v>0</v>
      </c>
      <c r="K270" s="338">
        <f>'ODOMETERS Tekrit'!L277</f>
        <v>0</v>
      </c>
      <c r="L270" s="339"/>
      <c r="M270" s="340">
        <f>'Daily Tekrit'!$K270*'Daily Tekrit'!$L270</f>
        <v>0</v>
      </c>
      <c r="N270" s="343"/>
      <c r="O270" s="343"/>
      <c r="P270" s="343"/>
      <c r="Q270" s="343"/>
      <c r="R270" s="343"/>
      <c r="S270" s="343"/>
      <c r="T270" s="343"/>
      <c r="U270" s="344">
        <f>'Daily Tekrit'!$J270+'Daily Tekrit'!$M270+SUM($N270:$T270)</f>
        <v>0</v>
      </c>
      <c r="V270" s="306"/>
      <c r="W270" s="374"/>
      <c r="X270" s="354"/>
      <c r="Y270" s="354"/>
      <c r="Z270" s="346"/>
      <c r="AA270" s="347"/>
      <c r="AB270" s="347"/>
      <c r="AC270" s="347"/>
      <c r="AD270" s="348">
        <f t="shared" si="17"/>
        <v>0</v>
      </c>
      <c r="AE270" s="349"/>
      <c r="AF270" s="349"/>
      <c r="AG270" s="349"/>
      <c r="AH270" s="349"/>
      <c r="AI270" s="349"/>
      <c r="AJ270" s="349"/>
      <c r="AK270" s="349"/>
      <c r="AL270" s="349"/>
      <c r="AM270" s="350">
        <f t="shared" si="18"/>
        <v>0</v>
      </c>
      <c r="AN270" s="349"/>
      <c r="AO270" s="351">
        <f t="shared" si="16"/>
        <v>0</v>
      </c>
      <c r="AP270" s="352"/>
      <c r="AQ270" s="306"/>
      <c r="AR270" s="353">
        <f t="shared" si="15"/>
        <v>0</v>
      </c>
      <c r="AS270" s="239"/>
      <c r="AT270" s="239"/>
      <c r="AU270" s="239"/>
    </row>
    <row r="271" spans="1:47" x14ac:dyDescent="0.35">
      <c r="A271" s="332"/>
      <c r="B271" s="371"/>
      <c r="C271" s="372">
        <f>'ODOMETERS Tekrit'!J278</f>
        <v>0</v>
      </c>
      <c r="D271" s="334"/>
      <c r="E271" s="335">
        <f>'Daily Tekrit'!$C271*'Daily Tekrit'!$D271</f>
        <v>0</v>
      </c>
      <c r="F271" s="336"/>
      <c r="G271" s="334"/>
      <c r="H271" s="335">
        <f>'Daily Tekrit'!$F271*'Daily Tekrit'!$G271</f>
        <v>0</v>
      </c>
      <c r="I271" s="336">
        <f>'Daily Tekrit'!$C271+'Daily Tekrit'!$F271</f>
        <v>0</v>
      </c>
      <c r="J271" s="337">
        <f>'Daily Tekrit'!$E271+'Daily Tekrit'!$H271</f>
        <v>0</v>
      </c>
      <c r="K271" s="338">
        <f>'ODOMETERS Tekrit'!L278</f>
        <v>0</v>
      </c>
      <c r="L271" s="339"/>
      <c r="M271" s="340">
        <f>'Daily Tekrit'!$K271*'Daily Tekrit'!$L271</f>
        <v>0</v>
      </c>
      <c r="N271" s="343"/>
      <c r="O271" s="343"/>
      <c r="P271" s="377"/>
      <c r="Q271" s="343"/>
      <c r="R271" s="377"/>
      <c r="S271" s="343"/>
      <c r="T271" s="343"/>
      <c r="U271" s="344">
        <f>'Daily Tekrit'!$J271+'Daily Tekrit'!$M271+SUM($N271:$T271)</f>
        <v>0</v>
      </c>
      <c r="V271" s="306"/>
      <c r="W271" s="374"/>
      <c r="X271" s="354"/>
      <c r="Y271" s="354"/>
      <c r="Z271" s="346"/>
      <c r="AA271" s="347"/>
      <c r="AB271" s="347"/>
      <c r="AC271" s="347"/>
      <c r="AD271" s="348">
        <f t="shared" si="17"/>
        <v>0</v>
      </c>
      <c r="AE271" s="349"/>
      <c r="AF271" s="349"/>
      <c r="AG271" s="349"/>
      <c r="AH271" s="349"/>
      <c r="AI271" s="349"/>
      <c r="AJ271" s="349"/>
      <c r="AK271" s="349"/>
      <c r="AL271" s="349"/>
      <c r="AM271" s="350">
        <f t="shared" si="18"/>
        <v>0</v>
      </c>
      <c r="AN271" s="349"/>
      <c r="AO271" s="351">
        <f t="shared" si="16"/>
        <v>0</v>
      </c>
      <c r="AP271" s="352"/>
      <c r="AQ271" s="306"/>
      <c r="AR271" s="353">
        <f t="shared" si="15"/>
        <v>0</v>
      </c>
      <c r="AS271" s="239"/>
      <c r="AT271" s="239"/>
      <c r="AU271" s="239"/>
    </row>
    <row r="272" spans="1:47" x14ac:dyDescent="0.35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45"/>
      <c r="V272" s="306"/>
      <c r="W272" s="374"/>
      <c r="X272" s="354"/>
      <c r="Y272" s="354"/>
      <c r="Z272" s="346"/>
      <c r="AA272" s="347"/>
      <c r="AB272" s="347"/>
      <c r="AC272" s="347"/>
      <c r="AD272" s="348">
        <f t="shared" si="17"/>
        <v>0</v>
      </c>
      <c r="AE272" s="349"/>
      <c r="AF272" s="349"/>
      <c r="AG272" s="349"/>
      <c r="AH272" s="349"/>
      <c r="AI272" s="349"/>
      <c r="AJ272" s="349"/>
      <c r="AK272" s="349"/>
      <c r="AL272" s="349"/>
      <c r="AM272" s="350">
        <f t="shared" si="18"/>
        <v>0</v>
      </c>
      <c r="AN272" s="349"/>
      <c r="AO272" s="351">
        <f t="shared" si="16"/>
        <v>0</v>
      </c>
      <c r="AP272" s="352"/>
      <c r="AQ272" s="306"/>
      <c r="AR272" s="353">
        <f t="shared" si="15"/>
        <v>0</v>
      </c>
      <c r="AS272" s="239"/>
      <c r="AT272" s="239"/>
      <c r="AU272" s="239"/>
    </row>
    <row r="273" spans="1:47" x14ac:dyDescent="0.35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45"/>
      <c r="V273" s="306"/>
      <c r="W273" s="239"/>
      <c r="X273" s="239"/>
      <c r="Y273" s="239"/>
      <c r="Z273" s="239"/>
      <c r="AA273" s="239"/>
      <c r="AB273" s="239"/>
      <c r="AC273" s="239"/>
      <c r="AD273" s="245"/>
      <c r="AE273" s="239"/>
      <c r="AF273" s="239"/>
      <c r="AG273" s="239"/>
      <c r="AH273" s="239"/>
      <c r="AI273" s="239"/>
      <c r="AJ273" s="239"/>
      <c r="AK273" s="239"/>
      <c r="AL273" s="239"/>
      <c r="AM273" s="245"/>
      <c r="AN273" s="239"/>
      <c r="AO273" s="239"/>
      <c r="AP273" s="239"/>
      <c r="AQ273" s="306"/>
      <c r="AR273" s="245"/>
      <c r="AS273" s="239"/>
      <c r="AT273" s="239"/>
      <c r="AU273" s="239"/>
    </row>
    <row r="274" spans="1:47" x14ac:dyDescent="0.35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45"/>
      <c r="V274" s="306"/>
      <c r="W274" s="239"/>
      <c r="X274" s="239"/>
      <c r="Y274" s="239"/>
      <c r="Z274" s="239"/>
      <c r="AA274" s="239"/>
      <c r="AB274" s="239"/>
      <c r="AC274" s="239"/>
      <c r="AD274" s="245"/>
      <c r="AE274" s="239"/>
      <c r="AF274" s="239"/>
      <c r="AG274" s="239"/>
      <c r="AH274" s="239"/>
      <c r="AI274" s="239"/>
      <c r="AJ274" s="239"/>
      <c r="AK274" s="239"/>
      <c r="AL274" s="239"/>
      <c r="AM274" s="245"/>
      <c r="AN274" s="239"/>
      <c r="AO274" s="239"/>
      <c r="AP274" s="239"/>
      <c r="AQ274" s="306"/>
      <c r="AR274" s="245"/>
      <c r="AS274" s="239"/>
      <c r="AT274" s="239"/>
      <c r="AU274" s="239"/>
    </row>
    <row r="275" spans="1:47" x14ac:dyDescent="0.35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45"/>
      <c r="V275" s="306"/>
      <c r="W275" s="239"/>
      <c r="X275" s="239"/>
      <c r="Y275" s="239"/>
      <c r="Z275" s="239"/>
      <c r="AA275" s="239"/>
      <c r="AB275" s="239"/>
      <c r="AC275" s="239"/>
      <c r="AD275" s="245"/>
      <c r="AE275" s="239"/>
      <c r="AF275" s="239"/>
      <c r="AG275" s="239"/>
      <c r="AH275" s="239"/>
      <c r="AI275" s="239"/>
      <c r="AJ275" s="239"/>
      <c r="AK275" s="239"/>
      <c r="AL275" s="239"/>
      <c r="AM275" s="245"/>
      <c r="AN275" s="239"/>
      <c r="AO275" s="239"/>
      <c r="AP275" s="239"/>
      <c r="AQ275" s="306"/>
      <c r="AR275" s="245"/>
      <c r="AS275" s="239"/>
      <c r="AT275" s="239"/>
      <c r="AU275" s="239"/>
    </row>
    <row r="276" spans="1:47" x14ac:dyDescent="0.35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45"/>
      <c r="V276" s="306"/>
      <c r="W276" s="239"/>
      <c r="X276" s="239"/>
      <c r="Y276" s="239"/>
      <c r="Z276" s="239"/>
      <c r="AA276" s="239"/>
      <c r="AB276" s="239"/>
      <c r="AC276" s="239"/>
      <c r="AD276" s="245"/>
      <c r="AE276" s="239"/>
      <c r="AF276" s="239"/>
      <c r="AG276" s="239"/>
      <c r="AH276" s="239"/>
      <c r="AI276" s="239"/>
      <c r="AJ276" s="239"/>
      <c r="AK276" s="239"/>
      <c r="AL276" s="239"/>
      <c r="AM276" s="245"/>
      <c r="AN276" s="239"/>
      <c r="AO276" s="239"/>
      <c r="AP276" s="239"/>
      <c r="AQ276" s="306"/>
      <c r="AR276" s="245"/>
      <c r="AS276" s="239"/>
      <c r="AT276" s="239"/>
      <c r="AU276" s="239"/>
    </row>
    <row r="277" spans="1:47" x14ac:dyDescent="0.35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45"/>
      <c r="V277" s="306"/>
      <c r="W277" s="239"/>
      <c r="X277" s="239"/>
      <c r="Y277" s="239"/>
      <c r="Z277" s="239"/>
      <c r="AA277" s="239"/>
      <c r="AB277" s="239"/>
      <c r="AC277" s="239"/>
      <c r="AD277" s="245"/>
      <c r="AE277" s="239"/>
      <c r="AF277" s="239"/>
      <c r="AG277" s="239"/>
      <c r="AH277" s="239"/>
      <c r="AI277" s="239"/>
      <c r="AJ277" s="239"/>
      <c r="AK277" s="239"/>
      <c r="AL277" s="239"/>
      <c r="AM277" s="245"/>
      <c r="AN277" s="239"/>
      <c r="AO277" s="239"/>
      <c r="AP277" s="239"/>
      <c r="AQ277" s="306"/>
      <c r="AR277" s="245"/>
      <c r="AS277" s="239"/>
      <c r="AT277" s="239"/>
      <c r="AU277" s="239"/>
    </row>
    <row r="278" spans="1:47" x14ac:dyDescent="0.35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306"/>
      <c r="W278" s="239"/>
      <c r="X278" s="239"/>
      <c r="Y278" s="239"/>
      <c r="Z278" s="239"/>
      <c r="AA278" s="239"/>
      <c r="AB278" s="239"/>
      <c r="AC278" s="239"/>
      <c r="AD278" s="245"/>
      <c r="AE278" s="239"/>
      <c r="AF278" s="239"/>
      <c r="AG278" s="239"/>
      <c r="AH278" s="239"/>
      <c r="AI278" s="239"/>
      <c r="AJ278" s="239"/>
      <c r="AK278" s="239"/>
      <c r="AL278" s="239"/>
      <c r="AM278" s="245"/>
      <c r="AN278" s="239"/>
      <c r="AO278" s="239"/>
      <c r="AP278" s="239"/>
      <c r="AQ278" s="306"/>
      <c r="AR278" s="245"/>
      <c r="AS278" s="239"/>
      <c r="AT278" s="239"/>
      <c r="AU278" s="239"/>
    </row>
    <row r="279" spans="1:47" x14ac:dyDescent="0.35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306"/>
      <c r="W279" s="239"/>
      <c r="X279" s="239"/>
      <c r="Y279" s="239"/>
      <c r="Z279" s="239"/>
      <c r="AA279" s="239"/>
      <c r="AB279" s="239"/>
      <c r="AC279" s="239"/>
      <c r="AD279" s="245"/>
      <c r="AE279" s="239"/>
      <c r="AF279" s="239"/>
      <c r="AG279" s="239"/>
      <c r="AH279" s="239"/>
      <c r="AI279" s="239"/>
      <c r="AJ279" s="239"/>
      <c r="AK279" s="239"/>
      <c r="AL279" s="239"/>
      <c r="AM279" s="245"/>
      <c r="AN279" s="239"/>
      <c r="AO279" s="239"/>
      <c r="AP279" s="239"/>
      <c r="AQ279" s="306"/>
      <c r="AR279" s="245"/>
      <c r="AS279" s="239"/>
      <c r="AT279" s="239"/>
      <c r="AU279" s="239"/>
    </row>
    <row r="280" spans="1:47" x14ac:dyDescent="0.35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306"/>
      <c r="W280" s="239"/>
      <c r="X280" s="239"/>
      <c r="Y280" s="239"/>
      <c r="Z280" s="239"/>
      <c r="AA280" s="239"/>
      <c r="AB280" s="239"/>
      <c r="AC280" s="239"/>
      <c r="AD280" s="245"/>
      <c r="AE280" s="239"/>
      <c r="AF280" s="239"/>
      <c r="AG280" s="239"/>
      <c r="AH280" s="239"/>
      <c r="AI280" s="239"/>
      <c r="AJ280" s="239"/>
      <c r="AK280" s="239"/>
      <c r="AL280" s="239"/>
      <c r="AM280" s="245"/>
      <c r="AN280" s="239"/>
      <c r="AO280" s="239"/>
      <c r="AP280" s="239"/>
      <c r="AQ280" s="306"/>
      <c r="AR280" s="245"/>
      <c r="AS280" s="239"/>
      <c r="AT280" s="239"/>
      <c r="AU280" s="239"/>
    </row>
    <row r="281" spans="1:47" x14ac:dyDescent="0.35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306"/>
      <c r="W281" s="239"/>
      <c r="X281" s="239"/>
      <c r="Y281" s="239"/>
      <c r="Z281" s="239"/>
      <c r="AA281" s="239"/>
      <c r="AB281" s="239"/>
      <c r="AC281" s="239"/>
      <c r="AD281" s="245"/>
      <c r="AE281" s="239"/>
      <c r="AF281" s="239"/>
      <c r="AG281" s="239"/>
      <c r="AH281" s="239"/>
      <c r="AI281" s="239"/>
      <c r="AJ281" s="239"/>
      <c r="AK281" s="239"/>
      <c r="AL281" s="239"/>
      <c r="AM281" s="245"/>
      <c r="AN281" s="239"/>
      <c r="AO281" s="239"/>
      <c r="AP281" s="239"/>
      <c r="AQ281" s="306"/>
      <c r="AR281" s="245"/>
      <c r="AS281" s="239"/>
      <c r="AT281" s="239"/>
      <c r="AU281" s="239"/>
    </row>
    <row r="282" spans="1:47" x14ac:dyDescent="0.35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306"/>
      <c r="W282" s="239"/>
      <c r="X282" s="239"/>
      <c r="Y282" s="239"/>
      <c r="Z282" s="239"/>
      <c r="AA282" s="239"/>
      <c r="AB282" s="239"/>
      <c r="AC282" s="239"/>
      <c r="AD282" s="245"/>
      <c r="AE282" s="239"/>
      <c r="AF282" s="239"/>
      <c r="AG282" s="239"/>
      <c r="AH282" s="239"/>
      <c r="AI282" s="239"/>
      <c r="AJ282" s="239"/>
      <c r="AK282" s="239"/>
      <c r="AL282" s="239"/>
      <c r="AM282" s="245"/>
      <c r="AN282" s="239"/>
      <c r="AO282" s="239"/>
      <c r="AP282" s="239"/>
      <c r="AQ282" s="306"/>
      <c r="AR282" s="245"/>
      <c r="AS282" s="239"/>
      <c r="AT282" s="239"/>
      <c r="AU282" s="239"/>
    </row>
    <row r="283" spans="1:47" x14ac:dyDescent="0.35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306"/>
      <c r="W283" s="239"/>
      <c r="X283" s="239"/>
      <c r="Y283" s="239"/>
      <c r="Z283" s="239"/>
      <c r="AA283" s="239"/>
      <c r="AB283" s="239"/>
      <c r="AC283" s="239"/>
      <c r="AD283" s="245"/>
      <c r="AE283" s="239"/>
      <c r="AF283" s="239"/>
      <c r="AG283" s="239"/>
      <c r="AH283" s="239"/>
      <c r="AI283" s="239"/>
      <c r="AJ283" s="239"/>
      <c r="AK283" s="239"/>
      <c r="AL283" s="239"/>
      <c r="AM283" s="245"/>
      <c r="AN283" s="239"/>
      <c r="AO283" s="239"/>
      <c r="AP283" s="239"/>
      <c r="AQ283" s="306"/>
      <c r="AR283" s="245"/>
      <c r="AS283" s="239"/>
      <c r="AT283" s="239"/>
      <c r="AU283" s="239"/>
    </row>
    <row r="284" spans="1:47" x14ac:dyDescent="0.35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306"/>
      <c r="W284" s="239"/>
      <c r="X284" s="239"/>
      <c r="Y284" s="239"/>
      <c r="Z284" s="239"/>
      <c r="AA284" s="239"/>
      <c r="AB284" s="239"/>
      <c r="AC284" s="239"/>
      <c r="AD284" s="245"/>
      <c r="AE284" s="239"/>
      <c r="AF284" s="239"/>
      <c r="AG284" s="239"/>
      <c r="AH284" s="239"/>
      <c r="AI284" s="239"/>
      <c r="AJ284" s="239"/>
      <c r="AK284" s="239"/>
      <c r="AL284" s="239"/>
      <c r="AM284" s="245"/>
      <c r="AN284" s="239"/>
      <c r="AO284" s="239"/>
      <c r="AP284" s="239"/>
      <c r="AQ284" s="306"/>
      <c r="AR284" s="245"/>
      <c r="AS284" s="239"/>
      <c r="AT284" s="239"/>
      <c r="AU284" s="239"/>
    </row>
    <row r="285" spans="1:47" x14ac:dyDescent="0.35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306"/>
      <c r="W285" s="239"/>
      <c r="X285" s="239"/>
      <c r="Y285" s="239"/>
      <c r="Z285" s="239"/>
      <c r="AA285" s="239"/>
      <c r="AB285" s="239"/>
      <c r="AC285" s="239"/>
      <c r="AD285" s="245"/>
      <c r="AE285" s="239"/>
      <c r="AF285" s="239"/>
      <c r="AG285" s="239"/>
      <c r="AH285" s="239"/>
      <c r="AI285" s="239"/>
      <c r="AJ285" s="239"/>
      <c r="AK285" s="239"/>
      <c r="AL285" s="239"/>
      <c r="AM285" s="245"/>
      <c r="AN285" s="239"/>
      <c r="AO285" s="239"/>
      <c r="AP285" s="239"/>
      <c r="AQ285" s="306"/>
      <c r="AR285" s="245"/>
      <c r="AS285" s="239"/>
      <c r="AT285" s="239"/>
      <c r="AU285" s="239"/>
    </row>
    <row r="286" spans="1:47" x14ac:dyDescent="0.35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306"/>
      <c r="W286" s="239"/>
      <c r="X286" s="239"/>
      <c r="Y286" s="239"/>
      <c r="Z286" s="239"/>
      <c r="AA286" s="239"/>
      <c r="AB286" s="239"/>
      <c r="AC286" s="239"/>
      <c r="AD286" s="245"/>
      <c r="AE286" s="239"/>
      <c r="AF286" s="239"/>
      <c r="AG286" s="239"/>
      <c r="AH286" s="239"/>
      <c r="AI286" s="239"/>
      <c r="AJ286" s="239"/>
      <c r="AK286" s="239"/>
      <c r="AL286" s="239"/>
      <c r="AM286" s="245"/>
      <c r="AN286" s="239"/>
      <c r="AO286" s="239"/>
      <c r="AP286" s="239"/>
      <c r="AQ286" s="306"/>
      <c r="AR286" s="245"/>
      <c r="AS286" s="239"/>
      <c r="AT286" s="239"/>
      <c r="AU286" s="239"/>
    </row>
    <row r="287" spans="1:47" x14ac:dyDescent="0.35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306"/>
      <c r="W287" s="239"/>
      <c r="X287" s="239"/>
      <c r="Y287" s="239"/>
      <c r="Z287" s="239"/>
      <c r="AA287" s="239"/>
      <c r="AB287" s="239"/>
      <c r="AC287" s="239"/>
      <c r="AD287" s="245"/>
      <c r="AE287" s="239"/>
      <c r="AF287" s="239"/>
      <c r="AG287" s="239"/>
      <c r="AH287" s="239"/>
      <c r="AI287" s="239"/>
      <c r="AJ287" s="239"/>
      <c r="AK287" s="239"/>
      <c r="AL287" s="239"/>
      <c r="AM287" s="245"/>
      <c r="AN287" s="239"/>
      <c r="AO287" s="239"/>
      <c r="AP287" s="239"/>
      <c r="AQ287" s="306"/>
      <c r="AR287" s="245"/>
      <c r="AS287" s="239"/>
      <c r="AT287" s="239"/>
      <c r="AU287" s="239"/>
    </row>
    <row r="288" spans="1:47" x14ac:dyDescent="0.35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306"/>
      <c r="W288" s="239"/>
      <c r="X288" s="239"/>
      <c r="Y288" s="239"/>
      <c r="Z288" s="239"/>
      <c r="AA288" s="239"/>
      <c r="AB288" s="239"/>
      <c r="AC288" s="239"/>
      <c r="AD288" s="245"/>
      <c r="AE288" s="239"/>
      <c r="AF288" s="239"/>
      <c r="AG288" s="239"/>
      <c r="AH288" s="239"/>
      <c r="AI288" s="239"/>
      <c r="AJ288" s="239"/>
      <c r="AK288" s="239"/>
      <c r="AL288" s="239"/>
      <c r="AM288" s="245"/>
      <c r="AN288" s="239"/>
      <c r="AO288" s="239"/>
      <c r="AP288" s="239"/>
      <c r="AQ288" s="306"/>
      <c r="AR288" s="245"/>
      <c r="AS288" s="239"/>
      <c r="AT288" s="239"/>
      <c r="AU288" s="239"/>
    </row>
    <row r="289" spans="1:47" x14ac:dyDescent="0.35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306"/>
      <c r="W289" s="239"/>
      <c r="X289" s="239"/>
      <c r="Y289" s="239"/>
      <c r="Z289" s="239"/>
      <c r="AA289" s="239"/>
      <c r="AB289" s="239"/>
      <c r="AC289" s="239"/>
      <c r="AD289" s="245"/>
      <c r="AE289" s="239"/>
      <c r="AF289" s="239"/>
      <c r="AG289" s="239"/>
      <c r="AH289" s="239"/>
      <c r="AI289" s="239"/>
      <c r="AJ289" s="239"/>
      <c r="AK289" s="239"/>
      <c r="AL289" s="239"/>
      <c r="AM289" s="245"/>
      <c r="AN289" s="239"/>
      <c r="AO289" s="239"/>
      <c r="AP289" s="239"/>
      <c r="AQ289" s="306"/>
      <c r="AR289" s="245"/>
      <c r="AS289" s="239"/>
      <c r="AT289" s="239"/>
      <c r="AU289" s="239"/>
    </row>
    <row r="290" spans="1:47" x14ac:dyDescent="0.35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306"/>
      <c r="W290" s="239"/>
      <c r="X290" s="239"/>
      <c r="Y290" s="239"/>
      <c r="Z290" s="239"/>
      <c r="AA290" s="239"/>
      <c r="AB290" s="239"/>
      <c r="AC290" s="239"/>
      <c r="AD290" s="245"/>
      <c r="AE290" s="239"/>
      <c r="AF290" s="239"/>
      <c r="AG290" s="239"/>
      <c r="AH290" s="239"/>
      <c r="AI290" s="239"/>
      <c r="AJ290" s="239"/>
      <c r="AK290" s="239"/>
      <c r="AL290" s="239"/>
      <c r="AM290" s="245"/>
      <c r="AN290" s="239"/>
      <c r="AO290" s="239"/>
      <c r="AP290" s="239"/>
      <c r="AQ290" s="306"/>
      <c r="AR290" s="245"/>
      <c r="AS290" s="239"/>
      <c r="AT290" s="239"/>
      <c r="AU290" s="239"/>
    </row>
    <row r="291" spans="1:47" x14ac:dyDescent="0.35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306"/>
      <c r="W291" s="239"/>
      <c r="X291" s="239"/>
      <c r="Y291" s="239"/>
      <c r="Z291" s="239"/>
      <c r="AA291" s="239"/>
      <c r="AB291" s="239"/>
      <c r="AC291" s="239"/>
      <c r="AD291" s="245"/>
      <c r="AE291" s="239"/>
      <c r="AF291" s="239"/>
      <c r="AG291" s="239"/>
      <c r="AH291" s="239"/>
      <c r="AI291" s="239"/>
      <c r="AJ291" s="239"/>
      <c r="AK291" s="239"/>
      <c r="AL291" s="239"/>
      <c r="AM291" s="245"/>
      <c r="AN291" s="239"/>
      <c r="AO291" s="239"/>
      <c r="AP291" s="239"/>
      <c r="AQ291" s="306"/>
      <c r="AR291" s="245"/>
      <c r="AS291" s="239"/>
      <c r="AT291" s="239"/>
      <c r="AU291" s="239"/>
    </row>
    <row r="292" spans="1:47" x14ac:dyDescent="0.35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306"/>
      <c r="W292" s="239"/>
      <c r="X292" s="239"/>
      <c r="Y292" s="239"/>
      <c r="Z292" s="239"/>
      <c r="AA292" s="239"/>
      <c r="AB292" s="239"/>
      <c r="AC292" s="239"/>
      <c r="AD292" s="245"/>
      <c r="AE292" s="239"/>
      <c r="AF292" s="239"/>
      <c r="AG292" s="239"/>
      <c r="AH292" s="239"/>
      <c r="AI292" s="239"/>
      <c r="AJ292" s="239"/>
      <c r="AK292" s="239"/>
      <c r="AL292" s="239"/>
      <c r="AM292" s="245"/>
      <c r="AN292" s="239"/>
      <c r="AO292" s="239"/>
      <c r="AP292" s="239"/>
      <c r="AQ292" s="306"/>
      <c r="AR292" s="245"/>
      <c r="AS292" s="239"/>
      <c r="AT292" s="239"/>
      <c r="AU292" s="239"/>
    </row>
    <row r="293" spans="1:47" x14ac:dyDescent="0.35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306"/>
      <c r="W293" s="239"/>
      <c r="X293" s="239"/>
      <c r="Y293" s="239"/>
      <c r="Z293" s="239"/>
      <c r="AA293" s="239"/>
      <c r="AB293" s="239"/>
      <c r="AC293" s="239"/>
      <c r="AD293" s="245"/>
      <c r="AE293" s="239"/>
      <c r="AF293" s="239"/>
      <c r="AG293" s="239"/>
      <c r="AH293" s="239"/>
      <c r="AI293" s="239"/>
      <c r="AJ293" s="239"/>
      <c r="AK293" s="239"/>
      <c r="AL293" s="239"/>
      <c r="AM293" s="245"/>
      <c r="AN293" s="239"/>
      <c r="AO293" s="239"/>
      <c r="AP293" s="239"/>
      <c r="AQ293" s="306"/>
      <c r="AR293" s="245"/>
      <c r="AS293" s="239"/>
      <c r="AT293" s="239"/>
      <c r="AU293" s="239"/>
    </row>
    <row r="294" spans="1:47" x14ac:dyDescent="0.35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306"/>
      <c r="W294" s="239"/>
      <c r="X294" s="239"/>
      <c r="Y294" s="239"/>
      <c r="Z294" s="239"/>
      <c r="AA294" s="239"/>
      <c r="AB294" s="239"/>
      <c r="AC294" s="239"/>
      <c r="AD294" s="245"/>
      <c r="AE294" s="239"/>
      <c r="AF294" s="239"/>
      <c r="AG294" s="239"/>
      <c r="AH294" s="239"/>
      <c r="AI294" s="239"/>
      <c r="AJ294" s="239"/>
      <c r="AK294" s="239"/>
      <c r="AL294" s="239"/>
      <c r="AM294" s="245"/>
      <c r="AN294" s="239"/>
      <c r="AO294" s="239"/>
      <c r="AP294" s="239"/>
      <c r="AQ294" s="306"/>
      <c r="AR294" s="245"/>
      <c r="AS294" s="239"/>
      <c r="AT294" s="239"/>
      <c r="AU294" s="239"/>
    </row>
    <row r="295" spans="1:47" x14ac:dyDescent="0.35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306"/>
      <c r="W295" s="239"/>
      <c r="X295" s="239"/>
      <c r="Y295" s="239"/>
      <c r="Z295" s="239"/>
      <c r="AA295" s="239"/>
      <c r="AB295" s="239"/>
      <c r="AC295" s="239"/>
      <c r="AD295" s="245"/>
      <c r="AE295" s="239"/>
      <c r="AF295" s="239"/>
      <c r="AG295" s="239"/>
      <c r="AH295" s="239"/>
      <c r="AI295" s="239"/>
      <c r="AJ295" s="239"/>
      <c r="AK295" s="239"/>
      <c r="AL295" s="239"/>
      <c r="AM295" s="245"/>
      <c r="AN295" s="239"/>
      <c r="AO295" s="239"/>
      <c r="AP295" s="239"/>
      <c r="AQ295" s="306"/>
      <c r="AR295" s="245"/>
      <c r="AS295" s="239"/>
      <c r="AT295" s="239"/>
      <c r="AU295" s="239"/>
    </row>
    <row r="296" spans="1:47" x14ac:dyDescent="0.35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306"/>
      <c r="W296" s="239"/>
      <c r="X296" s="239"/>
      <c r="Y296" s="239"/>
      <c r="Z296" s="239"/>
      <c r="AA296" s="239"/>
      <c r="AB296" s="239"/>
      <c r="AC296" s="239"/>
      <c r="AD296" s="245"/>
      <c r="AE296" s="239"/>
      <c r="AF296" s="239"/>
      <c r="AG296" s="239"/>
      <c r="AH296" s="239"/>
      <c r="AI296" s="239"/>
      <c r="AJ296" s="239"/>
      <c r="AK296" s="239"/>
      <c r="AL296" s="239"/>
      <c r="AM296" s="245"/>
      <c r="AN296" s="239"/>
      <c r="AO296" s="239"/>
      <c r="AP296" s="239"/>
      <c r="AQ296" s="306"/>
      <c r="AR296" s="245"/>
      <c r="AS296" s="239"/>
      <c r="AT296" s="239"/>
      <c r="AU296" s="239"/>
    </row>
    <row r="297" spans="1:47" x14ac:dyDescent="0.35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306"/>
      <c r="W297" s="239"/>
      <c r="X297" s="239"/>
      <c r="Y297" s="239"/>
      <c r="Z297" s="239"/>
      <c r="AA297" s="239"/>
      <c r="AB297" s="239"/>
      <c r="AC297" s="239"/>
      <c r="AD297" s="245"/>
      <c r="AE297" s="239"/>
      <c r="AF297" s="239"/>
      <c r="AG297" s="239"/>
      <c r="AH297" s="239"/>
      <c r="AI297" s="239"/>
      <c r="AJ297" s="239"/>
      <c r="AK297" s="239"/>
      <c r="AL297" s="239"/>
      <c r="AM297" s="245"/>
      <c r="AN297" s="239"/>
      <c r="AO297" s="239"/>
      <c r="AP297" s="239"/>
      <c r="AQ297" s="306"/>
      <c r="AR297" s="245"/>
      <c r="AS297" s="239"/>
      <c r="AT297" s="239"/>
      <c r="AU297" s="239"/>
    </row>
    <row r="298" spans="1:47" x14ac:dyDescent="0.35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306"/>
      <c r="W298" s="239"/>
      <c r="X298" s="239"/>
      <c r="Y298" s="239"/>
      <c r="Z298" s="239"/>
      <c r="AA298" s="239"/>
      <c r="AB298" s="239"/>
      <c r="AC298" s="239"/>
      <c r="AD298" s="245"/>
      <c r="AE298" s="239"/>
      <c r="AF298" s="239"/>
      <c r="AG298" s="239"/>
      <c r="AH298" s="239"/>
      <c r="AI298" s="239"/>
      <c r="AJ298" s="239"/>
      <c r="AK298" s="239"/>
      <c r="AL298" s="239"/>
      <c r="AM298" s="245"/>
      <c r="AN298" s="239"/>
      <c r="AO298" s="239"/>
      <c r="AP298" s="239"/>
      <c r="AQ298" s="306"/>
      <c r="AR298" s="245"/>
      <c r="AS298" s="239"/>
      <c r="AT298" s="239"/>
      <c r="AU298" s="239"/>
    </row>
    <row r="299" spans="1:47" x14ac:dyDescent="0.35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306"/>
      <c r="W299" s="239"/>
      <c r="X299" s="239"/>
      <c r="Y299" s="239"/>
      <c r="Z299" s="239"/>
      <c r="AA299" s="239"/>
      <c r="AB299" s="239"/>
      <c r="AC299" s="239"/>
      <c r="AD299" s="245"/>
      <c r="AE299" s="239"/>
      <c r="AF299" s="239"/>
      <c r="AG299" s="239"/>
      <c r="AH299" s="239"/>
      <c r="AI299" s="239"/>
      <c r="AJ299" s="239"/>
      <c r="AK299" s="239"/>
      <c r="AL299" s="239"/>
      <c r="AM299" s="245"/>
      <c r="AN299" s="239"/>
      <c r="AO299" s="239"/>
      <c r="AP299" s="239"/>
      <c r="AQ299" s="306"/>
      <c r="AR299" s="245"/>
      <c r="AS299" s="239"/>
      <c r="AT299" s="239"/>
      <c r="AU299" s="239"/>
    </row>
    <row r="300" spans="1:47" x14ac:dyDescent="0.35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306"/>
      <c r="W300" s="239"/>
      <c r="X300" s="239"/>
      <c r="Y300" s="239"/>
      <c r="Z300" s="239"/>
      <c r="AA300" s="239"/>
      <c r="AB300" s="239"/>
      <c r="AC300" s="239"/>
      <c r="AD300" s="245"/>
      <c r="AE300" s="239"/>
      <c r="AF300" s="239"/>
      <c r="AG300" s="239"/>
      <c r="AH300" s="239"/>
      <c r="AI300" s="239"/>
      <c r="AJ300" s="239"/>
      <c r="AK300" s="239"/>
      <c r="AL300" s="239"/>
      <c r="AM300" s="245"/>
      <c r="AN300" s="239"/>
      <c r="AO300" s="239"/>
      <c r="AP300" s="239"/>
      <c r="AQ300" s="306"/>
      <c r="AR300" s="245"/>
      <c r="AS300" s="239"/>
      <c r="AT300" s="239"/>
      <c r="AU300" s="239"/>
    </row>
    <row r="301" spans="1:47" x14ac:dyDescent="0.35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306"/>
      <c r="W301" s="239"/>
      <c r="X301" s="239"/>
      <c r="Y301" s="239"/>
      <c r="Z301" s="239"/>
      <c r="AA301" s="239"/>
      <c r="AB301" s="239"/>
      <c r="AC301" s="239"/>
      <c r="AD301" s="245"/>
      <c r="AE301" s="239"/>
      <c r="AF301" s="239"/>
      <c r="AG301" s="239"/>
      <c r="AH301" s="239"/>
      <c r="AI301" s="239"/>
      <c r="AJ301" s="239"/>
      <c r="AK301" s="239"/>
      <c r="AL301" s="239"/>
      <c r="AM301" s="245"/>
      <c r="AN301" s="239"/>
      <c r="AO301" s="239"/>
      <c r="AP301" s="239"/>
      <c r="AQ301" s="306"/>
      <c r="AR301" s="245"/>
      <c r="AS301" s="239"/>
      <c r="AT301" s="239"/>
      <c r="AU301" s="239"/>
    </row>
    <row r="302" spans="1:47" x14ac:dyDescent="0.35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306"/>
      <c r="W302" s="239"/>
      <c r="X302" s="239"/>
      <c r="Y302" s="239"/>
      <c r="Z302" s="239"/>
      <c r="AA302" s="239"/>
      <c r="AB302" s="239"/>
      <c r="AC302" s="239"/>
      <c r="AD302" s="245"/>
      <c r="AE302" s="239"/>
      <c r="AF302" s="239"/>
      <c r="AG302" s="239"/>
      <c r="AH302" s="239"/>
      <c r="AI302" s="239"/>
      <c r="AJ302" s="239"/>
      <c r="AK302" s="239"/>
      <c r="AL302" s="239"/>
      <c r="AM302" s="245"/>
      <c r="AN302" s="239"/>
      <c r="AO302" s="239"/>
      <c r="AP302" s="239"/>
      <c r="AQ302" s="306"/>
      <c r="AR302" s="245"/>
      <c r="AS302" s="239"/>
      <c r="AT302" s="239"/>
      <c r="AU302" s="239"/>
    </row>
    <row r="303" spans="1:47" x14ac:dyDescent="0.35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306"/>
      <c r="W303" s="239"/>
      <c r="X303" s="239"/>
      <c r="Y303" s="239"/>
      <c r="Z303" s="239"/>
      <c r="AA303" s="239"/>
      <c r="AB303" s="239"/>
      <c r="AC303" s="239"/>
      <c r="AD303" s="245"/>
      <c r="AE303" s="239"/>
      <c r="AF303" s="239"/>
      <c r="AG303" s="239"/>
      <c r="AH303" s="239"/>
      <c r="AI303" s="239"/>
      <c r="AJ303" s="239"/>
      <c r="AK303" s="239"/>
      <c r="AL303" s="239"/>
      <c r="AM303" s="245"/>
      <c r="AN303" s="239"/>
      <c r="AO303" s="239"/>
      <c r="AP303" s="239"/>
      <c r="AQ303" s="306"/>
      <c r="AR303" s="245"/>
      <c r="AS303" s="239"/>
      <c r="AT303" s="239"/>
      <c r="AU303" s="239"/>
    </row>
    <row r="304" spans="1:47" x14ac:dyDescent="0.35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306"/>
      <c r="W304" s="239"/>
      <c r="X304" s="239"/>
      <c r="Y304" s="239"/>
      <c r="Z304" s="239"/>
      <c r="AA304" s="239"/>
      <c r="AB304" s="239"/>
      <c r="AC304" s="239"/>
      <c r="AD304" s="245"/>
      <c r="AE304" s="239"/>
      <c r="AF304" s="239"/>
      <c r="AG304" s="239"/>
      <c r="AH304" s="239"/>
      <c r="AI304" s="239"/>
      <c r="AJ304" s="239"/>
      <c r="AK304" s="239"/>
      <c r="AL304" s="239"/>
      <c r="AM304" s="245"/>
      <c r="AN304" s="239"/>
      <c r="AO304" s="239"/>
      <c r="AP304" s="239"/>
      <c r="AQ304" s="306"/>
      <c r="AR304" s="245"/>
      <c r="AS304" s="239"/>
      <c r="AT304" s="239"/>
      <c r="AU304" s="239"/>
    </row>
    <row r="305" spans="1:47" x14ac:dyDescent="0.35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306"/>
      <c r="W305" s="239"/>
      <c r="X305" s="239"/>
      <c r="Y305" s="239"/>
      <c r="Z305" s="239"/>
      <c r="AA305" s="239"/>
      <c r="AB305" s="239"/>
      <c r="AC305" s="239"/>
      <c r="AD305" s="245"/>
      <c r="AE305" s="239"/>
      <c r="AF305" s="239"/>
      <c r="AG305" s="239"/>
      <c r="AH305" s="239"/>
      <c r="AI305" s="239"/>
      <c r="AJ305" s="239"/>
      <c r="AK305" s="239"/>
      <c r="AL305" s="239"/>
      <c r="AM305" s="245"/>
      <c r="AN305" s="239"/>
      <c r="AO305" s="239"/>
      <c r="AP305" s="239"/>
      <c r="AQ305" s="306"/>
      <c r="AR305" s="245"/>
      <c r="AS305" s="239"/>
      <c r="AT305" s="239"/>
      <c r="AU305" s="239"/>
    </row>
    <row r="306" spans="1:47" x14ac:dyDescent="0.35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306"/>
      <c r="W306" s="239"/>
      <c r="X306" s="239"/>
      <c r="Y306" s="239"/>
      <c r="Z306" s="239"/>
      <c r="AA306" s="239"/>
      <c r="AB306" s="239"/>
      <c r="AC306" s="239"/>
      <c r="AD306" s="245"/>
      <c r="AE306" s="239"/>
      <c r="AF306" s="239"/>
      <c r="AG306" s="239"/>
      <c r="AH306" s="239"/>
      <c r="AI306" s="239"/>
      <c r="AJ306" s="239"/>
      <c r="AK306" s="239"/>
      <c r="AL306" s="239"/>
      <c r="AM306" s="245"/>
      <c r="AN306" s="239"/>
      <c r="AO306" s="239"/>
      <c r="AP306" s="239"/>
      <c r="AQ306" s="306"/>
      <c r="AR306" s="245"/>
      <c r="AS306" s="239"/>
      <c r="AT306" s="239"/>
      <c r="AU306" s="239"/>
    </row>
    <row r="307" spans="1:47" x14ac:dyDescent="0.35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306"/>
      <c r="W307" s="239"/>
      <c r="X307" s="239"/>
      <c r="Y307" s="239"/>
      <c r="Z307" s="239"/>
      <c r="AA307" s="239"/>
      <c r="AB307" s="239"/>
      <c r="AC307" s="239"/>
      <c r="AD307" s="245"/>
      <c r="AE307" s="239"/>
      <c r="AF307" s="239"/>
      <c r="AG307" s="239"/>
      <c r="AH307" s="239"/>
      <c r="AI307" s="239"/>
      <c r="AJ307" s="239"/>
      <c r="AK307" s="239"/>
      <c r="AL307" s="239"/>
      <c r="AM307" s="245"/>
      <c r="AN307" s="239"/>
      <c r="AO307" s="239"/>
      <c r="AP307" s="239"/>
      <c r="AQ307" s="306"/>
      <c r="AR307" s="239"/>
      <c r="AS307" s="239"/>
      <c r="AT307" s="239"/>
      <c r="AU307" s="239"/>
    </row>
    <row r="308" spans="1:47" x14ac:dyDescent="0.35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306"/>
      <c r="W308" s="239"/>
      <c r="X308" s="239"/>
      <c r="Y308" s="239"/>
      <c r="Z308" s="239"/>
      <c r="AA308" s="239"/>
      <c r="AB308" s="239"/>
      <c r="AC308" s="239"/>
      <c r="AD308" s="245"/>
      <c r="AE308" s="239"/>
      <c r="AF308" s="239"/>
      <c r="AG308" s="239"/>
      <c r="AH308" s="239"/>
      <c r="AI308" s="239"/>
      <c r="AJ308" s="239"/>
      <c r="AK308" s="239"/>
      <c r="AL308" s="239"/>
      <c r="AM308" s="245"/>
      <c r="AN308" s="239"/>
      <c r="AO308" s="239"/>
      <c r="AP308" s="239"/>
      <c r="AQ308" s="306"/>
      <c r="AR308" s="239"/>
      <c r="AS308" s="239"/>
      <c r="AT308" s="239"/>
      <c r="AU308" s="239"/>
    </row>
    <row r="309" spans="1:47" x14ac:dyDescent="0.35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306"/>
      <c r="W309" s="239"/>
      <c r="X309" s="239"/>
      <c r="Y309" s="239"/>
      <c r="Z309" s="239"/>
      <c r="AA309" s="239"/>
      <c r="AB309" s="239"/>
      <c r="AC309" s="239"/>
      <c r="AD309" s="245"/>
      <c r="AE309" s="239"/>
      <c r="AF309" s="239"/>
      <c r="AG309" s="239"/>
      <c r="AH309" s="239"/>
      <c r="AI309" s="239"/>
      <c r="AJ309" s="239"/>
      <c r="AK309" s="239"/>
      <c r="AL309" s="239"/>
      <c r="AM309" s="245"/>
      <c r="AN309" s="239"/>
      <c r="AO309" s="239"/>
      <c r="AP309" s="239"/>
      <c r="AQ309" s="306"/>
      <c r="AR309" s="239"/>
      <c r="AS309" s="239"/>
      <c r="AT309" s="239"/>
      <c r="AU309" s="239"/>
    </row>
    <row r="310" spans="1:47" x14ac:dyDescent="0.35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306"/>
      <c r="W310" s="239"/>
      <c r="X310" s="239"/>
      <c r="Y310" s="239"/>
      <c r="Z310" s="239"/>
      <c r="AA310" s="239"/>
      <c r="AB310" s="239"/>
      <c r="AC310" s="239"/>
      <c r="AD310" s="245"/>
      <c r="AE310" s="239"/>
      <c r="AF310" s="239"/>
      <c r="AG310" s="239"/>
      <c r="AH310" s="239"/>
      <c r="AI310" s="239"/>
      <c r="AJ310" s="239"/>
      <c r="AK310" s="239"/>
      <c r="AL310" s="239"/>
      <c r="AM310" s="245"/>
      <c r="AN310" s="239"/>
      <c r="AO310" s="239"/>
      <c r="AP310" s="239"/>
      <c r="AQ310" s="306"/>
      <c r="AR310" s="239"/>
      <c r="AS310" s="239"/>
      <c r="AT310" s="239"/>
      <c r="AU310" s="239"/>
    </row>
    <row r="311" spans="1:47" x14ac:dyDescent="0.35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306"/>
      <c r="W311" s="239"/>
      <c r="X311" s="239"/>
      <c r="Y311" s="239"/>
      <c r="Z311" s="239"/>
      <c r="AA311" s="239"/>
      <c r="AB311" s="239"/>
      <c r="AC311" s="239"/>
      <c r="AD311" s="245"/>
      <c r="AE311" s="239"/>
      <c r="AF311" s="239"/>
      <c r="AG311" s="239"/>
      <c r="AH311" s="239"/>
      <c r="AI311" s="239"/>
      <c r="AJ311" s="239"/>
      <c r="AK311" s="239"/>
      <c r="AL311" s="239"/>
      <c r="AM311" s="245"/>
      <c r="AN311" s="239"/>
      <c r="AO311" s="239"/>
      <c r="AP311" s="239"/>
      <c r="AQ311" s="306"/>
      <c r="AR311" s="239"/>
      <c r="AS311" s="239"/>
      <c r="AT311" s="239"/>
      <c r="AU311" s="239"/>
    </row>
    <row r="312" spans="1:47" x14ac:dyDescent="0.35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306"/>
      <c r="W312" s="239"/>
      <c r="X312" s="239"/>
      <c r="Y312" s="239"/>
      <c r="Z312" s="239"/>
      <c r="AA312" s="239"/>
      <c r="AB312" s="239"/>
      <c r="AC312" s="239"/>
      <c r="AD312" s="245"/>
      <c r="AE312" s="239"/>
      <c r="AF312" s="239"/>
      <c r="AG312" s="239"/>
      <c r="AH312" s="239"/>
      <c r="AI312" s="239"/>
      <c r="AJ312" s="239"/>
      <c r="AK312" s="239"/>
      <c r="AL312" s="239"/>
      <c r="AM312" s="245"/>
      <c r="AN312" s="239"/>
      <c r="AO312" s="239"/>
      <c r="AP312" s="239"/>
      <c r="AQ312" s="306"/>
      <c r="AR312" s="239"/>
      <c r="AS312" s="239"/>
      <c r="AT312" s="239"/>
      <c r="AU312" s="239"/>
    </row>
    <row r="313" spans="1:47" x14ac:dyDescent="0.35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306"/>
      <c r="W313" s="239"/>
      <c r="X313" s="239"/>
      <c r="Y313" s="239"/>
      <c r="Z313" s="239"/>
      <c r="AA313" s="239"/>
      <c r="AB313" s="239"/>
      <c r="AC313" s="239"/>
      <c r="AD313" s="245"/>
      <c r="AE313" s="239"/>
      <c r="AF313" s="239"/>
      <c r="AG313" s="239"/>
      <c r="AH313" s="239"/>
      <c r="AI313" s="239"/>
      <c r="AJ313" s="239"/>
      <c r="AK313" s="239"/>
      <c r="AL313" s="239"/>
      <c r="AM313" s="245"/>
      <c r="AN313" s="239"/>
      <c r="AO313" s="239"/>
      <c r="AP313" s="239"/>
      <c r="AQ313" s="306"/>
      <c r="AR313" s="239"/>
      <c r="AS313" s="239"/>
      <c r="AT313" s="239"/>
      <c r="AU313" s="239"/>
    </row>
    <row r="314" spans="1:47" x14ac:dyDescent="0.35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306"/>
      <c r="W314" s="239"/>
      <c r="X314" s="239"/>
      <c r="Y314" s="239"/>
      <c r="Z314" s="239"/>
      <c r="AA314" s="239"/>
      <c r="AB314" s="239"/>
      <c r="AC314" s="239"/>
      <c r="AD314" s="245"/>
      <c r="AE314" s="239"/>
      <c r="AF314" s="239"/>
      <c r="AG314" s="239"/>
      <c r="AH314" s="239"/>
      <c r="AI314" s="239"/>
      <c r="AJ314" s="239"/>
      <c r="AK314" s="239"/>
      <c r="AL314" s="239"/>
      <c r="AM314" s="245"/>
      <c r="AN314" s="239"/>
      <c r="AO314" s="239"/>
      <c r="AP314" s="239"/>
      <c r="AQ314" s="306"/>
      <c r="AR314" s="239"/>
      <c r="AS314" s="239"/>
      <c r="AT314" s="239"/>
      <c r="AU314" s="239"/>
    </row>
    <row r="315" spans="1:47" x14ac:dyDescent="0.35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306"/>
      <c r="W315" s="239"/>
      <c r="X315" s="239"/>
      <c r="Y315" s="239"/>
      <c r="Z315" s="239"/>
      <c r="AA315" s="239"/>
      <c r="AB315" s="239"/>
      <c r="AC315" s="239"/>
      <c r="AD315" s="245"/>
      <c r="AE315" s="239"/>
      <c r="AF315" s="239"/>
      <c r="AG315" s="239"/>
      <c r="AH315" s="239"/>
      <c r="AI315" s="239"/>
      <c r="AJ315" s="239"/>
      <c r="AK315" s="239"/>
      <c r="AL315" s="239"/>
      <c r="AM315" s="245"/>
      <c r="AN315" s="239"/>
      <c r="AO315" s="239"/>
      <c r="AP315" s="239"/>
      <c r="AQ315" s="306"/>
      <c r="AR315" s="239"/>
      <c r="AS315" s="239"/>
      <c r="AT315" s="239"/>
      <c r="AU315" s="239"/>
    </row>
    <row r="316" spans="1:47" x14ac:dyDescent="0.35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306"/>
      <c r="W316" s="239"/>
      <c r="X316" s="239"/>
      <c r="Y316" s="239"/>
      <c r="Z316" s="239"/>
      <c r="AA316" s="239"/>
      <c r="AB316" s="239"/>
      <c r="AC316" s="239"/>
      <c r="AD316" s="245"/>
      <c r="AE316" s="239"/>
      <c r="AF316" s="239"/>
      <c r="AG316" s="239"/>
      <c r="AH316" s="239"/>
      <c r="AI316" s="239"/>
      <c r="AJ316" s="239"/>
      <c r="AK316" s="239"/>
      <c r="AL316" s="239"/>
      <c r="AM316" s="245"/>
      <c r="AN316" s="239"/>
      <c r="AO316" s="239"/>
      <c r="AP316" s="239"/>
      <c r="AQ316" s="306"/>
      <c r="AR316" s="239"/>
      <c r="AS316" s="239"/>
      <c r="AT316" s="239"/>
      <c r="AU316" s="239"/>
    </row>
    <row r="317" spans="1:47" x14ac:dyDescent="0.35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306"/>
      <c r="W317" s="239"/>
      <c r="X317" s="239"/>
      <c r="Y317" s="239"/>
      <c r="Z317" s="239"/>
      <c r="AA317" s="239"/>
      <c r="AB317" s="239"/>
      <c r="AC317" s="239"/>
      <c r="AD317" s="245"/>
      <c r="AE317" s="239"/>
      <c r="AF317" s="239"/>
      <c r="AG317" s="239"/>
      <c r="AH317" s="239"/>
      <c r="AI317" s="239"/>
      <c r="AJ317" s="239"/>
      <c r="AK317" s="239"/>
      <c r="AL317" s="239"/>
      <c r="AM317" s="245"/>
      <c r="AN317" s="239"/>
      <c r="AO317" s="239"/>
      <c r="AP317" s="239"/>
      <c r="AQ317" s="306"/>
      <c r="AR317" s="239"/>
      <c r="AS317" s="239"/>
      <c r="AT317" s="239"/>
      <c r="AU317" s="239"/>
    </row>
    <row r="318" spans="1:47" x14ac:dyDescent="0.35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306"/>
      <c r="W318" s="239"/>
      <c r="X318" s="239"/>
      <c r="Y318" s="239"/>
      <c r="Z318" s="239"/>
      <c r="AA318" s="239"/>
      <c r="AB318" s="239"/>
      <c r="AC318" s="239"/>
      <c r="AD318" s="245"/>
      <c r="AE318" s="239"/>
      <c r="AF318" s="239"/>
      <c r="AG318" s="239"/>
      <c r="AH318" s="239"/>
      <c r="AI318" s="239"/>
      <c r="AJ318" s="239"/>
      <c r="AK318" s="239"/>
      <c r="AL318" s="239"/>
      <c r="AM318" s="245"/>
      <c r="AN318" s="239"/>
      <c r="AO318" s="239"/>
      <c r="AP318" s="239"/>
      <c r="AQ318" s="306"/>
      <c r="AR318" s="239"/>
      <c r="AS318" s="239"/>
      <c r="AT318" s="239"/>
      <c r="AU318" s="239"/>
    </row>
    <row r="319" spans="1:47" x14ac:dyDescent="0.35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306"/>
      <c r="W319" s="239"/>
      <c r="X319" s="239"/>
      <c r="Y319" s="239"/>
      <c r="Z319" s="239"/>
      <c r="AA319" s="239"/>
      <c r="AB319" s="239"/>
      <c r="AC319" s="239"/>
      <c r="AD319" s="245"/>
      <c r="AE319" s="239"/>
      <c r="AF319" s="239"/>
      <c r="AG319" s="239"/>
      <c r="AH319" s="239"/>
      <c r="AI319" s="239"/>
      <c r="AJ319" s="239"/>
      <c r="AK319" s="239"/>
      <c r="AL319" s="239"/>
      <c r="AM319" s="245"/>
      <c r="AN319" s="239"/>
      <c r="AO319" s="239"/>
      <c r="AP319" s="239"/>
      <c r="AQ319" s="306"/>
      <c r="AR319" s="239"/>
      <c r="AS319" s="239"/>
      <c r="AT319" s="239"/>
      <c r="AU319" s="239"/>
    </row>
    <row r="320" spans="1:47" x14ac:dyDescent="0.35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306"/>
      <c r="W320" s="239"/>
      <c r="X320" s="239"/>
      <c r="Y320" s="239"/>
      <c r="Z320" s="239"/>
      <c r="AA320" s="239"/>
      <c r="AB320" s="239"/>
      <c r="AC320" s="239"/>
      <c r="AD320" s="245"/>
      <c r="AE320" s="239"/>
      <c r="AF320" s="239"/>
      <c r="AG320" s="239"/>
      <c r="AH320" s="239"/>
      <c r="AI320" s="239"/>
      <c r="AJ320" s="239"/>
      <c r="AK320" s="239"/>
      <c r="AL320" s="239"/>
      <c r="AM320" s="245"/>
      <c r="AN320" s="239"/>
      <c r="AO320" s="239"/>
      <c r="AP320" s="239"/>
      <c r="AQ320" s="306"/>
      <c r="AR320" s="239"/>
      <c r="AS320" s="239"/>
      <c r="AT320" s="239"/>
      <c r="AU320" s="239"/>
    </row>
    <row r="321" spans="1:47" x14ac:dyDescent="0.35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306"/>
      <c r="W321" s="239"/>
      <c r="X321" s="239"/>
      <c r="Y321" s="239"/>
      <c r="Z321" s="239"/>
      <c r="AA321" s="239"/>
      <c r="AB321" s="239"/>
      <c r="AC321" s="239"/>
      <c r="AD321" s="245"/>
      <c r="AE321" s="239"/>
      <c r="AF321" s="239"/>
      <c r="AG321" s="239"/>
      <c r="AH321" s="239"/>
      <c r="AI321" s="239"/>
      <c r="AJ321" s="239"/>
      <c r="AK321" s="239"/>
      <c r="AL321" s="239"/>
      <c r="AM321" s="245"/>
      <c r="AN321" s="239"/>
      <c r="AO321" s="239"/>
      <c r="AP321" s="239"/>
      <c r="AQ321" s="306"/>
      <c r="AR321" s="239"/>
      <c r="AS321" s="239"/>
      <c r="AT321" s="239"/>
      <c r="AU321" s="239"/>
    </row>
    <row r="322" spans="1:47" x14ac:dyDescent="0.35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306"/>
      <c r="W322" s="239"/>
      <c r="X322" s="239"/>
      <c r="Y322" s="239"/>
      <c r="Z322" s="239"/>
      <c r="AA322" s="239"/>
      <c r="AB322" s="239"/>
      <c r="AC322" s="239"/>
      <c r="AD322" s="245"/>
      <c r="AE322" s="239"/>
      <c r="AF322" s="239"/>
      <c r="AG322" s="239"/>
      <c r="AH322" s="239"/>
      <c r="AI322" s="239"/>
      <c r="AJ322" s="239"/>
      <c r="AK322" s="239"/>
      <c r="AL322" s="239"/>
      <c r="AM322" s="245"/>
      <c r="AN322" s="239"/>
      <c r="AO322" s="239"/>
      <c r="AP322" s="239"/>
      <c r="AQ322" s="306"/>
      <c r="AR322" s="239"/>
      <c r="AS322" s="239"/>
      <c r="AT322" s="239"/>
      <c r="AU322" s="239"/>
    </row>
    <row r="323" spans="1:47" x14ac:dyDescent="0.35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306"/>
      <c r="W323" s="239"/>
      <c r="X323" s="239"/>
      <c r="Y323" s="239"/>
      <c r="Z323" s="239"/>
      <c r="AA323" s="239"/>
      <c r="AB323" s="239"/>
      <c r="AC323" s="239"/>
      <c r="AD323" s="245"/>
      <c r="AE323" s="239"/>
      <c r="AF323" s="239"/>
      <c r="AG323" s="239"/>
      <c r="AH323" s="239"/>
      <c r="AI323" s="239"/>
      <c r="AJ323" s="239"/>
      <c r="AK323" s="239"/>
      <c r="AL323" s="239"/>
      <c r="AM323" s="245"/>
      <c r="AN323" s="239"/>
      <c r="AO323" s="239"/>
      <c r="AP323" s="239"/>
      <c r="AQ323" s="306"/>
      <c r="AR323" s="239"/>
      <c r="AS323" s="239"/>
      <c r="AT323" s="239"/>
      <c r="AU323" s="239"/>
    </row>
    <row r="324" spans="1:47" x14ac:dyDescent="0.35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306"/>
      <c r="W324" s="239"/>
      <c r="X324" s="239"/>
      <c r="Y324" s="239"/>
      <c r="Z324" s="239"/>
      <c r="AA324" s="239"/>
      <c r="AB324" s="239"/>
      <c r="AC324" s="239"/>
      <c r="AD324" s="245"/>
      <c r="AE324" s="239"/>
      <c r="AF324" s="239"/>
      <c r="AG324" s="239"/>
      <c r="AH324" s="239"/>
      <c r="AI324" s="239"/>
      <c r="AJ324" s="239"/>
      <c r="AK324" s="239"/>
      <c r="AL324" s="239"/>
      <c r="AM324" s="245"/>
      <c r="AN324" s="239"/>
      <c r="AO324" s="239"/>
      <c r="AP324" s="239"/>
      <c r="AQ324" s="306"/>
      <c r="AR324" s="239"/>
      <c r="AS324" s="239"/>
      <c r="AT324" s="239"/>
      <c r="AU324" s="239"/>
    </row>
    <row r="325" spans="1:47" x14ac:dyDescent="0.35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306"/>
      <c r="W325" s="239"/>
      <c r="X325" s="239"/>
      <c r="Y325" s="239"/>
      <c r="Z325" s="239"/>
      <c r="AA325" s="239"/>
      <c r="AB325" s="239"/>
      <c r="AC325" s="239"/>
      <c r="AD325" s="245"/>
      <c r="AE325" s="239"/>
      <c r="AF325" s="239"/>
      <c r="AG325" s="239"/>
      <c r="AH325" s="239"/>
      <c r="AI325" s="239"/>
      <c r="AJ325" s="239"/>
      <c r="AK325" s="239"/>
      <c r="AL325" s="239"/>
      <c r="AM325" s="245"/>
      <c r="AN325" s="239"/>
      <c r="AO325" s="239"/>
      <c r="AP325" s="239"/>
      <c r="AQ325" s="306"/>
      <c r="AR325" s="239"/>
      <c r="AS325" s="239"/>
      <c r="AT325" s="239"/>
      <c r="AU325" s="239"/>
    </row>
    <row r="326" spans="1:47" x14ac:dyDescent="0.35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306"/>
      <c r="W326" s="239"/>
      <c r="X326" s="239"/>
      <c r="Y326" s="239"/>
      <c r="Z326" s="239"/>
      <c r="AA326" s="239"/>
      <c r="AB326" s="239"/>
      <c r="AC326" s="239"/>
      <c r="AD326" s="245"/>
      <c r="AE326" s="239"/>
      <c r="AF326" s="239"/>
      <c r="AG326" s="239"/>
      <c r="AH326" s="239"/>
      <c r="AI326" s="239"/>
      <c r="AJ326" s="239"/>
      <c r="AK326" s="239"/>
      <c r="AL326" s="239"/>
      <c r="AM326" s="245"/>
      <c r="AN326" s="239"/>
      <c r="AO326" s="239"/>
      <c r="AP326" s="239"/>
      <c r="AQ326" s="306"/>
      <c r="AR326" s="239"/>
      <c r="AS326" s="239"/>
      <c r="AT326" s="239"/>
      <c r="AU326" s="239"/>
    </row>
    <row r="327" spans="1:47" x14ac:dyDescent="0.35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306"/>
      <c r="W327" s="239"/>
      <c r="X327" s="239"/>
      <c r="Y327" s="239"/>
      <c r="Z327" s="239"/>
      <c r="AA327" s="239"/>
      <c r="AB327" s="239"/>
      <c r="AC327" s="239"/>
      <c r="AD327" s="245"/>
      <c r="AE327" s="239"/>
      <c r="AF327" s="239"/>
      <c r="AG327" s="239"/>
      <c r="AH327" s="239"/>
      <c r="AI327" s="239"/>
      <c r="AJ327" s="239"/>
      <c r="AK327" s="239"/>
      <c r="AL327" s="239"/>
      <c r="AM327" s="245"/>
      <c r="AN327" s="239"/>
      <c r="AO327" s="239"/>
      <c r="AP327" s="239"/>
      <c r="AQ327" s="306"/>
      <c r="AR327" s="239"/>
      <c r="AS327" s="239"/>
      <c r="AT327" s="239"/>
      <c r="AU327" s="239"/>
    </row>
    <row r="328" spans="1:47" x14ac:dyDescent="0.35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306"/>
      <c r="W328" s="239"/>
      <c r="X328" s="239"/>
      <c r="Y328" s="239"/>
      <c r="Z328" s="239"/>
      <c r="AA328" s="239"/>
      <c r="AB328" s="239"/>
      <c r="AC328" s="239"/>
      <c r="AD328" s="245"/>
      <c r="AE328" s="239"/>
      <c r="AF328" s="239"/>
      <c r="AG328" s="239"/>
      <c r="AH328" s="239"/>
      <c r="AI328" s="239"/>
      <c r="AJ328" s="239"/>
      <c r="AK328" s="239"/>
      <c r="AL328" s="239"/>
      <c r="AM328" s="245"/>
      <c r="AN328" s="239"/>
      <c r="AO328" s="239"/>
      <c r="AP328" s="239"/>
      <c r="AQ328" s="306"/>
      <c r="AR328" s="239"/>
      <c r="AS328" s="239"/>
      <c r="AT328" s="239"/>
      <c r="AU328" s="239"/>
    </row>
    <row r="329" spans="1:47" x14ac:dyDescent="0.35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306"/>
      <c r="W329" s="239"/>
      <c r="X329" s="239"/>
      <c r="Y329" s="239"/>
      <c r="Z329" s="239"/>
      <c r="AA329" s="239"/>
      <c r="AB329" s="239"/>
      <c r="AC329" s="239"/>
      <c r="AD329" s="245"/>
      <c r="AE329" s="239"/>
      <c r="AF329" s="239"/>
      <c r="AG329" s="239"/>
      <c r="AH329" s="239"/>
      <c r="AI329" s="239"/>
      <c r="AJ329" s="239"/>
      <c r="AK329" s="239"/>
      <c r="AL329" s="239"/>
      <c r="AM329" s="245"/>
      <c r="AN329" s="239"/>
      <c r="AO329" s="239"/>
      <c r="AP329" s="239"/>
      <c r="AQ329" s="306"/>
      <c r="AR329" s="239"/>
      <c r="AS329" s="239"/>
      <c r="AT329" s="239"/>
      <c r="AU329" s="239"/>
    </row>
    <row r="330" spans="1:47" x14ac:dyDescent="0.35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306"/>
      <c r="W330" s="239"/>
      <c r="X330" s="239"/>
      <c r="Y330" s="239"/>
      <c r="Z330" s="239"/>
      <c r="AA330" s="239"/>
      <c r="AB330" s="239"/>
      <c r="AC330" s="239"/>
      <c r="AD330" s="245"/>
      <c r="AE330" s="239"/>
      <c r="AF330" s="239"/>
      <c r="AG330" s="239"/>
      <c r="AH330" s="239"/>
      <c r="AI330" s="239"/>
      <c r="AJ330" s="239"/>
      <c r="AK330" s="239"/>
      <c r="AL330" s="239"/>
      <c r="AM330" s="245"/>
      <c r="AN330" s="239"/>
      <c r="AO330" s="239"/>
      <c r="AP330" s="239"/>
      <c r="AQ330" s="306"/>
      <c r="AR330" s="239"/>
      <c r="AS330" s="239"/>
      <c r="AT330" s="239"/>
      <c r="AU330" s="239"/>
    </row>
    <row r="331" spans="1:47" x14ac:dyDescent="0.35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306"/>
      <c r="W331" s="239"/>
      <c r="X331" s="239"/>
      <c r="Y331" s="239"/>
      <c r="Z331" s="239"/>
      <c r="AA331" s="239"/>
      <c r="AB331" s="239"/>
      <c r="AC331" s="239"/>
      <c r="AD331" s="245"/>
      <c r="AE331" s="239"/>
      <c r="AF331" s="239"/>
      <c r="AG331" s="239"/>
      <c r="AH331" s="239"/>
      <c r="AI331" s="239"/>
      <c r="AJ331" s="239"/>
      <c r="AK331" s="239"/>
      <c r="AL331" s="239"/>
      <c r="AM331" s="245"/>
      <c r="AN331" s="239"/>
      <c r="AO331" s="239"/>
      <c r="AP331" s="239"/>
      <c r="AQ331" s="306"/>
      <c r="AR331" s="239"/>
      <c r="AS331" s="239"/>
      <c r="AT331" s="239"/>
      <c r="AU331" s="239"/>
    </row>
    <row r="332" spans="1:47" x14ac:dyDescent="0.35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306"/>
      <c r="W332" s="239"/>
      <c r="X332" s="239"/>
      <c r="Y332" s="239"/>
      <c r="Z332" s="239"/>
      <c r="AA332" s="239"/>
      <c r="AB332" s="239"/>
      <c r="AC332" s="239"/>
      <c r="AD332" s="245"/>
      <c r="AE332" s="239"/>
      <c r="AF332" s="239"/>
      <c r="AG332" s="239"/>
      <c r="AH332" s="239"/>
      <c r="AI332" s="239"/>
      <c r="AJ332" s="239"/>
      <c r="AK332" s="239"/>
      <c r="AL332" s="239"/>
      <c r="AM332" s="245"/>
      <c r="AN332" s="239"/>
      <c r="AO332" s="239"/>
      <c r="AP332" s="239"/>
      <c r="AQ332" s="306"/>
      <c r="AR332" s="239"/>
      <c r="AS332" s="239"/>
      <c r="AT332" s="239"/>
      <c r="AU332" s="239"/>
    </row>
    <row r="333" spans="1:47" x14ac:dyDescent="0.35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306"/>
      <c r="W333" s="239"/>
      <c r="X333" s="239"/>
      <c r="Y333" s="239"/>
      <c r="Z333" s="239"/>
      <c r="AA333" s="239"/>
      <c r="AB333" s="239"/>
      <c r="AC333" s="239"/>
      <c r="AD333" s="245"/>
      <c r="AE333" s="239"/>
      <c r="AF333" s="239"/>
      <c r="AG333" s="239"/>
      <c r="AH333" s="239"/>
      <c r="AI333" s="239"/>
      <c r="AJ333" s="239"/>
      <c r="AK333" s="239"/>
      <c r="AL333" s="239"/>
      <c r="AM333" s="245"/>
      <c r="AN333" s="239"/>
      <c r="AO333" s="239"/>
      <c r="AP333" s="239"/>
      <c r="AQ333" s="306"/>
      <c r="AR333" s="239"/>
      <c r="AS333" s="239"/>
      <c r="AT333" s="239"/>
      <c r="AU333" s="239"/>
    </row>
    <row r="334" spans="1:47" x14ac:dyDescent="0.35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306"/>
      <c r="W334" s="239"/>
      <c r="X334" s="239"/>
      <c r="Y334" s="239"/>
      <c r="Z334" s="239"/>
      <c r="AA334" s="239"/>
      <c r="AB334" s="239"/>
      <c r="AC334" s="239"/>
      <c r="AD334" s="245"/>
      <c r="AE334" s="239"/>
      <c r="AF334" s="239"/>
      <c r="AG334" s="239"/>
      <c r="AH334" s="239"/>
      <c r="AI334" s="239"/>
      <c r="AJ334" s="239"/>
      <c r="AK334" s="239"/>
      <c r="AL334" s="239"/>
      <c r="AM334" s="245"/>
      <c r="AN334" s="239"/>
      <c r="AO334" s="239"/>
      <c r="AP334" s="239"/>
      <c r="AQ334" s="306"/>
      <c r="AR334" s="239"/>
      <c r="AS334" s="239"/>
      <c r="AT334" s="239"/>
      <c r="AU334" s="239"/>
    </row>
    <row r="335" spans="1:47" x14ac:dyDescent="0.35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306"/>
      <c r="W335" s="239"/>
      <c r="X335" s="239"/>
      <c r="Y335" s="239"/>
      <c r="Z335" s="239"/>
      <c r="AA335" s="239"/>
      <c r="AB335" s="239"/>
      <c r="AC335" s="239"/>
      <c r="AD335" s="245"/>
      <c r="AE335" s="239"/>
      <c r="AF335" s="239"/>
      <c r="AG335" s="239"/>
      <c r="AH335" s="239"/>
      <c r="AI335" s="239"/>
      <c r="AJ335" s="239"/>
      <c r="AK335" s="239"/>
      <c r="AL335" s="239"/>
      <c r="AM335" s="245"/>
      <c r="AN335" s="239"/>
      <c r="AO335" s="239"/>
      <c r="AP335" s="239"/>
      <c r="AQ335" s="306"/>
      <c r="AR335" s="239"/>
      <c r="AS335" s="239"/>
      <c r="AT335" s="239"/>
      <c r="AU335" s="239"/>
    </row>
    <row r="336" spans="1:47" x14ac:dyDescent="0.35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306"/>
      <c r="W336" s="239"/>
      <c r="X336" s="239"/>
      <c r="Y336" s="239"/>
      <c r="Z336" s="239"/>
      <c r="AA336" s="239"/>
      <c r="AB336" s="239"/>
      <c r="AC336" s="239"/>
      <c r="AD336" s="245"/>
      <c r="AE336" s="239"/>
      <c r="AF336" s="239"/>
      <c r="AG336" s="239"/>
      <c r="AH336" s="239"/>
      <c r="AI336" s="239"/>
      <c r="AJ336" s="239"/>
      <c r="AK336" s="239"/>
      <c r="AL336" s="239"/>
      <c r="AM336" s="245"/>
      <c r="AN336" s="239"/>
      <c r="AO336" s="239"/>
      <c r="AP336" s="239"/>
      <c r="AQ336" s="306"/>
      <c r="AR336" s="239"/>
      <c r="AS336" s="239"/>
      <c r="AT336" s="239"/>
      <c r="AU336" s="239"/>
    </row>
    <row r="337" spans="1:47" x14ac:dyDescent="0.35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306"/>
      <c r="W337" s="239"/>
      <c r="X337" s="239"/>
      <c r="Y337" s="239"/>
      <c r="Z337" s="239"/>
      <c r="AA337" s="239"/>
      <c r="AB337" s="239"/>
      <c r="AC337" s="239"/>
      <c r="AD337" s="245"/>
      <c r="AE337" s="239"/>
      <c r="AF337" s="239"/>
      <c r="AG337" s="239"/>
      <c r="AH337" s="239"/>
      <c r="AI337" s="239"/>
      <c r="AJ337" s="239"/>
      <c r="AK337" s="239"/>
      <c r="AL337" s="239"/>
      <c r="AM337" s="245"/>
      <c r="AN337" s="239"/>
      <c r="AO337" s="239"/>
      <c r="AP337" s="239"/>
      <c r="AQ337" s="306"/>
      <c r="AR337" s="239"/>
      <c r="AS337" s="239"/>
      <c r="AT337" s="239"/>
      <c r="AU337" s="239"/>
    </row>
    <row r="338" spans="1:47" x14ac:dyDescent="0.35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306"/>
      <c r="W338" s="239"/>
      <c r="X338" s="239"/>
      <c r="Y338" s="239"/>
      <c r="Z338" s="239"/>
      <c r="AA338" s="239"/>
      <c r="AB338" s="239"/>
      <c r="AC338" s="239"/>
      <c r="AD338" s="245"/>
      <c r="AE338" s="239"/>
      <c r="AF338" s="239"/>
      <c r="AG338" s="239"/>
      <c r="AH338" s="239"/>
      <c r="AI338" s="239"/>
      <c r="AJ338" s="239"/>
      <c r="AK338" s="239"/>
      <c r="AL338" s="239"/>
      <c r="AM338" s="245"/>
      <c r="AN338" s="239"/>
      <c r="AO338" s="239"/>
      <c r="AP338" s="239"/>
      <c r="AQ338" s="306"/>
      <c r="AR338" s="239"/>
      <c r="AS338" s="239"/>
      <c r="AT338" s="239"/>
      <c r="AU338" s="239"/>
    </row>
    <row r="339" spans="1:47" x14ac:dyDescent="0.35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306"/>
      <c r="W339" s="239"/>
      <c r="X339" s="239"/>
      <c r="Y339" s="239"/>
      <c r="Z339" s="239"/>
      <c r="AA339" s="239"/>
      <c r="AB339" s="239"/>
      <c r="AC339" s="239"/>
      <c r="AD339" s="245"/>
      <c r="AE339" s="239"/>
      <c r="AF339" s="239"/>
      <c r="AG339" s="239"/>
      <c r="AH339" s="239"/>
      <c r="AI339" s="239"/>
      <c r="AJ339" s="239"/>
      <c r="AK339" s="239"/>
      <c r="AL339" s="239"/>
      <c r="AM339" s="245"/>
      <c r="AN339" s="239"/>
      <c r="AO339" s="239"/>
      <c r="AP339" s="239"/>
      <c r="AQ339" s="306"/>
      <c r="AR339" s="239"/>
      <c r="AS339" s="239"/>
      <c r="AT339" s="239"/>
      <c r="AU339" s="239"/>
    </row>
    <row r="340" spans="1:47" x14ac:dyDescent="0.35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306"/>
      <c r="W340" s="239"/>
      <c r="X340" s="239"/>
      <c r="Y340" s="239"/>
      <c r="Z340" s="239"/>
      <c r="AA340" s="239"/>
      <c r="AB340" s="239"/>
      <c r="AC340" s="239"/>
      <c r="AD340" s="245"/>
      <c r="AE340" s="239"/>
      <c r="AF340" s="239"/>
      <c r="AG340" s="239"/>
      <c r="AH340" s="239"/>
      <c r="AI340" s="239"/>
      <c r="AJ340" s="239"/>
      <c r="AK340" s="239"/>
      <c r="AL340" s="239"/>
      <c r="AM340" s="245"/>
      <c r="AN340" s="239"/>
      <c r="AO340" s="239"/>
      <c r="AP340" s="239"/>
      <c r="AQ340" s="306"/>
      <c r="AR340" s="239"/>
      <c r="AS340" s="239"/>
      <c r="AT340" s="239"/>
      <c r="AU340" s="239"/>
    </row>
    <row r="341" spans="1:47" x14ac:dyDescent="0.35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306"/>
      <c r="W341" s="239"/>
      <c r="X341" s="239"/>
      <c r="Y341" s="239"/>
      <c r="Z341" s="239"/>
      <c r="AA341" s="239"/>
      <c r="AB341" s="239"/>
      <c r="AC341" s="239"/>
      <c r="AD341" s="245"/>
      <c r="AE341" s="239"/>
      <c r="AF341" s="239"/>
      <c r="AG341" s="239"/>
      <c r="AH341" s="239"/>
      <c r="AI341" s="239"/>
      <c r="AJ341" s="239"/>
      <c r="AK341" s="239"/>
      <c r="AL341" s="239"/>
      <c r="AM341" s="245"/>
      <c r="AN341" s="239"/>
      <c r="AO341" s="239"/>
      <c r="AP341" s="239"/>
      <c r="AQ341" s="306"/>
      <c r="AR341" s="239"/>
      <c r="AS341" s="239"/>
      <c r="AT341" s="239"/>
      <c r="AU341" s="239"/>
    </row>
    <row r="342" spans="1:47" x14ac:dyDescent="0.35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306"/>
      <c r="W342" s="239"/>
      <c r="X342" s="239"/>
      <c r="Y342" s="239"/>
      <c r="Z342" s="239"/>
      <c r="AA342" s="239"/>
      <c r="AB342" s="239"/>
      <c r="AC342" s="239"/>
      <c r="AD342" s="245"/>
      <c r="AE342" s="239"/>
      <c r="AF342" s="239"/>
      <c r="AG342" s="239"/>
      <c r="AH342" s="239"/>
      <c r="AI342" s="239"/>
      <c r="AJ342" s="239"/>
      <c r="AK342" s="239"/>
      <c r="AL342" s="239"/>
      <c r="AM342" s="245"/>
      <c r="AN342" s="239"/>
      <c r="AO342" s="239"/>
      <c r="AP342" s="239"/>
      <c r="AQ342" s="306"/>
      <c r="AR342" s="239"/>
      <c r="AS342" s="239"/>
      <c r="AT342" s="239"/>
      <c r="AU342" s="239"/>
    </row>
    <row r="343" spans="1:47" x14ac:dyDescent="0.35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306"/>
      <c r="W343" s="239"/>
      <c r="X343" s="239"/>
      <c r="Y343" s="239"/>
      <c r="Z343" s="239"/>
      <c r="AA343" s="239"/>
      <c r="AB343" s="239"/>
      <c r="AC343" s="239"/>
      <c r="AD343" s="245"/>
      <c r="AE343" s="239"/>
      <c r="AF343" s="239"/>
      <c r="AG343" s="239"/>
      <c r="AH343" s="239"/>
      <c r="AI343" s="239"/>
      <c r="AJ343" s="239"/>
      <c r="AK343" s="239"/>
      <c r="AL343" s="239"/>
      <c r="AM343" s="245"/>
      <c r="AN343" s="239"/>
      <c r="AO343" s="239"/>
      <c r="AP343" s="239"/>
      <c r="AQ343" s="306"/>
      <c r="AR343" s="239"/>
      <c r="AS343" s="239"/>
      <c r="AT343" s="239"/>
      <c r="AU343" s="239"/>
    </row>
    <row r="344" spans="1:47" x14ac:dyDescent="0.35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306"/>
      <c r="W344" s="239"/>
      <c r="X344" s="239"/>
      <c r="Y344" s="239"/>
      <c r="Z344" s="239"/>
      <c r="AA344" s="239"/>
      <c r="AB344" s="239"/>
      <c r="AC344" s="239"/>
      <c r="AD344" s="245"/>
      <c r="AE344" s="239"/>
      <c r="AF344" s="239"/>
      <c r="AG344" s="239"/>
      <c r="AH344" s="239"/>
      <c r="AI344" s="239"/>
      <c r="AJ344" s="239"/>
      <c r="AK344" s="239"/>
      <c r="AL344" s="239"/>
      <c r="AM344" s="245"/>
      <c r="AN344" s="239"/>
      <c r="AO344" s="239"/>
      <c r="AP344" s="239"/>
      <c r="AQ344" s="306"/>
      <c r="AR344" s="239"/>
      <c r="AS344" s="239"/>
      <c r="AT344" s="239"/>
      <c r="AU344" s="239"/>
    </row>
    <row r="345" spans="1:47" x14ac:dyDescent="0.35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306"/>
      <c r="W345" s="239"/>
      <c r="X345" s="239"/>
      <c r="Y345" s="239"/>
      <c r="Z345" s="239"/>
      <c r="AA345" s="239"/>
      <c r="AB345" s="239"/>
      <c r="AC345" s="239"/>
      <c r="AD345" s="245"/>
      <c r="AE345" s="239"/>
      <c r="AF345" s="239"/>
      <c r="AG345" s="239"/>
      <c r="AH345" s="239"/>
      <c r="AI345" s="239"/>
      <c r="AJ345" s="239"/>
      <c r="AK345" s="239"/>
      <c r="AL345" s="239"/>
      <c r="AM345" s="245"/>
      <c r="AN345" s="239"/>
      <c r="AO345" s="239"/>
      <c r="AP345" s="239"/>
      <c r="AQ345" s="306"/>
      <c r="AR345" s="239"/>
      <c r="AS345" s="239"/>
      <c r="AT345" s="239"/>
      <c r="AU345" s="239"/>
    </row>
    <row r="346" spans="1:47" x14ac:dyDescent="0.35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306"/>
      <c r="W346" s="239"/>
      <c r="X346" s="239"/>
      <c r="Y346" s="239"/>
      <c r="Z346" s="239"/>
      <c r="AA346" s="239"/>
      <c r="AB346" s="239"/>
      <c r="AC346" s="239"/>
      <c r="AD346" s="245"/>
      <c r="AE346" s="239"/>
      <c r="AF346" s="239"/>
      <c r="AG346" s="239"/>
      <c r="AH346" s="239"/>
      <c r="AI346" s="239"/>
      <c r="AJ346" s="239"/>
      <c r="AK346" s="239"/>
      <c r="AL346" s="239"/>
      <c r="AM346" s="245"/>
      <c r="AN346" s="239"/>
      <c r="AO346" s="239"/>
      <c r="AP346" s="239"/>
      <c r="AQ346" s="306"/>
      <c r="AR346" s="239"/>
      <c r="AS346" s="239"/>
      <c r="AT346" s="239"/>
      <c r="AU346" s="239"/>
    </row>
    <row r="347" spans="1:47" x14ac:dyDescent="0.35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306"/>
      <c r="W347" s="239"/>
      <c r="X347" s="239"/>
      <c r="Y347" s="239"/>
      <c r="Z347" s="239"/>
      <c r="AA347" s="239"/>
      <c r="AB347" s="239"/>
      <c r="AC347" s="239"/>
      <c r="AD347" s="245"/>
      <c r="AE347" s="239"/>
      <c r="AF347" s="239"/>
      <c r="AG347" s="239"/>
      <c r="AH347" s="239"/>
      <c r="AI347" s="239"/>
      <c r="AJ347" s="239"/>
      <c r="AK347" s="239"/>
      <c r="AL347" s="239"/>
      <c r="AM347" s="245"/>
      <c r="AN347" s="239"/>
      <c r="AO347" s="239"/>
      <c r="AP347" s="239"/>
      <c r="AQ347" s="306"/>
      <c r="AR347" s="239"/>
      <c r="AS347" s="239"/>
      <c r="AT347" s="239"/>
      <c r="AU347" s="239"/>
    </row>
    <row r="348" spans="1:47" x14ac:dyDescent="0.35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306"/>
      <c r="W348" s="239"/>
      <c r="X348" s="239"/>
      <c r="Y348" s="239"/>
      <c r="Z348" s="239"/>
      <c r="AA348" s="239"/>
      <c r="AB348" s="239"/>
      <c r="AC348" s="239"/>
      <c r="AD348" s="245"/>
      <c r="AE348" s="239"/>
      <c r="AF348" s="239"/>
      <c r="AG348" s="239"/>
      <c r="AH348" s="239"/>
      <c r="AI348" s="239"/>
      <c r="AJ348" s="239"/>
      <c r="AK348" s="239"/>
      <c r="AL348" s="239"/>
      <c r="AM348" s="245"/>
      <c r="AN348" s="239"/>
      <c r="AO348" s="239"/>
      <c r="AP348" s="239"/>
      <c r="AQ348" s="306"/>
      <c r="AR348" s="239"/>
      <c r="AS348" s="239"/>
      <c r="AT348" s="239"/>
      <c r="AU348" s="239"/>
    </row>
    <row r="349" spans="1:47" x14ac:dyDescent="0.35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306"/>
      <c r="W349" s="239"/>
      <c r="X349" s="239"/>
      <c r="Y349" s="239"/>
      <c r="Z349" s="239"/>
      <c r="AA349" s="239"/>
      <c r="AB349" s="239"/>
      <c r="AC349" s="239"/>
      <c r="AD349" s="245"/>
      <c r="AE349" s="239"/>
      <c r="AF349" s="239"/>
      <c r="AG349" s="239"/>
      <c r="AH349" s="239"/>
      <c r="AI349" s="239"/>
      <c r="AJ349" s="239"/>
      <c r="AK349" s="239"/>
      <c r="AL349" s="239"/>
      <c r="AM349" s="245"/>
      <c r="AN349" s="239"/>
      <c r="AO349" s="239"/>
      <c r="AP349" s="239"/>
      <c r="AQ349" s="306"/>
      <c r="AR349" s="239"/>
      <c r="AS349" s="239"/>
      <c r="AT349" s="239"/>
      <c r="AU349" s="239"/>
    </row>
    <row r="350" spans="1:47" x14ac:dyDescent="0.35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306"/>
      <c r="W350" s="239"/>
      <c r="X350" s="239"/>
      <c r="Y350" s="239"/>
      <c r="Z350" s="239"/>
      <c r="AA350" s="239"/>
      <c r="AB350" s="239"/>
      <c r="AC350" s="239"/>
      <c r="AD350" s="245"/>
      <c r="AE350" s="239"/>
      <c r="AF350" s="239"/>
      <c r="AG350" s="239"/>
      <c r="AH350" s="239"/>
      <c r="AI350" s="239"/>
      <c r="AJ350" s="239"/>
      <c r="AK350" s="239"/>
      <c r="AL350" s="239"/>
      <c r="AM350" s="245"/>
      <c r="AN350" s="239"/>
      <c r="AO350" s="239"/>
      <c r="AP350" s="239"/>
      <c r="AQ350" s="306"/>
      <c r="AR350" s="239"/>
      <c r="AS350" s="239"/>
      <c r="AT350" s="239"/>
      <c r="AU350" s="239"/>
    </row>
    <row r="351" spans="1:47" x14ac:dyDescent="0.35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306"/>
      <c r="W351" s="239"/>
      <c r="X351" s="239"/>
      <c r="Y351" s="239"/>
      <c r="Z351" s="239"/>
      <c r="AA351" s="239"/>
      <c r="AB351" s="239"/>
      <c r="AC351" s="239"/>
      <c r="AD351" s="245"/>
      <c r="AE351" s="239"/>
      <c r="AF351" s="239"/>
      <c r="AG351" s="239"/>
      <c r="AH351" s="239"/>
      <c r="AI351" s="239"/>
      <c r="AJ351" s="239"/>
      <c r="AK351" s="239"/>
      <c r="AL351" s="239"/>
      <c r="AM351" s="245"/>
      <c r="AN351" s="239"/>
      <c r="AO351" s="239"/>
      <c r="AP351" s="239"/>
      <c r="AQ351" s="306"/>
      <c r="AR351" s="239"/>
      <c r="AS351" s="239"/>
      <c r="AT351" s="239"/>
      <c r="AU351" s="239"/>
    </row>
    <row r="352" spans="1:47" x14ac:dyDescent="0.35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306"/>
      <c r="W352" s="239"/>
      <c r="X352" s="239"/>
      <c r="Y352" s="239"/>
      <c r="Z352" s="239"/>
      <c r="AA352" s="239"/>
      <c r="AB352" s="239"/>
      <c r="AC352" s="239"/>
      <c r="AD352" s="245"/>
      <c r="AE352" s="239"/>
      <c r="AF352" s="239"/>
      <c r="AG352" s="239"/>
      <c r="AH352" s="239"/>
      <c r="AI352" s="239"/>
      <c r="AJ352" s="239"/>
      <c r="AK352" s="239"/>
      <c r="AL352" s="239"/>
      <c r="AM352" s="245"/>
      <c r="AN352" s="239"/>
      <c r="AO352" s="239"/>
      <c r="AP352" s="239"/>
      <c r="AQ352" s="306"/>
      <c r="AR352" s="239"/>
      <c r="AS352" s="239"/>
      <c r="AT352" s="239"/>
      <c r="AU352" s="239"/>
    </row>
    <row r="353" spans="1:47" x14ac:dyDescent="0.35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306"/>
      <c r="W353" s="239"/>
      <c r="X353" s="239"/>
      <c r="Y353" s="239"/>
      <c r="Z353" s="239"/>
      <c r="AA353" s="239"/>
      <c r="AB353" s="239"/>
      <c r="AC353" s="239"/>
      <c r="AD353" s="245"/>
      <c r="AE353" s="239"/>
      <c r="AF353" s="239"/>
      <c r="AG353" s="239"/>
      <c r="AH353" s="239"/>
      <c r="AI353" s="239"/>
      <c r="AJ353" s="239"/>
      <c r="AK353" s="239"/>
      <c r="AL353" s="239"/>
      <c r="AM353" s="245"/>
      <c r="AN353" s="239"/>
      <c r="AO353" s="239"/>
      <c r="AP353" s="239"/>
      <c r="AQ353" s="306"/>
      <c r="AR353" s="239"/>
      <c r="AS353" s="239"/>
      <c r="AT353" s="239"/>
      <c r="AU353" s="239"/>
    </row>
    <row r="354" spans="1:47" x14ac:dyDescent="0.35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306"/>
      <c r="W354" s="239"/>
      <c r="X354" s="239"/>
      <c r="Y354" s="239"/>
      <c r="Z354" s="239"/>
      <c r="AA354" s="239"/>
      <c r="AB354" s="239"/>
      <c r="AC354" s="239"/>
      <c r="AD354" s="245"/>
      <c r="AE354" s="239"/>
      <c r="AF354" s="239"/>
      <c r="AG354" s="239"/>
      <c r="AH354" s="239"/>
      <c r="AI354" s="239"/>
      <c r="AJ354" s="239"/>
      <c r="AK354" s="239"/>
      <c r="AL354" s="239"/>
      <c r="AM354" s="245"/>
      <c r="AN354" s="239"/>
      <c r="AO354" s="239"/>
      <c r="AP354" s="239"/>
      <c r="AQ354" s="306"/>
      <c r="AR354" s="239"/>
      <c r="AS354" s="239"/>
      <c r="AT354" s="239"/>
      <c r="AU354" s="239"/>
    </row>
    <row r="355" spans="1:47" x14ac:dyDescent="0.35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306"/>
      <c r="W355" s="239"/>
      <c r="X355" s="239"/>
      <c r="Y355" s="239"/>
      <c r="Z355" s="239"/>
      <c r="AA355" s="239"/>
      <c r="AB355" s="239"/>
      <c r="AC355" s="239"/>
      <c r="AD355" s="245"/>
      <c r="AE355" s="239"/>
      <c r="AF355" s="239"/>
      <c r="AG355" s="239"/>
      <c r="AH355" s="239"/>
      <c r="AI355" s="239"/>
      <c r="AJ355" s="239"/>
      <c r="AK355" s="239"/>
      <c r="AL355" s="239"/>
      <c r="AM355" s="245"/>
      <c r="AN355" s="239"/>
      <c r="AO355" s="239"/>
      <c r="AP355" s="239"/>
      <c r="AQ355" s="306"/>
      <c r="AR355" s="239"/>
      <c r="AS355" s="239"/>
      <c r="AT355" s="239"/>
      <c r="AU355" s="239"/>
    </row>
    <row r="356" spans="1:47" x14ac:dyDescent="0.35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306"/>
      <c r="W356" s="239"/>
      <c r="X356" s="239"/>
      <c r="Y356" s="239"/>
      <c r="Z356" s="239"/>
      <c r="AA356" s="239"/>
      <c r="AB356" s="239"/>
      <c r="AC356" s="239"/>
      <c r="AD356" s="245"/>
      <c r="AE356" s="239"/>
      <c r="AF356" s="239"/>
      <c r="AG356" s="239"/>
      <c r="AH356" s="239"/>
      <c r="AI356" s="239"/>
      <c r="AJ356" s="239"/>
      <c r="AK356" s="239"/>
      <c r="AL356" s="239"/>
      <c r="AM356" s="245"/>
      <c r="AN356" s="239"/>
      <c r="AO356" s="239"/>
      <c r="AP356" s="239"/>
      <c r="AQ356" s="306"/>
      <c r="AR356" s="239"/>
      <c r="AS356" s="239"/>
      <c r="AT356" s="239"/>
      <c r="AU356" s="239"/>
    </row>
    <row r="357" spans="1:47" x14ac:dyDescent="0.35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306"/>
      <c r="W357" s="239"/>
      <c r="X357" s="239"/>
      <c r="Y357" s="239"/>
      <c r="Z357" s="239"/>
      <c r="AA357" s="239"/>
      <c r="AB357" s="239"/>
      <c r="AC357" s="239"/>
      <c r="AD357" s="245"/>
      <c r="AE357" s="239"/>
      <c r="AF357" s="239"/>
      <c r="AG357" s="239"/>
      <c r="AH357" s="239"/>
      <c r="AI357" s="239"/>
      <c r="AJ357" s="239"/>
      <c r="AK357" s="239"/>
      <c r="AL357" s="239"/>
      <c r="AM357" s="245"/>
      <c r="AN357" s="239"/>
      <c r="AO357" s="239"/>
      <c r="AP357" s="239"/>
      <c r="AQ357" s="306"/>
      <c r="AR357" s="239"/>
      <c r="AS357" s="239"/>
      <c r="AT357" s="239"/>
      <c r="AU357" s="239"/>
    </row>
    <row r="358" spans="1:47" x14ac:dyDescent="0.35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306"/>
      <c r="W358" s="239"/>
      <c r="X358" s="239"/>
      <c r="Y358" s="239"/>
      <c r="Z358" s="239"/>
      <c r="AA358" s="239"/>
      <c r="AB358" s="239"/>
      <c r="AC358" s="239"/>
      <c r="AD358" s="245"/>
      <c r="AE358" s="239"/>
      <c r="AF358" s="239"/>
      <c r="AG358" s="239"/>
      <c r="AH358" s="239"/>
      <c r="AI358" s="239"/>
      <c r="AJ358" s="239"/>
      <c r="AK358" s="239"/>
      <c r="AL358" s="239"/>
      <c r="AM358" s="245"/>
      <c r="AN358" s="239"/>
      <c r="AO358" s="239"/>
      <c r="AP358" s="239"/>
      <c r="AQ358" s="306"/>
      <c r="AR358" s="239"/>
      <c r="AS358" s="239"/>
      <c r="AT358" s="239"/>
      <c r="AU358" s="239"/>
    </row>
    <row r="359" spans="1:47" x14ac:dyDescent="0.35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306"/>
      <c r="W359" s="239"/>
      <c r="X359" s="239"/>
      <c r="Y359" s="239"/>
      <c r="Z359" s="239"/>
      <c r="AA359" s="239"/>
      <c r="AB359" s="239"/>
      <c r="AC359" s="239"/>
      <c r="AD359" s="245"/>
      <c r="AE359" s="239"/>
      <c r="AF359" s="239"/>
      <c r="AG359" s="239"/>
      <c r="AH359" s="239"/>
      <c r="AI359" s="239"/>
      <c r="AJ359" s="239"/>
      <c r="AK359" s="239"/>
      <c r="AL359" s="239"/>
      <c r="AM359" s="245"/>
      <c r="AN359" s="239"/>
      <c r="AO359" s="239"/>
      <c r="AP359" s="239"/>
      <c r="AQ359" s="306"/>
      <c r="AR359" s="239"/>
      <c r="AS359" s="239"/>
      <c r="AT359" s="239"/>
      <c r="AU359" s="239"/>
    </row>
    <row r="360" spans="1:47" x14ac:dyDescent="0.35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306"/>
      <c r="W360" s="239"/>
      <c r="X360" s="239"/>
      <c r="Y360" s="239"/>
      <c r="Z360" s="239"/>
      <c r="AA360" s="239"/>
      <c r="AB360" s="239"/>
      <c r="AC360" s="239"/>
      <c r="AD360" s="245"/>
      <c r="AE360" s="239"/>
      <c r="AF360" s="239"/>
      <c r="AG360" s="239"/>
      <c r="AH360" s="239"/>
      <c r="AI360" s="239"/>
      <c r="AJ360" s="239"/>
      <c r="AK360" s="239"/>
      <c r="AL360" s="239"/>
      <c r="AM360" s="245"/>
      <c r="AN360" s="239"/>
      <c r="AO360" s="239"/>
      <c r="AP360" s="239"/>
      <c r="AQ360" s="306"/>
      <c r="AR360" s="239"/>
      <c r="AS360" s="239"/>
      <c r="AT360" s="239"/>
      <c r="AU360" s="239"/>
    </row>
    <row r="361" spans="1:47" x14ac:dyDescent="0.35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306"/>
      <c r="W361" s="239"/>
      <c r="X361" s="239"/>
      <c r="Y361" s="239"/>
      <c r="Z361" s="239"/>
      <c r="AA361" s="239"/>
      <c r="AB361" s="239"/>
      <c r="AC361" s="239"/>
      <c r="AD361" s="245"/>
      <c r="AE361" s="239"/>
      <c r="AF361" s="239"/>
      <c r="AG361" s="239"/>
      <c r="AH361" s="239"/>
      <c r="AI361" s="239"/>
      <c r="AJ361" s="239"/>
      <c r="AK361" s="239"/>
      <c r="AL361" s="239"/>
      <c r="AM361" s="245"/>
      <c r="AN361" s="239"/>
      <c r="AO361" s="239"/>
      <c r="AP361" s="239"/>
      <c r="AQ361" s="306"/>
      <c r="AR361" s="239"/>
      <c r="AS361" s="239"/>
      <c r="AT361" s="239"/>
      <c r="AU361" s="239"/>
    </row>
    <row r="362" spans="1:47" x14ac:dyDescent="0.35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306"/>
      <c r="W362" s="239"/>
      <c r="X362" s="239"/>
      <c r="Y362" s="239"/>
      <c r="Z362" s="239"/>
      <c r="AA362" s="239"/>
      <c r="AB362" s="239"/>
      <c r="AC362" s="239"/>
      <c r="AD362" s="245"/>
      <c r="AE362" s="239"/>
      <c r="AF362" s="239"/>
      <c r="AG362" s="239"/>
      <c r="AH362" s="239"/>
      <c r="AI362" s="239"/>
      <c r="AJ362" s="239"/>
      <c r="AK362" s="239"/>
      <c r="AL362" s="239"/>
      <c r="AM362" s="245"/>
      <c r="AN362" s="239"/>
      <c r="AO362" s="239"/>
      <c r="AP362" s="239"/>
      <c r="AQ362" s="306"/>
      <c r="AR362" s="239"/>
      <c r="AS362" s="239"/>
      <c r="AT362" s="239"/>
      <c r="AU362" s="239"/>
    </row>
    <row r="363" spans="1:47" x14ac:dyDescent="0.35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306"/>
      <c r="W363" s="239"/>
      <c r="X363" s="239"/>
      <c r="Y363" s="239"/>
      <c r="Z363" s="239"/>
      <c r="AA363" s="239"/>
      <c r="AB363" s="239"/>
      <c r="AC363" s="239"/>
      <c r="AD363" s="245"/>
      <c r="AE363" s="239"/>
      <c r="AF363" s="239"/>
      <c r="AG363" s="239"/>
      <c r="AH363" s="239"/>
      <c r="AI363" s="239"/>
      <c r="AJ363" s="239"/>
      <c r="AK363" s="239"/>
      <c r="AL363" s="239"/>
      <c r="AM363" s="245"/>
      <c r="AN363" s="239"/>
      <c r="AO363" s="239"/>
      <c r="AP363" s="239"/>
      <c r="AQ363" s="306"/>
      <c r="AR363" s="239"/>
      <c r="AS363" s="239"/>
      <c r="AT363" s="239"/>
      <c r="AU363" s="239"/>
    </row>
    <row r="364" spans="1:47" x14ac:dyDescent="0.35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306"/>
      <c r="W364" s="239"/>
      <c r="X364" s="239"/>
      <c r="Y364" s="239"/>
      <c r="Z364" s="239"/>
      <c r="AA364" s="239"/>
      <c r="AB364" s="239"/>
      <c r="AC364" s="239"/>
      <c r="AD364" s="245"/>
      <c r="AE364" s="239"/>
      <c r="AF364" s="239"/>
      <c r="AG364" s="239"/>
      <c r="AH364" s="239"/>
      <c r="AI364" s="239"/>
      <c r="AJ364" s="239"/>
      <c r="AK364" s="239"/>
      <c r="AL364" s="239"/>
      <c r="AM364" s="245"/>
      <c r="AN364" s="239"/>
      <c r="AO364" s="239"/>
      <c r="AP364" s="239"/>
      <c r="AQ364" s="306"/>
      <c r="AR364" s="239"/>
      <c r="AS364" s="239"/>
      <c r="AT364" s="239"/>
      <c r="AU364" s="239"/>
    </row>
    <row r="365" spans="1:47" x14ac:dyDescent="0.35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306"/>
      <c r="W365" s="239"/>
      <c r="X365" s="239"/>
      <c r="Y365" s="239"/>
      <c r="Z365" s="239"/>
      <c r="AA365" s="239"/>
      <c r="AB365" s="239"/>
      <c r="AC365" s="239"/>
      <c r="AD365" s="245"/>
      <c r="AE365" s="239"/>
      <c r="AF365" s="239"/>
      <c r="AG365" s="239"/>
      <c r="AH365" s="239"/>
      <c r="AI365" s="239"/>
      <c r="AJ365" s="239"/>
      <c r="AK365" s="239"/>
      <c r="AL365" s="239"/>
      <c r="AM365" s="245"/>
      <c r="AN365" s="239"/>
      <c r="AO365" s="239"/>
      <c r="AP365" s="239"/>
      <c r="AQ365" s="306"/>
      <c r="AR365" s="239"/>
      <c r="AS365" s="239"/>
      <c r="AT365" s="239"/>
      <c r="AU365" s="239"/>
    </row>
    <row r="366" spans="1:47" x14ac:dyDescent="0.35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306"/>
      <c r="W366" s="239"/>
      <c r="X366" s="239"/>
      <c r="Y366" s="239"/>
      <c r="Z366" s="239"/>
      <c r="AA366" s="239"/>
      <c r="AB366" s="239"/>
      <c r="AC366" s="239"/>
      <c r="AD366" s="245"/>
      <c r="AE366" s="239"/>
      <c r="AF366" s="239"/>
      <c r="AG366" s="239"/>
      <c r="AH366" s="239"/>
      <c r="AI366" s="239"/>
      <c r="AJ366" s="239"/>
      <c r="AK366" s="239"/>
      <c r="AL366" s="239"/>
      <c r="AM366" s="245"/>
      <c r="AN366" s="239"/>
      <c r="AO366" s="239"/>
      <c r="AP366" s="239"/>
      <c r="AQ366" s="306"/>
      <c r="AR366" s="239"/>
      <c r="AS366" s="239"/>
      <c r="AT366" s="239"/>
      <c r="AU366" s="239"/>
    </row>
    <row r="367" spans="1:47" x14ac:dyDescent="0.35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306"/>
      <c r="W367" s="239"/>
      <c r="X367" s="239"/>
      <c r="Y367" s="239"/>
      <c r="Z367" s="239"/>
      <c r="AA367" s="239"/>
      <c r="AB367" s="239"/>
      <c r="AC367" s="239"/>
      <c r="AD367" s="245"/>
      <c r="AE367" s="239"/>
      <c r="AF367" s="239"/>
      <c r="AG367" s="239"/>
      <c r="AH367" s="239"/>
      <c r="AI367" s="239"/>
      <c r="AJ367" s="239"/>
      <c r="AK367" s="239"/>
      <c r="AL367" s="239"/>
      <c r="AM367" s="245"/>
      <c r="AN367" s="239"/>
      <c r="AO367" s="239"/>
      <c r="AP367" s="239"/>
      <c r="AQ367" s="306"/>
      <c r="AR367" s="239"/>
      <c r="AS367" s="239"/>
      <c r="AT367" s="239"/>
      <c r="AU367" s="239"/>
    </row>
    <row r="368" spans="1:47" x14ac:dyDescent="0.35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306"/>
      <c r="W368" s="239"/>
      <c r="X368" s="239"/>
      <c r="Y368" s="239"/>
      <c r="Z368" s="239"/>
      <c r="AA368" s="239"/>
      <c r="AB368" s="239"/>
      <c r="AC368" s="239"/>
      <c r="AD368" s="245"/>
      <c r="AE368" s="239"/>
      <c r="AF368" s="239"/>
      <c r="AG368" s="239"/>
      <c r="AH368" s="239"/>
      <c r="AI368" s="239"/>
      <c r="AJ368" s="239"/>
      <c r="AK368" s="239"/>
      <c r="AL368" s="239"/>
      <c r="AM368" s="245"/>
      <c r="AN368" s="239"/>
      <c r="AO368" s="239"/>
      <c r="AP368" s="239"/>
      <c r="AQ368" s="306"/>
      <c r="AR368" s="239"/>
      <c r="AS368" s="239"/>
      <c r="AT368" s="239"/>
      <c r="AU368" s="239"/>
    </row>
    <row r="369" spans="1:47" x14ac:dyDescent="0.35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306"/>
      <c r="W369" s="239"/>
      <c r="X369" s="239"/>
      <c r="Y369" s="239"/>
      <c r="Z369" s="239"/>
      <c r="AA369" s="239"/>
      <c r="AB369" s="239"/>
      <c r="AC369" s="239"/>
      <c r="AD369" s="245"/>
      <c r="AE369" s="239"/>
      <c r="AF369" s="239"/>
      <c r="AG369" s="239"/>
      <c r="AH369" s="239"/>
      <c r="AI369" s="239"/>
      <c r="AJ369" s="239"/>
      <c r="AK369" s="239"/>
      <c r="AL369" s="239"/>
      <c r="AM369" s="245"/>
      <c r="AN369" s="239"/>
      <c r="AO369" s="239"/>
      <c r="AP369" s="239"/>
      <c r="AQ369" s="306"/>
      <c r="AR369" s="239"/>
      <c r="AS369" s="239"/>
      <c r="AT369" s="239"/>
      <c r="AU369" s="239"/>
    </row>
    <row r="370" spans="1:47" x14ac:dyDescent="0.35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306"/>
      <c r="W370" s="239"/>
      <c r="X370" s="239"/>
      <c r="Y370" s="239"/>
      <c r="Z370" s="239"/>
      <c r="AA370" s="239"/>
      <c r="AB370" s="239"/>
      <c r="AC370" s="239"/>
      <c r="AD370" s="245"/>
      <c r="AE370" s="239"/>
      <c r="AF370" s="239"/>
      <c r="AG370" s="239"/>
      <c r="AH370" s="239"/>
      <c r="AI370" s="239"/>
      <c r="AJ370" s="239"/>
      <c r="AK370" s="239"/>
      <c r="AL370" s="239"/>
      <c r="AM370" s="245"/>
      <c r="AN370" s="239"/>
      <c r="AO370" s="239"/>
      <c r="AP370" s="239"/>
      <c r="AQ370" s="306"/>
      <c r="AR370" s="239"/>
      <c r="AS370" s="239"/>
      <c r="AT370" s="239"/>
      <c r="AU370" s="239"/>
    </row>
    <row r="371" spans="1:47" x14ac:dyDescent="0.35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306"/>
      <c r="W371" s="239"/>
      <c r="X371" s="239"/>
      <c r="Y371" s="239"/>
      <c r="Z371" s="239"/>
      <c r="AA371" s="239"/>
      <c r="AB371" s="239"/>
      <c r="AC371" s="239"/>
      <c r="AD371" s="245"/>
      <c r="AE371" s="239"/>
      <c r="AF371" s="239"/>
      <c r="AG371" s="239"/>
      <c r="AH371" s="239"/>
      <c r="AI371" s="239"/>
      <c r="AJ371" s="239"/>
      <c r="AK371" s="239"/>
      <c r="AL371" s="239"/>
      <c r="AM371" s="245"/>
      <c r="AN371" s="239"/>
      <c r="AO371" s="239"/>
      <c r="AP371" s="239"/>
      <c r="AQ371" s="306"/>
      <c r="AR371" s="239"/>
      <c r="AS371" s="239"/>
      <c r="AT371" s="239"/>
      <c r="AU371" s="239"/>
    </row>
    <row r="372" spans="1:47" x14ac:dyDescent="0.35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306"/>
      <c r="W372" s="239"/>
      <c r="X372" s="239"/>
      <c r="Y372" s="239"/>
      <c r="Z372" s="239"/>
      <c r="AA372" s="239"/>
      <c r="AB372" s="239"/>
      <c r="AC372" s="239"/>
      <c r="AD372" s="245"/>
      <c r="AE372" s="239"/>
      <c r="AF372" s="239"/>
      <c r="AG372" s="239"/>
      <c r="AH372" s="239"/>
      <c r="AI372" s="239"/>
      <c r="AJ372" s="239"/>
      <c r="AK372" s="239"/>
      <c r="AL372" s="239"/>
      <c r="AM372" s="245"/>
      <c r="AN372" s="239"/>
      <c r="AO372" s="239"/>
      <c r="AP372" s="239"/>
      <c r="AQ372" s="306"/>
      <c r="AR372" s="239"/>
      <c r="AS372" s="239"/>
      <c r="AT372" s="239"/>
      <c r="AU372" s="239"/>
    </row>
    <row r="373" spans="1:47" x14ac:dyDescent="0.35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306"/>
      <c r="W373" s="239"/>
      <c r="X373" s="239"/>
      <c r="Y373" s="239"/>
      <c r="Z373" s="239"/>
      <c r="AA373" s="239"/>
      <c r="AB373" s="239"/>
      <c r="AC373" s="239"/>
      <c r="AD373" s="245"/>
      <c r="AE373" s="239"/>
      <c r="AF373" s="239"/>
      <c r="AG373" s="239"/>
      <c r="AH373" s="239"/>
      <c r="AI373" s="239"/>
      <c r="AJ373" s="239"/>
      <c r="AK373" s="239"/>
      <c r="AL373" s="239"/>
      <c r="AM373" s="245"/>
      <c r="AN373" s="239"/>
      <c r="AO373" s="239"/>
      <c r="AP373" s="239"/>
      <c r="AQ373" s="306"/>
      <c r="AR373" s="239"/>
      <c r="AS373" s="239"/>
      <c r="AT373" s="239"/>
      <c r="AU373" s="239"/>
    </row>
    <row r="374" spans="1:47" x14ac:dyDescent="0.35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306"/>
      <c r="W374" s="239"/>
      <c r="X374" s="239"/>
      <c r="Y374" s="239"/>
      <c r="Z374" s="239"/>
      <c r="AA374" s="239"/>
      <c r="AB374" s="239"/>
      <c r="AC374" s="239"/>
      <c r="AD374" s="245"/>
      <c r="AE374" s="239"/>
      <c r="AF374" s="239"/>
      <c r="AG374" s="239"/>
      <c r="AH374" s="239"/>
      <c r="AI374" s="239"/>
      <c r="AJ374" s="239"/>
      <c r="AK374" s="239"/>
      <c r="AL374" s="239"/>
      <c r="AM374" s="245"/>
      <c r="AN374" s="239"/>
      <c r="AO374" s="239"/>
      <c r="AP374" s="239"/>
      <c r="AQ374" s="306"/>
      <c r="AR374" s="239"/>
      <c r="AS374" s="239"/>
      <c r="AT374" s="239"/>
      <c r="AU374" s="239"/>
    </row>
    <row r="375" spans="1:47" x14ac:dyDescent="0.35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306"/>
      <c r="W375" s="239"/>
      <c r="X375" s="239"/>
      <c r="Y375" s="239"/>
      <c r="Z375" s="239"/>
      <c r="AA375" s="239"/>
      <c r="AB375" s="239"/>
      <c r="AC375" s="239"/>
      <c r="AD375" s="245"/>
      <c r="AE375" s="239"/>
      <c r="AF375" s="239"/>
      <c r="AG375" s="239"/>
      <c r="AH375" s="239"/>
      <c r="AI375" s="239"/>
      <c r="AJ375" s="239"/>
      <c r="AK375" s="239"/>
      <c r="AL375" s="239"/>
      <c r="AM375" s="245"/>
      <c r="AN375" s="239"/>
      <c r="AO375" s="239"/>
      <c r="AP375" s="239"/>
      <c r="AQ375" s="306"/>
      <c r="AR375" s="239"/>
      <c r="AS375" s="239"/>
      <c r="AT375" s="239"/>
      <c r="AU375" s="239"/>
    </row>
    <row r="376" spans="1:47" x14ac:dyDescent="0.35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306"/>
      <c r="W376" s="239"/>
      <c r="X376" s="239"/>
      <c r="Y376" s="239"/>
      <c r="Z376" s="239"/>
      <c r="AA376" s="239"/>
      <c r="AB376" s="239"/>
      <c r="AC376" s="239"/>
      <c r="AD376" s="245"/>
      <c r="AE376" s="239"/>
      <c r="AF376" s="239"/>
      <c r="AG376" s="239"/>
      <c r="AH376" s="239"/>
      <c r="AI376" s="239"/>
      <c r="AJ376" s="239"/>
      <c r="AK376" s="239"/>
      <c r="AL376" s="239"/>
      <c r="AM376" s="245"/>
      <c r="AN376" s="239"/>
      <c r="AO376" s="239"/>
      <c r="AP376" s="239"/>
      <c r="AQ376" s="306"/>
      <c r="AR376" s="239"/>
      <c r="AS376" s="239"/>
      <c r="AT376" s="239"/>
      <c r="AU376" s="239"/>
    </row>
    <row r="377" spans="1:47" x14ac:dyDescent="0.35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306"/>
      <c r="W377" s="239"/>
      <c r="X377" s="239"/>
      <c r="Y377" s="239"/>
      <c r="Z377" s="239"/>
      <c r="AA377" s="239"/>
      <c r="AB377" s="239"/>
      <c r="AC377" s="239"/>
      <c r="AD377" s="245"/>
      <c r="AE377" s="239"/>
      <c r="AF377" s="239"/>
      <c r="AG377" s="239"/>
      <c r="AH377" s="239"/>
      <c r="AI377" s="239"/>
      <c r="AJ377" s="239"/>
      <c r="AK377" s="239"/>
      <c r="AL377" s="239"/>
      <c r="AM377" s="245"/>
      <c r="AN377" s="239"/>
      <c r="AO377" s="239"/>
      <c r="AP377" s="239"/>
      <c r="AQ377" s="306"/>
      <c r="AR377" s="239"/>
      <c r="AS377" s="239"/>
      <c r="AT377" s="239"/>
      <c r="AU377" s="239"/>
    </row>
    <row r="378" spans="1:47" x14ac:dyDescent="0.35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306"/>
      <c r="W378" s="239"/>
      <c r="X378" s="239"/>
      <c r="Y378" s="239"/>
      <c r="Z378" s="239"/>
      <c r="AA378" s="239"/>
      <c r="AB378" s="239"/>
      <c r="AC378" s="239"/>
      <c r="AD378" s="245"/>
      <c r="AE378" s="239"/>
      <c r="AF378" s="239"/>
      <c r="AG378" s="239"/>
      <c r="AH378" s="239"/>
      <c r="AI378" s="239"/>
      <c r="AJ378" s="239"/>
      <c r="AK378" s="239"/>
      <c r="AL378" s="239"/>
      <c r="AM378" s="245"/>
      <c r="AN378" s="239"/>
      <c r="AO378" s="239"/>
      <c r="AP378" s="239"/>
      <c r="AQ378" s="306"/>
      <c r="AR378" s="239"/>
      <c r="AS378" s="239"/>
      <c r="AT378" s="239"/>
      <c r="AU378" s="239"/>
    </row>
    <row r="379" spans="1:47" x14ac:dyDescent="0.35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306"/>
      <c r="W379" s="239"/>
      <c r="X379" s="239"/>
      <c r="Y379" s="239"/>
      <c r="Z379" s="239"/>
      <c r="AA379" s="239"/>
      <c r="AB379" s="239"/>
      <c r="AC379" s="239"/>
      <c r="AD379" s="245"/>
      <c r="AE379" s="239"/>
      <c r="AF379" s="239"/>
      <c r="AG379" s="239"/>
      <c r="AH379" s="239"/>
      <c r="AI379" s="239"/>
      <c r="AJ379" s="239"/>
      <c r="AK379" s="239"/>
      <c r="AL379" s="239"/>
      <c r="AM379" s="245"/>
      <c r="AN379" s="239"/>
      <c r="AO379" s="239"/>
      <c r="AP379" s="239"/>
      <c r="AQ379" s="306"/>
      <c r="AR379" s="239"/>
      <c r="AS379" s="239"/>
      <c r="AT379" s="239"/>
      <c r="AU379" s="239"/>
    </row>
    <row r="380" spans="1:47" x14ac:dyDescent="0.35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306"/>
      <c r="W380" s="239"/>
      <c r="X380" s="239"/>
      <c r="Y380" s="239"/>
      <c r="Z380" s="239"/>
      <c r="AA380" s="239"/>
      <c r="AB380" s="239"/>
      <c r="AC380" s="239"/>
      <c r="AD380" s="245"/>
      <c r="AE380" s="239"/>
      <c r="AF380" s="239"/>
      <c r="AG380" s="239"/>
      <c r="AH380" s="239"/>
      <c r="AI380" s="239"/>
      <c r="AJ380" s="239"/>
      <c r="AK380" s="239"/>
      <c r="AL380" s="239"/>
      <c r="AM380" s="245"/>
      <c r="AN380" s="239"/>
      <c r="AO380" s="239"/>
      <c r="AP380" s="239"/>
      <c r="AQ380" s="306"/>
      <c r="AR380" s="239"/>
      <c r="AS380" s="239"/>
      <c r="AT380" s="239"/>
      <c r="AU380" s="239"/>
    </row>
    <row r="381" spans="1:47" x14ac:dyDescent="0.35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306"/>
      <c r="W381" s="239"/>
      <c r="X381" s="239"/>
      <c r="Y381" s="239"/>
      <c r="Z381" s="239"/>
      <c r="AA381" s="239"/>
      <c r="AB381" s="239"/>
      <c r="AC381" s="239"/>
      <c r="AD381" s="245"/>
      <c r="AE381" s="239"/>
      <c r="AF381" s="239"/>
      <c r="AG381" s="239"/>
      <c r="AH381" s="239"/>
      <c r="AI381" s="239"/>
      <c r="AJ381" s="239"/>
      <c r="AK381" s="239"/>
      <c r="AL381" s="239"/>
      <c r="AM381" s="245"/>
      <c r="AN381" s="239"/>
      <c r="AO381" s="239"/>
      <c r="AP381" s="239"/>
      <c r="AQ381" s="306"/>
      <c r="AR381" s="239"/>
      <c r="AS381" s="239"/>
      <c r="AT381" s="239"/>
      <c r="AU381" s="239"/>
    </row>
    <row r="382" spans="1:47" x14ac:dyDescent="0.35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306"/>
      <c r="W382" s="239"/>
      <c r="X382" s="239"/>
      <c r="Y382" s="239"/>
      <c r="Z382" s="239"/>
      <c r="AA382" s="239"/>
      <c r="AB382" s="239"/>
      <c r="AC382" s="239"/>
      <c r="AD382" s="245"/>
      <c r="AE382" s="239"/>
      <c r="AF382" s="239"/>
      <c r="AG382" s="239"/>
      <c r="AH382" s="239"/>
      <c r="AI382" s="239"/>
      <c r="AJ382" s="239"/>
      <c r="AK382" s="239"/>
      <c r="AL382" s="239"/>
      <c r="AM382" s="245"/>
      <c r="AN382" s="239"/>
      <c r="AO382" s="239"/>
      <c r="AP382" s="239"/>
      <c r="AQ382" s="306"/>
      <c r="AR382" s="239"/>
      <c r="AS382" s="239"/>
      <c r="AT382" s="239"/>
      <c r="AU382" s="239"/>
    </row>
    <row r="383" spans="1:47" x14ac:dyDescent="0.35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306"/>
      <c r="W383" s="239"/>
      <c r="X383" s="239"/>
      <c r="Y383" s="239"/>
      <c r="Z383" s="239"/>
      <c r="AA383" s="239"/>
      <c r="AB383" s="239"/>
      <c r="AC383" s="239"/>
      <c r="AD383" s="245"/>
      <c r="AE383" s="239"/>
      <c r="AF383" s="239"/>
      <c r="AG383" s="239"/>
      <c r="AH383" s="239"/>
      <c r="AI383" s="239"/>
      <c r="AJ383" s="239"/>
      <c r="AK383" s="239"/>
      <c r="AL383" s="239"/>
      <c r="AM383" s="245"/>
      <c r="AN383" s="239"/>
      <c r="AO383" s="239"/>
      <c r="AP383" s="239"/>
      <c r="AQ383" s="306"/>
      <c r="AR383" s="239"/>
      <c r="AS383" s="239"/>
      <c r="AT383" s="239"/>
      <c r="AU383" s="239"/>
    </row>
    <row r="384" spans="1:47" x14ac:dyDescent="0.35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306"/>
      <c r="W384" s="239"/>
      <c r="X384" s="239"/>
      <c r="Y384" s="239"/>
      <c r="Z384" s="239"/>
      <c r="AA384" s="239"/>
      <c r="AB384" s="239"/>
      <c r="AC384" s="239"/>
      <c r="AD384" s="245"/>
      <c r="AE384" s="239"/>
      <c r="AF384" s="239"/>
      <c r="AG384" s="239"/>
      <c r="AH384" s="239"/>
      <c r="AI384" s="239"/>
      <c r="AJ384" s="239"/>
      <c r="AK384" s="239"/>
      <c r="AL384" s="239"/>
      <c r="AM384" s="245"/>
      <c r="AN384" s="239"/>
      <c r="AO384" s="239"/>
      <c r="AP384" s="239"/>
      <c r="AQ384" s="306"/>
      <c r="AR384" s="239"/>
      <c r="AS384" s="239"/>
      <c r="AT384" s="239"/>
      <c r="AU384" s="239"/>
    </row>
    <row r="385" spans="1:47" x14ac:dyDescent="0.35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306"/>
      <c r="W385" s="239"/>
      <c r="X385" s="239"/>
      <c r="Y385" s="239"/>
      <c r="Z385" s="239"/>
      <c r="AA385" s="239"/>
      <c r="AB385" s="239"/>
      <c r="AC385" s="239"/>
      <c r="AD385" s="245"/>
      <c r="AE385" s="239"/>
      <c r="AF385" s="239"/>
      <c r="AG385" s="239"/>
      <c r="AH385" s="239"/>
      <c r="AI385" s="239"/>
      <c r="AJ385" s="239"/>
      <c r="AK385" s="239"/>
      <c r="AL385" s="239"/>
      <c r="AM385" s="245"/>
      <c r="AN385" s="239"/>
      <c r="AO385" s="239"/>
      <c r="AP385" s="239"/>
      <c r="AQ385" s="306"/>
      <c r="AR385" s="239"/>
      <c r="AS385" s="239"/>
      <c r="AT385" s="239"/>
      <c r="AU385" s="239"/>
    </row>
    <row r="386" spans="1:47" x14ac:dyDescent="0.35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306"/>
      <c r="W386" s="239"/>
      <c r="X386" s="239"/>
      <c r="Y386" s="239"/>
      <c r="Z386" s="239"/>
      <c r="AA386" s="239"/>
      <c r="AB386" s="239"/>
      <c r="AC386" s="239"/>
      <c r="AD386" s="245"/>
      <c r="AE386" s="239"/>
      <c r="AF386" s="239"/>
      <c r="AG386" s="239"/>
      <c r="AH386" s="239"/>
      <c r="AI386" s="239"/>
      <c r="AJ386" s="239"/>
      <c r="AK386" s="239"/>
      <c r="AL386" s="239"/>
      <c r="AM386" s="245"/>
      <c r="AN386" s="239"/>
      <c r="AO386" s="239"/>
      <c r="AP386" s="239"/>
      <c r="AQ386" s="306"/>
      <c r="AR386" s="239"/>
      <c r="AS386" s="239"/>
      <c r="AT386" s="239"/>
      <c r="AU386" s="239"/>
    </row>
    <row r="387" spans="1:47" x14ac:dyDescent="0.35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306"/>
      <c r="W387" s="239"/>
      <c r="X387" s="239"/>
      <c r="Y387" s="239"/>
      <c r="Z387" s="239"/>
      <c r="AA387" s="239"/>
      <c r="AB387" s="239"/>
      <c r="AC387" s="239"/>
      <c r="AD387" s="245"/>
      <c r="AE387" s="239"/>
      <c r="AF387" s="239"/>
      <c r="AG387" s="239"/>
      <c r="AH387" s="239"/>
      <c r="AI387" s="239"/>
      <c r="AJ387" s="239"/>
      <c r="AK387" s="239"/>
      <c r="AL387" s="239"/>
      <c r="AM387" s="245"/>
      <c r="AN387" s="239"/>
      <c r="AO387" s="239"/>
      <c r="AP387" s="239"/>
      <c r="AQ387" s="306"/>
      <c r="AR387" s="239"/>
      <c r="AS387" s="239"/>
      <c r="AT387" s="239"/>
      <c r="AU387" s="239"/>
    </row>
    <row r="388" spans="1:47" x14ac:dyDescent="0.35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306"/>
      <c r="W388" s="239"/>
      <c r="X388" s="239"/>
      <c r="Y388" s="239"/>
      <c r="Z388" s="239"/>
      <c r="AA388" s="239"/>
      <c r="AB388" s="239"/>
      <c r="AC388" s="239"/>
      <c r="AD388" s="245"/>
      <c r="AE388" s="239"/>
      <c r="AF388" s="239"/>
      <c r="AG388" s="239"/>
      <c r="AH388" s="239"/>
      <c r="AI388" s="239"/>
      <c r="AJ388" s="239"/>
      <c r="AK388" s="239"/>
      <c r="AL388" s="239"/>
      <c r="AM388" s="245"/>
      <c r="AN388" s="239"/>
      <c r="AO388" s="239"/>
      <c r="AP388" s="239"/>
      <c r="AQ388" s="306"/>
      <c r="AR388" s="239"/>
      <c r="AS388" s="239"/>
      <c r="AT388" s="239"/>
      <c r="AU388" s="239"/>
    </row>
    <row r="389" spans="1:47" x14ac:dyDescent="0.35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306"/>
      <c r="W389" s="239"/>
      <c r="X389" s="239"/>
      <c r="Y389" s="239"/>
      <c r="Z389" s="239"/>
      <c r="AA389" s="239"/>
      <c r="AB389" s="239"/>
      <c r="AC389" s="239"/>
      <c r="AD389" s="245"/>
      <c r="AE389" s="239"/>
      <c r="AF389" s="239"/>
      <c r="AG389" s="239"/>
      <c r="AH389" s="239"/>
      <c r="AI389" s="239"/>
      <c r="AJ389" s="239"/>
      <c r="AK389" s="239"/>
      <c r="AL389" s="239"/>
      <c r="AM389" s="245"/>
      <c r="AN389" s="239"/>
      <c r="AO389" s="239"/>
      <c r="AP389" s="239"/>
      <c r="AQ389" s="306"/>
      <c r="AR389" s="239"/>
      <c r="AS389" s="239"/>
      <c r="AT389" s="239"/>
      <c r="AU389" s="239"/>
    </row>
    <row r="390" spans="1:47" x14ac:dyDescent="0.35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306"/>
      <c r="W390" s="239"/>
      <c r="X390" s="239"/>
      <c r="Y390" s="239"/>
      <c r="Z390" s="239"/>
      <c r="AA390" s="239"/>
      <c r="AB390" s="239"/>
      <c r="AC390" s="239"/>
      <c r="AD390" s="245"/>
      <c r="AE390" s="239"/>
      <c r="AF390" s="239"/>
      <c r="AG390" s="239"/>
      <c r="AH390" s="239"/>
      <c r="AI390" s="239"/>
      <c r="AJ390" s="239"/>
      <c r="AK390" s="239"/>
      <c r="AL390" s="239"/>
      <c r="AM390" s="245"/>
      <c r="AN390" s="239"/>
      <c r="AO390" s="239"/>
      <c r="AP390" s="239"/>
      <c r="AQ390" s="306"/>
      <c r="AR390" s="239"/>
      <c r="AS390" s="239"/>
      <c r="AT390" s="239"/>
      <c r="AU390" s="239"/>
    </row>
    <row r="391" spans="1:47" x14ac:dyDescent="0.35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306"/>
      <c r="W391" s="239"/>
      <c r="X391" s="239"/>
      <c r="Y391" s="239"/>
      <c r="Z391" s="239"/>
      <c r="AA391" s="239"/>
      <c r="AB391" s="239"/>
      <c r="AC391" s="239"/>
      <c r="AD391" s="245"/>
      <c r="AE391" s="239"/>
      <c r="AF391" s="239"/>
      <c r="AG391" s="239"/>
      <c r="AH391" s="239"/>
      <c r="AI391" s="239"/>
      <c r="AJ391" s="239"/>
      <c r="AK391" s="239"/>
      <c r="AL391" s="239"/>
      <c r="AM391" s="245"/>
      <c r="AN391" s="239"/>
      <c r="AO391" s="239"/>
      <c r="AP391" s="239"/>
      <c r="AQ391" s="306"/>
      <c r="AR391" s="239"/>
      <c r="AS391" s="239"/>
      <c r="AT391" s="239"/>
      <c r="AU391" s="239"/>
    </row>
    <row r="392" spans="1:47" x14ac:dyDescent="0.35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306"/>
      <c r="W392" s="239"/>
      <c r="X392" s="239"/>
      <c r="Y392" s="239"/>
      <c r="Z392" s="239"/>
      <c r="AA392" s="239"/>
      <c r="AB392" s="239"/>
      <c r="AC392" s="239"/>
      <c r="AD392" s="245"/>
      <c r="AE392" s="239"/>
      <c r="AF392" s="239"/>
      <c r="AG392" s="239"/>
      <c r="AH392" s="239"/>
      <c r="AI392" s="239"/>
      <c r="AJ392" s="239"/>
      <c r="AK392" s="239"/>
      <c r="AL392" s="239"/>
      <c r="AM392" s="245"/>
      <c r="AN392" s="239"/>
      <c r="AO392" s="239"/>
      <c r="AP392" s="239"/>
      <c r="AQ392" s="306"/>
      <c r="AR392" s="239"/>
      <c r="AS392" s="239"/>
      <c r="AT392" s="239"/>
      <c r="AU392" s="239"/>
    </row>
    <row r="393" spans="1:47" x14ac:dyDescent="0.35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306"/>
      <c r="W393" s="239"/>
      <c r="X393" s="239"/>
      <c r="Y393" s="239"/>
      <c r="Z393" s="239"/>
      <c r="AA393" s="239"/>
      <c r="AB393" s="239"/>
      <c r="AC393" s="239"/>
      <c r="AD393" s="245"/>
      <c r="AE393" s="239"/>
      <c r="AF393" s="239"/>
      <c r="AG393" s="239"/>
      <c r="AH393" s="239"/>
      <c r="AI393" s="239"/>
      <c r="AJ393" s="239"/>
      <c r="AK393" s="239"/>
      <c r="AL393" s="239"/>
      <c r="AM393" s="245"/>
      <c r="AN393" s="239"/>
      <c r="AO393" s="239"/>
      <c r="AP393" s="239"/>
      <c r="AQ393" s="306"/>
      <c r="AR393" s="239"/>
      <c r="AS393" s="239"/>
      <c r="AT393" s="239"/>
      <c r="AU393" s="239"/>
    </row>
    <row r="394" spans="1:47" x14ac:dyDescent="0.35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306"/>
      <c r="W394" s="239"/>
      <c r="X394" s="239"/>
      <c r="Y394" s="239"/>
      <c r="Z394" s="239"/>
      <c r="AA394" s="239"/>
      <c r="AB394" s="239"/>
      <c r="AC394" s="239"/>
      <c r="AD394" s="245"/>
      <c r="AE394" s="239"/>
      <c r="AF394" s="239"/>
      <c r="AG394" s="239"/>
      <c r="AH394" s="239"/>
      <c r="AI394" s="239"/>
      <c r="AJ394" s="239"/>
      <c r="AK394" s="239"/>
      <c r="AL394" s="239"/>
      <c r="AM394" s="245"/>
      <c r="AN394" s="239"/>
      <c r="AO394" s="239"/>
      <c r="AP394" s="239"/>
      <c r="AQ394" s="306"/>
      <c r="AR394" s="239"/>
      <c r="AS394" s="239"/>
      <c r="AT394" s="239"/>
      <c r="AU394" s="239"/>
    </row>
    <row r="395" spans="1:47" x14ac:dyDescent="0.35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306"/>
      <c r="W395" s="239"/>
      <c r="X395" s="239"/>
      <c r="Y395" s="239"/>
      <c r="Z395" s="239"/>
      <c r="AA395" s="239"/>
      <c r="AB395" s="239"/>
      <c r="AC395" s="239"/>
      <c r="AD395" s="245"/>
      <c r="AE395" s="239"/>
      <c r="AF395" s="239"/>
      <c r="AG395" s="239"/>
      <c r="AH395" s="239"/>
      <c r="AI395" s="239"/>
      <c r="AJ395" s="239"/>
      <c r="AK395" s="239"/>
      <c r="AL395" s="239"/>
      <c r="AM395" s="245"/>
      <c r="AN395" s="239"/>
      <c r="AO395" s="239"/>
      <c r="AP395" s="239"/>
      <c r="AQ395" s="306"/>
      <c r="AR395" s="239"/>
      <c r="AS395" s="239"/>
      <c r="AT395" s="239"/>
      <c r="AU395" s="239"/>
    </row>
    <row r="396" spans="1:47" x14ac:dyDescent="0.35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306"/>
      <c r="W396" s="239"/>
      <c r="X396" s="239"/>
      <c r="Y396" s="239"/>
      <c r="Z396" s="239"/>
      <c r="AA396" s="239"/>
      <c r="AB396" s="239"/>
      <c r="AC396" s="239"/>
      <c r="AD396" s="245"/>
      <c r="AE396" s="239"/>
      <c r="AF396" s="239"/>
      <c r="AG396" s="239"/>
      <c r="AH396" s="239"/>
      <c r="AI396" s="239"/>
      <c r="AJ396" s="239"/>
      <c r="AK396" s="239"/>
      <c r="AL396" s="239"/>
      <c r="AM396" s="245"/>
      <c r="AN396" s="239"/>
      <c r="AO396" s="239"/>
      <c r="AP396" s="239"/>
      <c r="AQ396" s="306"/>
      <c r="AR396" s="239"/>
      <c r="AS396" s="239"/>
      <c r="AT396" s="239"/>
      <c r="AU396" s="239"/>
    </row>
    <row r="397" spans="1:47" x14ac:dyDescent="0.35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306"/>
      <c r="W397" s="239"/>
      <c r="X397" s="239"/>
      <c r="Y397" s="239"/>
      <c r="Z397" s="239"/>
      <c r="AA397" s="239"/>
      <c r="AB397" s="239"/>
      <c r="AC397" s="239"/>
      <c r="AD397" s="245"/>
      <c r="AE397" s="239"/>
      <c r="AF397" s="239"/>
      <c r="AG397" s="239"/>
      <c r="AH397" s="239"/>
      <c r="AI397" s="239"/>
      <c r="AJ397" s="239"/>
      <c r="AK397" s="239"/>
      <c r="AL397" s="239"/>
      <c r="AM397" s="245"/>
      <c r="AN397" s="239"/>
      <c r="AO397" s="239"/>
      <c r="AP397" s="239"/>
      <c r="AQ397" s="306"/>
      <c r="AR397" s="239"/>
      <c r="AS397" s="239"/>
      <c r="AT397" s="239"/>
      <c r="AU397" s="239"/>
    </row>
    <row r="398" spans="1:47" x14ac:dyDescent="0.35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306"/>
      <c r="W398" s="239"/>
      <c r="X398" s="239"/>
      <c r="Y398" s="239"/>
      <c r="Z398" s="239"/>
      <c r="AA398" s="239"/>
      <c r="AB398" s="239"/>
      <c r="AC398" s="239"/>
      <c r="AD398" s="245"/>
      <c r="AE398" s="239"/>
      <c r="AF398" s="239"/>
      <c r="AG398" s="239"/>
      <c r="AH398" s="239"/>
      <c r="AI398" s="239"/>
      <c r="AJ398" s="239"/>
      <c r="AK398" s="239"/>
      <c r="AL398" s="239"/>
      <c r="AM398" s="245"/>
      <c r="AN398" s="239"/>
      <c r="AO398" s="239"/>
      <c r="AP398" s="239"/>
      <c r="AQ398" s="306"/>
      <c r="AR398" s="239"/>
      <c r="AS398" s="239"/>
      <c r="AT398" s="239"/>
      <c r="AU398" s="239"/>
    </row>
    <row r="399" spans="1:47" x14ac:dyDescent="0.35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306"/>
      <c r="W399" s="239"/>
      <c r="X399" s="239"/>
      <c r="Y399" s="239"/>
      <c r="Z399" s="239"/>
      <c r="AA399" s="239"/>
      <c r="AB399" s="239"/>
      <c r="AC399" s="239"/>
      <c r="AD399" s="245"/>
      <c r="AE399" s="239"/>
      <c r="AF399" s="239"/>
      <c r="AG399" s="239"/>
      <c r="AH399" s="239"/>
      <c r="AI399" s="239"/>
      <c r="AJ399" s="239"/>
      <c r="AK399" s="239"/>
      <c r="AL399" s="239"/>
      <c r="AM399" s="245"/>
      <c r="AN399" s="239"/>
      <c r="AO399" s="239"/>
      <c r="AP399" s="239"/>
      <c r="AQ399" s="306"/>
      <c r="AR399" s="239"/>
      <c r="AS399" s="239"/>
      <c r="AT399" s="239"/>
      <c r="AU399" s="239"/>
    </row>
    <row r="400" spans="1:47" x14ac:dyDescent="0.35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306"/>
      <c r="W400" s="239"/>
      <c r="X400" s="239"/>
      <c r="Y400" s="239"/>
      <c r="Z400" s="239"/>
      <c r="AA400" s="239"/>
      <c r="AB400" s="239"/>
      <c r="AC400" s="239"/>
      <c r="AD400" s="245"/>
      <c r="AE400" s="239"/>
      <c r="AF400" s="239"/>
      <c r="AG400" s="239"/>
      <c r="AH400" s="239"/>
      <c r="AI400" s="239"/>
      <c r="AJ400" s="239"/>
      <c r="AK400" s="239"/>
      <c r="AL400" s="239"/>
      <c r="AM400" s="245"/>
      <c r="AN400" s="239"/>
      <c r="AO400" s="239"/>
      <c r="AP400" s="239"/>
      <c r="AQ400" s="306"/>
      <c r="AR400" s="239"/>
      <c r="AS400" s="239"/>
      <c r="AT400" s="239"/>
      <c r="AU400" s="239"/>
    </row>
    <row r="401" spans="1:47" x14ac:dyDescent="0.35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306"/>
      <c r="W401" s="239"/>
      <c r="X401" s="239"/>
      <c r="Y401" s="239"/>
      <c r="Z401" s="239"/>
      <c r="AA401" s="239"/>
      <c r="AB401" s="239"/>
      <c r="AC401" s="239"/>
      <c r="AD401" s="245"/>
      <c r="AE401" s="239"/>
      <c r="AF401" s="239"/>
      <c r="AG401" s="239"/>
      <c r="AH401" s="239"/>
      <c r="AI401" s="239"/>
      <c r="AJ401" s="239"/>
      <c r="AK401" s="239"/>
      <c r="AL401" s="239"/>
      <c r="AM401" s="245"/>
      <c r="AN401" s="239"/>
      <c r="AO401" s="239"/>
      <c r="AP401" s="239"/>
      <c r="AQ401" s="306"/>
      <c r="AR401" s="239"/>
      <c r="AS401" s="239"/>
      <c r="AT401" s="239"/>
      <c r="AU401" s="239"/>
    </row>
    <row r="402" spans="1:47" x14ac:dyDescent="0.35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306"/>
      <c r="W402" s="239"/>
      <c r="X402" s="239"/>
      <c r="Y402" s="239"/>
      <c r="Z402" s="239"/>
      <c r="AA402" s="239"/>
      <c r="AB402" s="239"/>
      <c r="AC402" s="239"/>
      <c r="AD402" s="245"/>
      <c r="AE402" s="239"/>
      <c r="AF402" s="239"/>
      <c r="AG402" s="239"/>
      <c r="AH402" s="239"/>
      <c r="AI402" s="239"/>
      <c r="AJ402" s="239"/>
      <c r="AK402" s="239"/>
      <c r="AL402" s="239"/>
      <c r="AM402" s="245"/>
      <c r="AN402" s="239"/>
      <c r="AO402" s="239"/>
      <c r="AP402" s="239"/>
      <c r="AQ402" s="306"/>
      <c r="AR402" s="239"/>
      <c r="AS402" s="239"/>
      <c r="AT402" s="239"/>
      <c r="AU402" s="239"/>
    </row>
    <row r="403" spans="1:47" x14ac:dyDescent="0.35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306"/>
      <c r="W403" s="239"/>
      <c r="X403" s="239"/>
      <c r="Y403" s="239"/>
      <c r="Z403" s="239"/>
      <c r="AA403" s="239"/>
      <c r="AB403" s="239"/>
      <c r="AC403" s="239"/>
      <c r="AD403" s="245"/>
      <c r="AE403" s="239"/>
      <c r="AF403" s="239"/>
      <c r="AG403" s="239"/>
      <c r="AH403" s="239"/>
      <c r="AI403" s="239"/>
      <c r="AJ403" s="239"/>
      <c r="AK403" s="239"/>
      <c r="AL403" s="239"/>
      <c r="AM403" s="245"/>
      <c r="AN403" s="239"/>
      <c r="AO403" s="239"/>
      <c r="AP403" s="239"/>
      <c r="AQ403" s="306"/>
      <c r="AR403" s="239"/>
      <c r="AS403" s="239"/>
      <c r="AT403" s="239"/>
      <c r="AU403" s="239"/>
    </row>
    <row r="404" spans="1:47" x14ac:dyDescent="0.35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306"/>
      <c r="W404" s="239"/>
      <c r="X404" s="239"/>
      <c r="Y404" s="239"/>
      <c r="Z404" s="239"/>
      <c r="AA404" s="239"/>
      <c r="AB404" s="239"/>
      <c r="AC404" s="239"/>
      <c r="AD404" s="245"/>
      <c r="AE404" s="239"/>
      <c r="AF404" s="239"/>
      <c r="AG404" s="239"/>
      <c r="AH404" s="239"/>
      <c r="AI404" s="239"/>
      <c r="AJ404" s="239"/>
      <c r="AK404" s="239"/>
      <c r="AL404" s="239"/>
      <c r="AM404" s="245"/>
      <c r="AN404" s="239"/>
      <c r="AO404" s="239"/>
      <c r="AP404" s="239"/>
      <c r="AQ404" s="306"/>
      <c r="AR404" s="239"/>
      <c r="AS404" s="239"/>
      <c r="AT404" s="239"/>
      <c r="AU404" s="239"/>
    </row>
    <row r="405" spans="1:47" x14ac:dyDescent="0.35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306"/>
      <c r="W405" s="239"/>
      <c r="X405" s="239"/>
      <c r="Y405" s="239"/>
      <c r="Z405" s="239"/>
      <c r="AA405" s="239"/>
      <c r="AB405" s="239"/>
      <c r="AC405" s="239"/>
      <c r="AD405" s="245"/>
      <c r="AE405" s="239"/>
      <c r="AF405" s="239"/>
      <c r="AG405" s="239"/>
      <c r="AH405" s="239"/>
      <c r="AI405" s="239"/>
      <c r="AJ405" s="239"/>
      <c r="AK405" s="239"/>
      <c r="AL405" s="239"/>
      <c r="AM405" s="245"/>
      <c r="AN405" s="239"/>
      <c r="AO405" s="239"/>
      <c r="AP405" s="239"/>
      <c r="AQ405" s="306"/>
      <c r="AR405" s="239"/>
      <c r="AS405" s="239"/>
      <c r="AT405" s="239"/>
      <c r="AU405" s="239"/>
    </row>
    <row r="406" spans="1:47" x14ac:dyDescent="0.35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306"/>
      <c r="W406" s="239"/>
      <c r="X406" s="239"/>
      <c r="Y406" s="239"/>
      <c r="Z406" s="239"/>
      <c r="AA406" s="239"/>
      <c r="AB406" s="239"/>
      <c r="AC406" s="239"/>
      <c r="AD406" s="245"/>
      <c r="AE406" s="239"/>
      <c r="AF406" s="239"/>
      <c r="AG406" s="239"/>
      <c r="AH406" s="239"/>
      <c r="AI406" s="239"/>
      <c r="AJ406" s="239"/>
      <c r="AK406" s="239"/>
      <c r="AL406" s="239"/>
      <c r="AM406" s="245"/>
      <c r="AN406" s="239"/>
      <c r="AO406" s="239"/>
      <c r="AP406" s="239"/>
      <c r="AQ406" s="306"/>
      <c r="AR406" s="239"/>
      <c r="AS406" s="239"/>
      <c r="AT406" s="239"/>
      <c r="AU406" s="239"/>
    </row>
    <row r="407" spans="1:47" x14ac:dyDescent="0.35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306"/>
      <c r="W407" s="239"/>
      <c r="X407" s="239"/>
      <c r="Y407" s="239"/>
      <c r="Z407" s="239"/>
      <c r="AA407" s="239"/>
      <c r="AB407" s="239"/>
      <c r="AC407" s="239"/>
      <c r="AD407" s="245"/>
      <c r="AE407" s="239"/>
      <c r="AF407" s="239"/>
      <c r="AG407" s="239"/>
      <c r="AH407" s="239"/>
      <c r="AI407" s="239"/>
      <c r="AJ407" s="239"/>
      <c r="AK407" s="239"/>
      <c r="AL407" s="239"/>
      <c r="AM407" s="245"/>
      <c r="AN407" s="239"/>
      <c r="AO407" s="239"/>
      <c r="AP407" s="239"/>
      <c r="AQ407" s="306"/>
      <c r="AR407" s="239"/>
      <c r="AS407" s="239"/>
      <c r="AT407" s="239"/>
      <c r="AU407" s="239"/>
    </row>
    <row r="408" spans="1:47" x14ac:dyDescent="0.35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306"/>
      <c r="W408" s="239"/>
      <c r="X408" s="239"/>
      <c r="Y408" s="239"/>
      <c r="Z408" s="239"/>
      <c r="AA408" s="239"/>
      <c r="AB408" s="239"/>
      <c r="AC408" s="239"/>
      <c r="AD408" s="245"/>
      <c r="AE408" s="239"/>
      <c r="AF408" s="239"/>
      <c r="AG408" s="239"/>
      <c r="AH408" s="239"/>
      <c r="AI408" s="239"/>
      <c r="AJ408" s="239"/>
      <c r="AK408" s="239"/>
      <c r="AL408" s="239"/>
      <c r="AM408" s="245"/>
      <c r="AN408" s="239"/>
      <c r="AO408" s="239"/>
      <c r="AP408" s="239"/>
      <c r="AQ408" s="306"/>
      <c r="AR408" s="239"/>
      <c r="AS408" s="239"/>
      <c r="AT408" s="239"/>
      <c r="AU408" s="239"/>
    </row>
    <row r="409" spans="1:47" x14ac:dyDescent="0.35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306"/>
      <c r="W409" s="239"/>
      <c r="X409" s="239"/>
      <c r="Y409" s="239"/>
      <c r="Z409" s="239"/>
      <c r="AA409" s="239"/>
      <c r="AB409" s="239"/>
      <c r="AC409" s="239"/>
      <c r="AD409" s="245"/>
      <c r="AE409" s="239"/>
      <c r="AF409" s="239"/>
      <c r="AG409" s="239"/>
      <c r="AH409" s="239"/>
      <c r="AI409" s="239"/>
      <c r="AJ409" s="239"/>
      <c r="AK409" s="239"/>
      <c r="AL409" s="239"/>
      <c r="AM409" s="245"/>
      <c r="AN409" s="239"/>
      <c r="AO409" s="239"/>
      <c r="AP409" s="239"/>
      <c r="AQ409" s="306"/>
      <c r="AR409" s="239"/>
      <c r="AS409" s="239"/>
      <c r="AT409" s="239"/>
      <c r="AU409" s="239"/>
    </row>
    <row r="410" spans="1:47" x14ac:dyDescent="0.35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306"/>
      <c r="W410" s="239"/>
      <c r="X410" s="239"/>
      <c r="Y410" s="239"/>
      <c r="Z410" s="239"/>
      <c r="AA410" s="239"/>
      <c r="AB410" s="239"/>
      <c r="AC410" s="239"/>
      <c r="AD410" s="245"/>
      <c r="AE410" s="239"/>
      <c r="AF410" s="239"/>
      <c r="AG410" s="239"/>
      <c r="AH410" s="239"/>
      <c r="AI410" s="239"/>
      <c r="AJ410" s="239"/>
      <c r="AK410" s="239"/>
      <c r="AL410" s="239"/>
      <c r="AM410" s="245"/>
      <c r="AN410" s="239"/>
      <c r="AO410" s="239"/>
      <c r="AP410" s="239"/>
      <c r="AQ410" s="306"/>
      <c r="AR410" s="239"/>
      <c r="AS410" s="239"/>
      <c r="AT410" s="239"/>
      <c r="AU410" s="239"/>
    </row>
    <row r="411" spans="1:47" x14ac:dyDescent="0.35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306"/>
      <c r="W411" s="239"/>
      <c r="X411" s="239"/>
      <c r="Y411" s="239"/>
      <c r="Z411" s="239"/>
      <c r="AA411" s="239"/>
      <c r="AB411" s="239"/>
      <c r="AC411" s="239"/>
      <c r="AD411" s="245"/>
      <c r="AE411" s="239"/>
      <c r="AF411" s="239"/>
      <c r="AG411" s="239"/>
      <c r="AH411" s="239"/>
      <c r="AI411" s="239"/>
      <c r="AJ411" s="239"/>
      <c r="AK411" s="239"/>
      <c r="AL411" s="239"/>
      <c r="AM411" s="245"/>
      <c r="AN411" s="239"/>
      <c r="AO411" s="239"/>
      <c r="AP411" s="239"/>
      <c r="AQ411" s="306"/>
      <c r="AR411" s="239"/>
      <c r="AS411" s="239"/>
      <c r="AT411" s="239"/>
      <c r="AU411" s="239"/>
    </row>
    <row r="412" spans="1:47" x14ac:dyDescent="0.35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306"/>
      <c r="W412" s="239"/>
      <c r="X412" s="239"/>
      <c r="Y412" s="239"/>
      <c r="Z412" s="239"/>
      <c r="AA412" s="239"/>
      <c r="AB412" s="239"/>
      <c r="AC412" s="239"/>
      <c r="AD412" s="245"/>
      <c r="AE412" s="239"/>
      <c r="AF412" s="239"/>
      <c r="AG412" s="239"/>
      <c r="AH412" s="239"/>
      <c r="AI412" s="239"/>
      <c r="AJ412" s="239"/>
      <c r="AK412" s="239"/>
      <c r="AL412" s="239"/>
      <c r="AM412" s="245"/>
      <c r="AN412" s="239"/>
      <c r="AO412" s="239"/>
      <c r="AP412" s="239"/>
      <c r="AQ412" s="306"/>
      <c r="AR412" s="239"/>
      <c r="AS412" s="239"/>
      <c r="AT412" s="239"/>
      <c r="AU412" s="239"/>
    </row>
    <row r="413" spans="1:47" x14ac:dyDescent="0.35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306"/>
      <c r="W413" s="239"/>
      <c r="X413" s="239"/>
      <c r="Y413" s="239"/>
      <c r="Z413" s="239"/>
      <c r="AA413" s="239"/>
      <c r="AB413" s="239"/>
      <c r="AC413" s="239"/>
      <c r="AD413" s="245"/>
      <c r="AE413" s="239"/>
      <c r="AF413" s="239"/>
      <c r="AG413" s="239"/>
      <c r="AH413" s="239"/>
      <c r="AI413" s="239"/>
      <c r="AJ413" s="239"/>
      <c r="AK413" s="239"/>
      <c r="AL413" s="239"/>
      <c r="AM413" s="245"/>
      <c r="AN413" s="239"/>
      <c r="AO413" s="239"/>
      <c r="AP413" s="239"/>
      <c r="AQ413" s="306"/>
      <c r="AR413" s="239"/>
      <c r="AS413" s="239"/>
      <c r="AT413" s="239"/>
      <c r="AU413" s="239"/>
    </row>
    <row r="414" spans="1:47" x14ac:dyDescent="0.35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306"/>
      <c r="W414" s="239"/>
      <c r="X414" s="239"/>
      <c r="Y414" s="239"/>
      <c r="Z414" s="239"/>
      <c r="AA414" s="239"/>
      <c r="AB414" s="239"/>
      <c r="AC414" s="239"/>
      <c r="AD414" s="245"/>
      <c r="AE414" s="239"/>
      <c r="AF414" s="239"/>
      <c r="AG414" s="239"/>
      <c r="AH414" s="239"/>
      <c r="AI414" s="239"/>
      <c r="AJ414" s="239"/>
      <c r="AK414" s="239"/>
      <c r="AL414" s="239"/>
      <c r="AM414" s="245"/>
      <c r="AN414" s="239"/>
      <c r="AO414" s="239"/>
      <c r="AP414" s="239"/>
      <c r="AQ414" s="306"/>
      <c r="AR414" s="239"/>
      <c r="AS414" s="239"/>
      <c r="AT414" s="239"/>
      <c r="AU414" s="239"/>
    </row>
    <row r="415" spans="1:47" x14ac:dyDescent="0.35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306"/>
      <c r="W415" s="239"/>
      <c r="X415" s="239"/>
      <c r="Y415" s="239"/>
      <c r="Z415" s="239"/>
      <c r="AA415" s="239"/>
      <c r="AB415" s="239"/>
      <c r="AC415" s="239"/>
      <c r="AD415" s="245"/>
      <c r="AE415" s="239"/>
      <c r="AF415" s="239"/>
      <c r="AG415" s="239"/>
      <c r="AH415" s="239"/>
      <c r="AI415" s="239"/>
      <c r="AJ415" s="239"/>
      <c r="AK415" s="239"/>
      <c r="AL415" s="239"/>
      <c r="AM415" s="245"/>
      <c r="AN415" s="239"/>
      <c r="AO415" s="239"/>
      <c r="AP415" s="239"/>
      <c r="AQ415" s="306"/>
      <c r="AR415" s="239"/>
      <c r="AS415" s="239"/>
      <c r="AT415" s="239"/>
      <c r="AU415" s="239"/>
    </row>
    <row r="416" spans="1:47" x14ac:dyDescent="0.35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306"/>
      <c r="W416" s="239"/>
      <c r="X416" s="239"/>
      <c r="Y416" s="239"/>
      <c r="Z416" s="239"/>
      <c r="AA416" s="239"/>
      <c r="AB416" s="239"/>
      <c r="AC416" s="239"/>
      <c r="AD416" s="245"/>
      <c r="AE416" s="239"/>
      <c r="AF416" s="239"/>
      <c r="AG416" s="239"/>
      <c r="AH416" s="239"/>
      <c r="AI416" s="239"/>
      <c r="AJ416" s="239"/>
      <c r="AK416" s="239"/>
      <c r="AL416" s="239"/>
      <c r="AM416" s="245"/>
      <c r="AN416" s="239"/>
      <c r="AO416" s="239"/>
      <c r="AP416" s="239"/>
      <c r="AQ416" s="306"/>
      <c r="AR416" s="239"/>
      <c r="AS416" s="239"/>
      <c r="AT416" s="239"/>
      <c r="AU416" s="239"/>
    </row>
    <row r="417" spans="1:47" x14ac:dyDescent="0.35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306"/>
      <c r="W417" s="239"/>
      <c r="X417" s="239"/>
      <c r="Y417" s="239"/>
      <c r="Z417" s="239"/>
      <c r="AA417" s="239"/>
      <c r="AB417" s="239"/>
      <c r="AC417" s="239"/>
      <c r="AD417" s="245"/>
      <c r="AE417" s="239"/>
      <c r="AF417" s="239"/>
      <c r="AG417" s="239"/>
      <c r="AH417" s="239"/>
      <c r="AI417" s="239"/>
      <c r="AJ417" s="239"/>
      <c r="AK417" s="239"/>
      <c r="AL417" s="239"/>
      <c r="AM417" s="245"/>
      <c r="AN417" s="239"/>
      <c r="AO417" s="239"/>
      <c r="AP417" s="239"/>
      <c r="AQ417" s="306"/>
      <c r="AR417" s="239"/>
      <c r="AS417" s="239"/>
      <c r="AT417" s="239"/>
      <c r="AU417" s="239"/>
    </row>
    <row r="418" spans="1:47" x14ac:dyDescent="0.35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306"/>
      <c r="W418" s="239"/>
      <c r="X418" s="239"/>
      <c r="Y418" s="239"/>
      <c r="Z418" s="239"/>
      <c r="AA418" s="239"/>
      <c r="AB418" s="239"/>
      <c r="AC418" s="239"/>
      <c r="AD418" s="245"/>
      <c r="AE418" s="239"/>
      <c r="AF418" s="239"/>
      <c r="AG418" s="239"/>
      <c r="AH418" s="239"/>
      <c r="AI418" s="239"/>
      <c r="AJ418" s="239"/>
      <c r="AK418" s="239"/>
      <c r="AL418" s="239"/>
      <c r="AM418" s="245"/>
      <c r="AN418" s="239"/>
      <c r="AO418" s="239"/>
      <c r="AP418" s="239"/>
      <c r="AQ418" s="306"/>
      <c r="AR418" s="239"/>
      <c r="AS418" s="239"/>
      <c r="AT418" s="239"/>
      <c r="AU418" s="239"/>
    </row>
    <row r="419" spans="1:47" x14ac:dyDescent="0.35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306"/>
      <c r="W419" s="239"/>
      <c r="X419" s="239"/>
      <c r="Y419" s="239"/>
      <c r="Z419" s="239"/>
      <c r="AA419" s="239"/>
      <c r="AB419" s="239"/>
      <c r="AC419" s="239"/>
      <c r="AD419" s="245"/>
      <c r="AE419" s="239"/>
      <c r="AF419" s="239"/>
      <c r="AG419" s="239"/>
      <c r="AH419" s="239"/>
      <c r="AI419" s="239"/>
      <c r="AJ419" s="239"/>
      <c r="AK419" s="239"/>
      <c r="AL419" s="239"/>
      <c r="AM419" s="245"/>
      <c r="AN419" s="239"/>
      <c r="AO419" s="239"/>
      <c r="AP419" s="239"/>
      <c r="AQ419" s="306"/>
      <c r="AR419" s="239"/>
      <c r="AS419" s="239"/>
      <c r="AT419" s="239"/>
      <c r="AU419" s="239"/>
    </row>
    <row r="420" spans="1:47" x14ac:dyDescent="0.35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306"/>
      <c r="W420" s="239"/>
      <c r="X420" s="239"/>
      <c r="Y420" s="239"/>
      <c r="Z420" s="239"/>
      <c r="AA420" s="239"/>
      <c r="AB420" s="239"/>
      <c r="AC420" s="239"/>
      <c r="AD420" s="245"/>
      <c r="AE420" s="239"/>
      <c r="AF420" s="239"/>
      <c r="AG420" s="239"/>
      <c r="AH420" s="239"/>
      <c r="AI420" s="239"/>
      <c r="AJ420" s="239"/>
      <c r="AK420" s="239"/>
      <c r="AL420" s="239"/>
      <c r="AM420" s="245"/>
      <c r="AN420" s="239"/>
      <c r="AO420" s="239"/>
      <c r="AP420" s="239"/>
      <c r="AQ420" s="306"/>
      <c r="AR420" s="239"/>
      <c r="AS420" s="239"/>
      <c r="AT420" s="239"/>
      <c r="AU420" s="239"/>
    </row>
    <row r="421" spans="1:47" x14ac:dyDescent="0.35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306"/>
      <c r="W421" s="239"/>
      <c r="X421" s="239"/>
      <c r="Y421" s="239"/>
      <c r="Z421" s="239"/>
      <c r="AA421" s="239"/>
      <c r="AB421" s="239"/>
      <c r="AC421" s="239"/>
      <c r="AD421" s="245"/>
      <c r="AE421" s="239"/>
      <c r="AF421" s="239"/>
      <c r="AG421" s="239"/>
      <c r="AH421" s="239"/>
      <c r="AI421" s="239"/>
      <c r="AJ421" s="239"/>
      <c r="AK421" s="239"/>
      <c r="AL421" s="239"/>
      <c r="AM421" s="245"/>
      <c r="AN421" s="239"/>
      <c r="AO421" s="239"/>
      <c r="AP421" s="239"/>
      <c r="AQ421" s="306"/>
      <c r="AR421" s="239"/>
      <c r="AS421" s="239"/>
      <c r="AT421" s="239"/>
      <c r="AU421" s="239"/>
    </row>
    <row r="422" spans="1:47" x14ac:dyDescent="0.35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306"/>
      <c r="W422" s="239"/>
      <c r="X422" s="239"/>
      <c r="Y422" s="239"/>
      <c r="Z422" s="239"/>
      <c r="AA422" s="239"/>
      <c r="AB422" s="239"/>
      <c r="AC422" s="239"/>
      <c r="AD422" s="245"/>
      <c r="AE422" s="239"/>
      <c r="AF422" s="239"/>
      <c r="AG422" s="239"/>
      <c r="AH422" s="239"/>
      <c r="AI422" s="239"/>
      <c r="AJ422" s="239"/>
      <c r="AK422" s="239"/>
      <c r="AL422" s="239"/>
      <c r="AM422" s="245"/>
      <c r="AN422" s="239"/>
      <c r="AO422" s="239"/>
      <c r="AP422" s="239"/>
      <c r="AQ422" s="306"/>
      <c r="AR422" s="239"/>
      <c r="AS422" s="239"/>
      <c r="AT422" s="239"/>
      <c r="AU422" s="239"/>
    </row>
    <row r="423" spans="1:47" x14ac:dyDescent="0.35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306"/>
      <c r="W423" s="239"/>
      <c r="X423" s="239"/>
      <c r="Y423" s="239"/>
      <c r="Z423" s="239"/>
      <c r="AA423" s="239"/>
      <c r="AB423" s="239"/>
      <c r="AC423" s="239"/>
      <c r="AD423" s="245"/>
      <c r="AE423" s="239"/>
      <c r="AF423" s="239"/>
      <c r="AG423" s="239"/>
      <c r="AH423" s="239"/>
      <c r="AI423" s="239"/>
      <c r="AJ423" s="239"/>
      <c r="AK423" s="239"/>
      <c r="AL423" s="239"/>
      <c r="AM423" s="245"/>
      <c r="AN423" s="239"/>
      <c r="AO423" s="239"/>
      <c r="AP423" s="239"/>
      <c r="AQ423" s="306"/>
      <c r="AR423" s="239"/>
      <c r="AS423" s="239"/>
      <c r="AT423" s="239"/>
      <c r="AU423" s="239"/>
    </row>
    <row r="424" spans="1:47" x14ac:dyDescent="0.35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306"/>
      <c r="W424" s="239"/>
      <c r="X424" s="239"/>
      <c r="Y424" s="239"/>
      <c r="Z424" s="239"/>
      <c r="AA424" s="239"/>
      <c r="AB424" s="239"/>
      <c r="AC424" s="239"/>
      <c r="AD424" s="245"/>
      <c r="AE424" s="239"/>
      <c r="AF424" s="239"/>
      <c r="AG424" s="239"/>
      <c r="AH424" s="239"/>
      <c r="AI424" s="239"/>
      <c r="AJ424" s="239"/>
      <c r="AK424" s="239"/>
      <c r="AL424" s="239"/>
      <c r="AM424" s="245"/>
      <c r="AN424" s="239"/>
      <c r="AO424" s="239"/>
      <c r="AP424" s="239"/>
      <c r="AQ424" s="306"/>
      <c r="AR424" s="239"/>
      <c r="AS424" s="239"/>
      <c r="AT424" s="239"/>
      <c r="AU424" s="239"/>
    </row>
    <row r="425" spans="1:47" x14ac:dyDescent="0.35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306"/>
      <c r="W425" s="239"/>
      <c r="X425" s="239"/>
      <c r="Y425" s="239"/>
      <c r="Z425" s="239"/>
      <c r="AA425" s="239"/>
      <c r="AB425" s="239"/>
      <c r="AC425" s="239"/>
      <c r="AD425" s="245"/>
      <c r="AE425" s="239"/>
      <c r="AF425" s="239"/>
      <c r="AG425" s="239"/>
      <c r="AH425" s="239"/>
      <c r="AI425" s="239"/>
      <c r="AJ425" s="239"/>
      <c r="AK425" s="239"/>
      <c r="AL425" s="239"/>
      <c r="AM425" s="245"/>
      <c r="AN425" s="239"/>
      <c r="AO425" s="239"/>
      <c r="AP425" s="239"/>
      <c r="AQ425" s="306"/>
      <c r="AR425" s="239"/>
      <c r="AS425" s="239"/>
      <c r="AT425" s="239"/>
      <c r="AU425" s="239"/>
    </row>
    <row r="426" spans="1:47" x14ac:dyDescent="0.35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306"/>
      <c r="W426" s="239"/>
      <c r="X426" s="239"/>
      <c r="Y426" s="239"/>
      <c r="Z426" s="239"/>
      <c r="AA426" s="239"/>
      <c r="AB426" s="239"/>
      <c r="AC426" s="239"/>
      <c r="AD426" s="245"/>
      <c r="AE426" s="239"/>
      <c r="AF426" s="239"/>
      <c r="AG426" s="239"/>
      <c r="AH426" s="239"/>
      <c r="AI426" s="239"/>
      <c r="AJ426" s="239"/>
      <c r="AK426" s="239"/>
      <c r="AL426" s="239"/>
      <c r="AM426" s="245"/>
      <c r="AN426" s="239"/>
      <c r="AO426" s="239"/>
      <c r="AP426" s="239"/>
      <c r="AQ426" s="306"/>
      <c r="AR426" s="239"/>
      <c r="AS426" s="239"/>
      <c r="AT426" s="239"/>
      <c r="AU426" s="239"/>
    </row>
    <row r="427" spans="1:47" x14ac:dyDescent="0.35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306"/>
      <c r="W427" s="239"/>
      <c r="X427" s="239"/>
      <c r="Y427" s="239"/>
      <c r="Z427" s="239"/>
      <c r="AA427" s="239"/>
      <c r="AB427" s="239"/>
      <c r="AC427" s="239"/>
      <c r="AD427" s="245"/>
      <c r="AE427" s="239"/>
      <c r="AF427" s="239"/>
      <c r="AG427" s="239"/>
      <c r="AH427" s="239"/>
      <c r="AI427" s="239"/>
      <c r="AJ427" s="239"/>
      <c r="AK427" s="239"/>
      <c r="AL427" s="239"/>
      <c r="AM427" s="245"/>
      <c r="AN427" s="239"/>
      <c r="AO427" s="239"/>
      <c r="AP427" s="239"/>
      <c r="AQ427" s="306"/>
      <c r="AR427" s="239"/>
      <c r="AS427" s="239"/>
      <c r="AT427" s="239"/>
      <c r="AU427" s="239"/>
    </row>
    <row r="428" spans="1:47" x14ac:dyDescent="0.35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306"/>
      <c r="W428" s="239"/>
      <c r="X428" s="239"/>
      <c r="Y428" s="239"/>
      <c r="Z428" s="239"/>
      <c r="AA428" s="239"/>
      <c r="AB428" s="239"/>
      <c r="AC428" s="239"/>
      <c r="AD428" s="245"/>
      <c r="AE428" s="239"/>
      <c r="AF428" s="239"/>
      <c r="AG428" s="239"/>
      <c r="AH428" s="239"/>
      <c r="AI428" s="239"/>
      <c r="AJ428" s="239"/>
      <c r="AK428" s="239"/>
      <c r="AL428" s="239"/>
      <c r="AM428" s="245"/>
      <c r="AN428" s="239"/>
      <c r="AO428" s="239"/>
      <c r="AP428" s="239"/>
      <c r="AQ428" s="306"/>
      <c r="AR428" s="239"/>
      <c r="AS428" s="239"/>
      <c r="AT428" s="239"/>
      <c r="AU428" s="239"/>
    </row>
    <row r="429" spans="1:47" x14ac:dyDescent="0.35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306"/>
      <c r="W429" s="239"/>
      <c r="X429" s="239"/>
      <c r="Y429" s="239"/>
      <c r="Z429" s="239"/>
      <c r="AA429" s="239"/>
      <c r="AB429" s="239"/>
      <c r="AC429" s="239"/>
      <c r="AD429" s="245"/>
      <c r="AE429" s="239"/>
      <c r="AF429" s="239"/>
      <c r="AG429" s="239"/>
      <c r="AH429" s="239"/>
      <c r="AI429" s="239"/>
      <c r="AJ429" s="239"/>
      <c r="AK429" s="239"/>
      <c r="AL429" s="239"/>
      <c r="AM429" s="245"/>
      <c r="AN429" s="239"/>
      <c r="AO429" s="239"/>
      <c r="AP429" s="239"/>
      <c r="AQ429" s="306"/>
      <c r="AR429" s="239"/>
      <c r="AS429" s="239"/>
      <c r="AT429" s="239"/>
      <c r="AU429" s="239"/>
    </row>
    <row r="430" spans="1:47" x14ac:dyDescent="0.35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306"/>
      <c r="W430" s="239"/>
      <c r="X430" s="239"/>
      <c r="Y430" s="239"/>
      <c r="Z430" s="239"/>
      <c r="AA430" s="239"/>
      <c r="AB430" s="239"/>
      <c r="AC430" s="239"/>
      <c r="AD430" s="245"/>
      <c r="AE430" s="239"/>
      <c r="AF430" s="239"/>
      <c r="AG430" s="239"/>
      <c r="AH430" s="239"/>
      <c r="AI430" s="239"/>
      <c r="AJ430" s="239"/>
      <c r="AK430" s="239"/>
      <c r="AL430" s="239"/>
      <c r="AM430" s="245"/>
      <c r="AN430" s="239"/>
      <c r="AO430" s="239"/>
      <c r="AP430" s="239"/>
      <c r="AQ430" s="306"/>
      <c r="AR430" s="239"/>
      <c r="AS430" s="239"/>
      <c r="AT430" s="239"/>
      <c r="AU430" s="239"/>
    </row>
    <row r="431" spans="1:47" x14ac:dyDescent="0.35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306"/>
      <c r="W431" s="239"/>
      <c r="X431" s="239"/>
      <c r="Y431" s="239"/>
      <c r="Z431" s="239"/>
      <c r="AA431" s="239"/>
      <c r="AB431" s="239"/>
      <c r="AC431" s="239"/>
      <c r="AD431" s="245"/>
      <c r="AE431" s="239"/>
      <c r="AF431" s="239"/>
      <c r="AG431" s="239"/>
      <c r="AH431" s="239"/>
      <c r="AI431" s="239"/>
      <c r="AJ431" s="239"/>
      <c r="AK431" s="239"/>
      <c r="AL431" s="239"/>
      <c r="AM431" s="245"/>
      <c r="AN431" s="239"/>
      <c r="AO431" s="239"/>
      <c r="AP431" s="239"/>
      <c r="AQ431" s="306"/>
      <c r="AR431" s="239"/>
      <c r="AS431" s="239"/>
      <c r="AT431" s="239"/>
      <c r="AU431" s="239"/>
    </row>
    <row r="432" spans="1:47" x14ac:dyDescent="0.35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306"/>
      <c r="W432" s="239"/>
      <c r="X432" s="239"/>
      <c r="Y432" s="239"/>
      <c r="Z432" s="239"/>
      <c r="AA432" s="239"/>
      <c r="AB432" s="239"/>
      <c r="AC432" s="239"/>
      <c r="AD432" s="245"/>
      <c r="AE432" s="239"/>
      <c r="AF432" s="239"/>
      <c r="AG432" s="239"/>
      <c r="AH432" s="239"/>
      <c r="AI432" s="239"/>
      <c r="AJ432" s="239"/>
      <c r="AK432" s="239"/>
      <c r="AL432" s="239"/>
      <c r="AM432" s="245"/>
      <c r="AN432" s="239"/>
      <c r="AO432" s="239"/>
      <c r="AP432" s="239"/>
      <c r="AQ432" s="306"/>
      <c r="AR432" s="239"/>
      <c r="AS432" s="239"/>
      <c r="AT432" s="239"/>
      <c r="AU432" s="239"/>
    </row>
    <row r="433" spans="1:47" x14ac:dyDescent="0.35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306"/>
      <c r="W433" s="239"/>
      <c r="X433" s="239"/>
      <c r="Y433" s="239"/>
      <c r="Z433" s="239"/>
      <c r="AA433" s="239"/>
      <c r="AB433" s="239"/>
      <c r="AC433" s="239"/>
      <c r="AD433" s="245"/>
      <c r="AE433" s="239"/>
      <c r="AF433" s="239"/>
      <c r="AG433" s="239"/>
      <c r="AH433" s="239"/>
      <c r="AI433" s="239"/>
      <c r="AJ433" s="239"/>
      <c r="AK433" s="239"/>
      <c r="AL433" s="239"/>
      <c r="AM433" s="245"/>
      <c r="AN433" s="239"/>
      <c r="AO433" s="239"/>
      <c r="AP433" s="239"/>
      <c r="AQ433" s="306"/>
      <c r="AR433" s="239"/>
      <c r="AS433" s="239"/>
      <c r="AT433" s="239"/>
      <c r="AU433" s="239"/>
    </row>
    <row r="434" spans="1:47" x14ac:dyDescent="0.35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306"/>
      <c r="W434" s="239"/>
      <c r="X434" s="239"/>
      <c r="Y434" s="239"/>
      <c r="Z434" s="239"/>
      <c r="AA434" s="239"/>
      <c r="AB434" s="239"/>
      <c r="AC434" s="239"/>
      <c r="AD434" s="245"/>
      <c r="AE434" s="239"/>
      <c r="AF434" s="239"/>
      <c r="AG434" s="239"/>
      <c r="AH434" s="239"/>
      <c r="AI434" s="239"/>
      <c r="AJ434" s="239"/>
      <c r="AK434" s="239"/>
      <c r="AL434" s="239"/>
      <c r="AM434" s="245"/>
      <c r="AN434" s="239"/>
      <c r="AO434" s="239"/>
      <c r="AP434" s="239"/>
      <c r="AQ434" s="306"/>
      <c r="AR434" s="239"/>
      <c r="AS434" s="239"/>
      <c r="AT434" s="239"/>
      <c r="AU434" s="239"/>
    </row>
    <row r="435" spans="1:47" x14ac:dyDescent="0.35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306"/>
      <c r="W435" s="239"/>
      <c r="X435" s="239"/>
      <c r="Y435" s="239"/>
      <c r="Z435" s="239"/>
      <c r="AA435" s="239"/>
      <c r="AB435" s="239"/>
      <c r="AC435" s="239"/>
      <c r="AD435" s="245"/>
      <c r="AE435" s="239"/>
      <c r="AF435" s="239"/>
      <c r="AG435" s="239"/>
      <c r="AH435" s="239"/>
      <c r="AI435" s="239"/>
      <c r="AJ435" s="239"/>
      <c r="AK435" s="239"/>
      <c r="AL435" s="239"/>
      <c r="AM435" s="245"/>
      <c r="AN435" s="239"/>
      <c r="AO435" s="239"/>
      <c r="AP435" s="239"/>
      <c r="AQ435" s="306"/>
      <c r="AR435" s="239"/>
      <c r="AS435" s="239"/>
      <c r="AT435" s="239"/>
      <c r="AU435" s="239"/>
    </row>
    <row r="436" spans="1:47" x14ac:dyDescent="0.35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306"/>
      <c r="W436" s="239"/>
      <c r="X436" s="239"/>
      <c r="Y436" s="239"/>
      <c r="Z436" s="239"/>
      <c r="AA436" s="239"/>
      <c r="AB436" s="239"/>
      <c r="AC436" s="239"/>
      <c r="AD436" s="245"/>
      <c r="AE436" s="239"/>
      <c r="AF436" s="239"/>
      <c r="AG436" s="239"/>
      <c r="AH436" s="239"/>
      <c r="AI436" s="239"/>
      <c r="AJ436" s="239"/>
      <c r="AK436" s="239"/>
      <c r="AL436" s="239"/>
      <c r="AM436" s="245"/>
      <c r="AN436" s="239"/>
      <c r="AO436" s="239"/>
      <c r="AP436" s="239"/>
      <c r="AQ436" s="306"/>
      <c r="AR436" s="239"/>
      <c r="AS436" s="239"/>
      <c r="AT436" s="239"/>
      <c r="AU436" s="239"/>
    </row>
    <row r="437" spans="1:47" x14ac:dyDescent="0.35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306"/>
      <c r="W437" s="239"/>
      <c r="X437" s="239"/>
      <c r="Y437" s="239"/>
      <c r="Z437" s="239"/>
      <c r="AA437" s="239"/>
      <c r="AB437" s="239"/>
      <c r="AC437" s="239"/>
      <c r="AD437" s="245"/>
      <c r="AE437" s="239"/>
      <c r="AF437" s="239"/>
      <c r="AG437" s="239"/>
      <c r="AH437" s="239"/>
      <c r="AI437" s="239"/>
      <c r="AJ437" s="239"/>
      <c r="AK437" s="239"/>
      <c r="AL437" s="239"/>
      <c r="AM437" s="245"/>
      <c r="AN437" s="239"/>
      <c r="AO437" s="239"/>
      <c r="AP437" s="239"/>
      <c r="AQ437" s="306"/>
      <c r="AR437" s="239"/>
      <c r="AS437" s="239"/>
      <c r="AT437" s="239"/>
      <c r="AU437" s="239"/>
    </row>
    <row r="438" spans="1:47" x14ac:dyDescent="0.35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306"/>
      <c r="W438" s="239"/>
      <c r="X438" s="239"/>
      <c r="Y438" s="239"/>
      <c r="Z438" s="239"/>
      <c r="AA438" s="239"/>
      <c r="AB438" s="239"/>
      <c r="AC438" s="239"/>
      <c r="AD438" s="245"/>
      <c r="AE438" s="239"/>
      <c r="AF438" s="239"/>
      <c r="AG438" s="239"/>
      <c r="AH438" s="239"/>
      <c r="AI438" s="239"/>
      <c r="AJ438" s="239"/>
      <c r="AK438" s="239"/>
      <c r="AL438" s="239"/>
      <c r="AM438" s="245"/>
      <c r="AN438" s="239"/>
      <c r="AO438" s="239"/>
      <c r="AP438" s="239"/>
      <c r="AQ438" s="306"/>
      <c r="AR438" s="239"/>
      <c r="AS438" s="239"/>
      <c r="AT438" s="239"/>
      <c r="AU438" s="239"/>
    </row>
    <row r="439" spans="1:47" x14ac:dyDescent="0.35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306"/>
      <c r="W439" s="239"/>
      <c r="X439" s="239"/>
      <c r="Y439" s="239"/>
      <c r="Z439" s="239"/>
      <c r="AA439" s="239"/>
      <c r="AB439" s="239"/>
      <c r="AC439" s="239"/>
      <c r="AD439" s="245"/>
      <c r="AE439" s="239"/>
      <c r="AF439" s="239"/>
      <c r="AG439" s="239"/>
      <c r="AH439" s="239"/>
      <c r="AI439" s="239"/>
      <c r="AJ439" s="239"/>
      <c r="AK439" s="239"/>
      <c r="AL439" s="239"/>
      <c r="AM439" s="245"/>
      <c r="AN439" s="239"/>
      <c r="AO439" s="239"/>
      <c r="AP439" s="239"/>
      <c r="AQ439" s="306"/>
      <c r="AR439" s="239"/>
      <c r="AS439" s="239"/>
      <c r="AT439" s="239"/>
      <c r="AU439" s="239"/>
    </row>
    <row r="440" spans="1:47" x14ac:dyDescent="0.35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306"/>
      <c r="W440" s="239"/>
      <c r="X440" s="239"/>
      <c r="Y440" s="239"/>
      <c r="Z440" s="239"/>
      <c r="AA440" s="239"/>
      <c r="AB440" s="239"/>
      <c r="AC440" s="239"/>
      <c r="AD440" s="245"/>
      <c r="AE440" s="239"/>
      <c r="AF440" s="239"/>
      <c r="AG440" s="239"/>
      <c r="AH440" s="239"/>
      <c r="AI440" s="239"/>
      <c r="AJ440" s="239"/>
      <c r="AK440" s="239"/>
      <c r="AL440" s="239"/>
      <c r="AM440" s="245"/>
      <c r="AN440" s="239"/>
      <c r="AO440" s="239"/>
      <c r="AP440" s="239"/>
      <c r="AQ440" s="306"/>
      <c r="AR440" s="239"/>
      <c r="AS440" s="239"/>
      <c r="AT440" s="239"/>
      <c r="AU440" s="239"/>
    </row>
    <row r="441" spans="1:47" x14ac:dyDescent="0.35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306"/>
      <c r="W441" s="239"/>
      <c r="X441" s="239"/>
      <c r="Y441" s="239"/>
      <c r="Z441" s="239"/>
      <c r="AA441" s="239"/>
      <c r="AB441" s="239"/>
      <c r="AC441" s="239"/>
      <c r="AD441" s="245"/>
      <c r="AE441" s="239"/>
      <c r="AF441" s="239"/>
      <c r="AG441" s="239"/>
      <c r="AH441" s="239"/>
      <c r="AI441" s="239"/>
      <c r="AJ441" s="239"/>
      <c r="AK441" s="239"/>
      <c r="AL441" s="239"/>
      <c r="AM441" s="245"/>
      <c r="AN441" s="239"/>
      <c r="AO441" s="239"/>
      <c r="AP441" s="239"/>
      <c r="AQ441" s="306"/>
      <c r="AR441" s="239"/>
      <c r="AS441" s="239"/>
      <c r="AT441" s="239"/>
      <c r="AU441" s="239"/>
    </row>
    <row r="442" spans="1:47" x14ac:dyDescent="0.35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306"/>
      <c r="W442" s="239"/>
      <c r="X442" s="239"/>
      <c r="Y442" s="239"/>
      <c r="Z442" s="239"/>
      <c r="AA442" s="239"/>
      <c r="AB442" s="239"/>
      <c r="AC442" s="239"/>
      <c r="AD442" s="245"/>
      <c r="AE442" s="239"/>
      <c r="AF442" s="239"/>
      <c r="AG442" s="239"/>
      <c r="AH442" s="239"/>
      <c r="AI442" s="239"/>
      <c r="AJ442" s="239"/>
      <c r="AK442" s="239"/>
      <c r="AL442" s="239"/>
      <c r="AM442" s="245"/>
      <c r="AN442" s="239"/>
      <c r="AO442" s="239"/>
      <c r="AP442" s="239"/>
      <c r="AQ442" s="306"/>
      <c r="AR442" s="239"/>
      <c r="AS442" s="239"/>
      <c r="AT442" s="239"/>
      <c r="AU442" s="239"/>
    </row>
    <row r="443" spans="1:47" x14ac:dyDescent="0.35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306"/>
      <c r="W443" s="239"/>
      <c r="X443" s="239"/>
      <c r="Y443" s="239"/>
      <c r="Z443" s="239"/>
      <c r="AA443" s="239"/>
      <c r="AB443" s="239"/>
      <c r="AC443" s="239"/>
      <c r="AD443" s="245"/>
      <c r="AE443" s="239"/>
      <c r="AF443" s="239"/>
      <c r="AG443" s="239"/>
      <c r="AH443" s="239"/>
      <c r="AI443" s="239"/>
      <c r="AJ443" s="239"/>
      <c r="AK443" s="239"/>
      <c r="AL443" s="239"/>
      <c r="AM443" s="245"/>
      <c r="AN443" s="239"/>
      <c r="AO443" s="239"/>
      <c r="AP443" s="239"/>
      <c r="AQ443" s="306"/>
      <c r="AR443" s="239"/>
      <c r="AS443" s="239"/>
      <c r="AT443" s="239"/>
      <c r="AU443" s="239"/>
    </row>
    <row r="444" spans="1:47" x14ac:dyDescent="0.35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306"/>
      <c r="W444" s="239"/>
      <c r="X444" s="239"/>
      <c r="Y444" s="239"/>
      <c r="Z444" s="239"/>
      <c r="AA444" s="239"/>
      <c r="AB444" s="239"/>
      <c r="AC444" s="239"/>
      <c r="AD444" s="245"/>
      <c r="AE444" s="239"/>
      <c r="AF444" s="239"/>
      <c r="AG444" s="239"/>
      <c r="AH444" s="239"/>
      <c r="AI444" s="239"/>
      <c r="AJ444" s="239"/>
      <c r="AK444" s="239"/>
      <c r="AL444" s="239"/>
      <c r="AM444" s="245"/>
      <c r="AN444" s="239"/>
      <c r="AO444" s="239"/>
      <c r="AP444" s="239"/>
      <c r="AQ444" s="306"/>
      <c r="AR444" s="239"/>
      <c r="AS444" s="239"/>
      <c r="AT444" s="239"/>
      <c r="AU444" s="239"/>
    </row>
    <row r="445" spans="1:47" x14ac:dyDescent="0.35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306"/>
      <c r="W445" s="239"/>
      <c r="X445" s="239"/>
      <c r="Y445" s="239"/>
      <c r="Z445" s="239"/>
      <c r="AA445" s="239"/>
      <c r="AB445" s="239"/>
      <c r="AC445" s="239"/>
      <c r="AD445" s="245"/>
      <c r="AE445" s="239"/>
      <c r="AF445" s="239"/>
      <c r="AG445" s="239"/>
      <c r="AH445" s="239"/>
      <c r="AI445" s="239"/>
      <c r="AJ445" s="239"/>
      <c r="AK445" s="239"/>
      <c r="AL445" s="239"/>
      <c r="AM445" s="245"/>
      <c r="AN445" s="239"/>
      <c r="AO445" s="239"/>
      <c r="AP445" s="239"/>
      <c r="AQ445" s="306"/>
      <c r="AR445" s="239"/>
      <c r="AS445" s="239"/>
      <c r="AT445" s="239"/>
      <c r="AU445" s="239"/>
    </row>
    <row r="446" spans="1:47" x14ac:dyDescent="0.35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306"/>
      <c r="W446" s="239"/>
      <c r="X446" s="239"/>
      <c r="Y446" s="239"/>
      <c r="Z446" s="239"/>
      <c r="AA446" s="239"/>
      <c r="AB446" s="239"/>
      <c r="AC446" s="239"/>
      <c r="AD446" s="245"/>
      <c r="AE446" s="239"/>
      <c r="AF446" s="239"/>
      <c r="AG446" s="239"/>
      <c r="AH446" s="239"/>
      <c r="AI446" s="239"/>
      <c r="AJ446" s="239"/>
      <c r="AK446" s="239"/>
      <c r="AL446" s="239"/>
      <c r="AM446" s="245"/>
      <c r="AN446" s="239"/>
      <c r="AO446" s="239"/>
      <c r="AP446" s="239"/>
      <c r="AQ446" s="306"/>
      <c r="AR446" s="239"/>
      <c r="AS446" s="239"/>
      <c r="AT446" s="239"/>
      <c r="AU446" s="239"/>
    </row>
    <row r="447" spans="1:47" x14ac:dyDescent="0.35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306"/>
      <c r="W447" s="239"/>
      <c r="X447" s="239"/>
      <c r="Y447" s="239"/>
      <c r="Z447" s="239"/>
      <c r="AA447" s="239"/>
      <c r="AB447" s="239"/>
      <c r="AC447" s="239"/>
      <c r="AD447" s="245"/>
      <c r="AE447" s="239"/>
      <c r="AF447" s="239"/>
      <c r="AG447" s="239"/>
      <c r="AH447" s="239"/>
      <c r="AI447" s="239"/>
      <c r="AJ447" s="239"/>
      <c r="AK447" s="239"/>
      <c r="AL447" s="239"/>
      <c r="AM447" s="245"/>
      <c r="AN447" s="239"/>
      <c r="AO447" s="239"/>
      <c r="AP447" s="239"/>
      <c r="AQ447" s="306"/>
      <c r="AR447" s="239"/>
      <c r="AS447" s="239"/>
      <c r="AT447" s="239"/>
      <c r="AU447" s="239"/>
    </row>
    <row r="448" spans="1:47" x14ac:dyDescent="0.35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306"/>
      <c r="W448" s="239"/>
      <c r="X448" s="239"/>
      <c r="Y448" s="239"/>
      <c r="Z448" s="239"/>
      <c r="AA448" s="239"/>
      <c r="AB448" s="239"/>
      <c r="AC448" s="239"/>
      <c r="AD448" s="245"/>
      <c r="AE448" s="239"/>
      <c r="AF448" s="239"/>
      <c r="AG448" s="239"/>
      <c r="AH448" s="239"/>
      <c r="AI448" s="239"/>
      <c r="AJ448" s="239"/>
      <c r="AK448" s="239"/>
      <c r="AL448" s="239"/>
      <c r="AM448" s="245"/>
      <c r="AN448" s="239"/>
      <c r="AO448" s="239"/>
      <c r="AP448" s="239"/>
      <c r="AQ448" s="306"/>
      <c r="AR448" s="239"/>
      <c r="AS448" s="239"/>
      <c r="AT448" s="239"/>
      <c r="AU448" s="239"/>
    </row>
    <row r="449" spans="1:47" x14ac:dyDescent="0.35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306"/>
      <c r="W449" s="239"/>
      <c r="X449" s="239"/>
      <c r="Y449" s="239"/>
      <c r="Z449" s="239"/>
      <c r="AA449" s="239"/>
      <c r="AB449" s="239"/>
      <c r="AC449" s="239"/>
      <c r="AD449" s="245"/>
      <c r="AE449" s="239"/>
      <c r="AF449" s="239"/>
      <c r="AG449" s="239"/>
      <c r="AH449" s="239"/>
      <c r="AI449" s="239"/>
      <c r="AJ449" s="239"/>
      <c r="AK449" s="239"/>
      <c r="AL449" s="239"/>
      <c r="AM449" s="245"/>
      <c r="AN449" s="239"/>
      <c r="AO449" s="239"/>
      <c r="AP449" s="239"/>
      <c r="AQ449" s="306"/>
      <c r="AR449" s="239"/>
      <c r="AS449" s="239"/>
      <c r="AT449" s="239"/>
      <c r="AU449" s="239"/>
    </row>
    <row r="450" spans="1:47" x14ac:dyDescent="0.35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306"/>
      <c r="W450" s="239"/>
      <c r="X450" s="239"/>
      <c r="Y450" s="239"/>
      <c r="Z450" s="239"/>
      <c r="AA450" s="239"/>
      <c r="AB450" s="239"/>
      <c r="AC450" s="239"/>
      <c r="AD450" s="245"/>
      <c r="AE450" s="239"/>
      <c r="AF450" s="239"/>
      <c r="AG450" s="239"/>
      <c r="AH450" s="239"/>
      <c r="AI450" s="239"/>
      <c r="AJ450" s="239"/>
      <c r="AK450" s="239"/>
      <c r="AL450" s="239"/>
      <c r="AM450" s="245"/>
      <c r="AN450" s="239"/>
      <c r="AO450" s="239"/>
      <c r="AP450" s="239"/>
      <c r="AQ450" s="306"/>
      <c r="AR450" s="239"/>
      <c r="AS450" s="239"/>
      <c r="AT450" s="239"/>
      <c r="AU450" s="239"/>
    </row>
    <row r="451" spans="1:47" x14ac:dyDescent="0.35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306"/>
      <c r="W451" s="239"/>
      <c r="X451" s="239"/>
      <c r="Y451" s="239"/>
      <c r="Z451" s="239"/>
      <c r="AA451" s="239"/>
      <c r="AB451" s="239"/>
      <c r="AC451" s="239"/>
      <c r="AD451" s="245"/>
      <c r="AE451" s="239"/>
      <c r="AF451" s="239"/>
      <c r="AG451" s="239"/>
      <c r="AH451" s="239"/>
      <c r="AI451" s="239"/>
      <c r="AJ451" s="239"/>
      <c r="AK451" s="239"/>
      <c r="AL451" s="239"/>
      <c r="AM451" s="245"/>
      <c r="AN451" s="239"/>
      <c r="AO451" s="239"/>
      <c r="AP451" s="239"/>
      <c r="AQ451" s="306"/>
      <c r="AR451" s="239"/>
      <c r="AS451" s="239"/>
      <c r="AT451" s="239"/>
      <c r="AU451" s="239"/>
    </row>
    <row r="452" spans="1:47" x14ac:dyDescent="0.35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306"/>
      <c r="W452" s="239"/>
      <c r="X452" s="239"/>
      <c r="Y452" s="239"/>
      <c r="Z452" s="239"/>
      <c r="AA452" s="239"/>
      <c r="AB452" s="239"/>
      <c r="AC452" s="239"/>
      <c r="AD452" s="245"/>
      <c r="AE452" s="239"/>
      <c r="AF452" s="239"/>
      <c r="AG452" s="239"/>
      <c r="AH452" s="239"/>
      <c r="AI452" s="239"/>
      <c r="AJ452" s="239"/>
      <c r="AK452" s="239"/>
      <c r="AL452" s="239"/>
      <c r="AM452" s="245"/>
      <c r="AN452" s="239"/>
      <c r="AO452" s="239"/>
      <c r="AP452" s="239"/>
      <c r="AQ452" s="306"/>
      <c r="AR452" s="239"/>
      <c r="AS452" s="239"/>
      <c r="AT452" s="239"/>
      <c r="AU452" s="239"/>
    </row>
    <row r="453" spans="1:47" x14ac:dyDescent="0.35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306"/>
      <c r="W453" s="239"/>
      <c r="X453" s="239"/>
      <c r="Y453" s="239"/>
      <c r="Z453" s="239"/>
      <c r="AA453" s="239"/>
      <c r="AB453" s="239"/>
      <c r="AC453" s="239"/>
      <c r="AD453" s="245"/>
      <c r="AE453" s="239"/>
      <c r="AF453" s="239"/>
      <c r="AG453" s="239"/>
      <c r="AH453" s="239"/>
      <c r="AI453" s="239"/>
      <c r="AJ453" s="239"/>
      <c r="AK453" s="239"/>
      <c r="AL453" s="239"/>
      <c r="AM453" s="245"/>
      <c r="AN453" s="239"/>
      <c r="AO453" s="239"/>
      <c r="AP453" s="239"/>
      <c r="AQ453" s="306"/>
      <c r="AR453" s="239"/>
      <c r="AS453" s="239"/>
      <c r="AT453" s="239"/>
      <c r="AU453" s="239"/>
    </row>
    <row r="454" spans="1:47" x14ac:dyDescent="0.35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306"/>
      <c r="W454" s="239"/>
      <c r="X454" s="239"/>
      <c r="Y454" s="239"/>
      <c r="Z454" s="239"/>
      <c r="AA454" s="239"/>
      <c r="AB454" s="239"/>
      <c r="AC454" s="239"/>
      <c r="AD454" s="245"/>
      <c r="AE454" s="239"/>
      <c r="AF454" s="239"/>
      <c r="AG454" s="239"/>
      <c r="AH454" s="239"/>
      <c r="AI454" s="239"/>
      <c r="AJ454" s="239"/>
      <c r="AK454" s="239"/>
      <c r="AL454" s="239"/>
      <c r="AM454" s="245"/>
      <c r="AN454" s="239"/>
      <c r="AO454" s="239"/>
      <c r="AP454" s="239"/>
      <c r="AQ454" s="306"/>
      <c r="AR454" s="239"/>
      <c r="AS454" s="239"/>
      <c r="AT454" s="239"/>
      <c r="AU454" s="239"/>
    </row>
    <row r="455" spans="1:47" x14ac:dyDescent="0.35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306"/>
      <c r="W455" s="239"/>
      <c r="X455" s="239"/>
      <c r="Y455" s="239"/>
      <c r="Z455" s="239"/>
      <c r="AA455" s="239"/>
      <c r="AB455" s="239"/>
      <c r="AC455" s="239"/>
      <c r="AD455" s="245"/>
      <c r="AE455" s="239"/>
      <c r="AF455" s="239"/>
      <c r="AG455" s="239"/>
      <c r="AH455" s="239"/>
      <c r="AI455" s="239"/>
      <c r="AJ455" s="239"/>
      <c r="AK455" s="239"/>
      <c r="AL455" s="239"/>
      <c r="AM455" s="245"/>
      <c r="AN455" s="239"/>
      <c r="AO455" s="239"/>
      <c r="AP455" s="239"/>
      <c r="AQ455" s="306"/>
      <c r="AR455" s="239"/>
      <c r="AS455" s="239"/>
      <c r="AT455" s="239"/>
      <c r="AU455" s="239"/>
    </row>
    <row r="456" spans="1:47" x14ac:dyDescent="0.35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306"/>
      <c r="W456" s="239"/>
      <c r="X456" s="239"/>
      <c r="Y456" s="239"/>
      <c r="Z456" s="239"/>
      <c r="AA456" s="239"/>
      <c r="AB456" s="239"/>
      <c r="AC456" s="239"/>
      <c r="AD456" s="245"/>
      <c r="AE456" s="239"/>
      <c r="AF456" s="239"/>
      <c r="AG456" s="239"/>
      <c r="AH456" s="239"/>
      <c r="AI456" s="239"/>
      <c r="AJ456" s="239"/>
      <c r="AK456" s="239"/>
      <c r="AL456" s="239"/>
      <c r="AM456" s="245"/>
      <c r="AN456" s="239"/>
      <c r="AO456" s="239"/>
      <c r="AP456" s="239"/>
      <c r="AQ456" s="306"/>
      <c r="AR456" s="239"/>
      <c r="AS456" s="239"/>
      <c r="AT456" s="239"/>
      <c r="AU456" s="239"/>
    </row>
    <row r="457" spans="1:47" x14ac:dyDescent="0.35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306"/>
      <c r="W457" s="239"/>
      <c r="X457" s="239"/>
      <c r="Y457" s="239"/>
      <c r="Z457" s="239"/>
      <c r="AA457" s="239"/>
      <c r="AB457" s="239"/>
      <c r="AC457" s="239"/>
      <c r="AD457" s="245"/>
      <c r="AE457" s="239"/>
      <c r="AF457" s="239"/>
      <c r="AG457" s="239"/>
      <c r="AH457" s="239"/>
      <c r="AI457" s="239"/>
      <c r="AJ457" s="239"/>
      <c r="AK457" s="239"/>
      <c r="AL457" s="239"/>
      <c r="AM457" s="245"/>
      <c r="AN457" s="239"/>
      <c r="AO457" s="239"/>
      <c r="AP457" s="239"/>
      <c r="AQ457" s="306"/>
      <c r="AR457" s="239"/>
      <c r="AS457" s="239"/>
      <c r="AT457" s="239"/>
      <c r="AU457" s="239"/>
    </row>
    <row r="458" spans="1:47" x14ac:dyDescent="0.35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306"/>
      <c r="W458" s="239"/>
      <c r="X458" s="239"/>
      <c r="Y458" s="239"/>
      <c r="Z458" s="239"/>
      <c r="AA458" s="239"/>
      <c r="AB458" s="239"/>
      <c r="AC458" s="239"/>
      <c r="AD458" s="245"/>
      <c r="AE458" s="239"/>
      <c r="AF458" s="239"/>
      <c r="AG458" s="239"/>
      <c r="AH458" s="239"/>
      <c r="AI458" s="239"/>
      <c r="AJ458" s="239"/>
      <c r="AK458" s="239"/>
      <c r="AL458" s="239"/>
      <c r="AM458" s="245"/>
      <c r="AN458" s="239"/>
      <c r="AO458" s="239"/>
      <c r="AP458" s="239"/>
      <c r="AQ458" s="306"/>
      <c r="AR458" s="239"/>
      <c r="AS458" s="239"/>
      <c r="AT458" s="239"/>
      <c r="AU458" s="239"/>
    </row>
    <row r="459" spans="1:47" x14ac:dyDescent="0.35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306"/>
      <c r="W459" s="239"/>
      <c r="X459" s="239"/>
      <c r="Y459" s="239"/>
      <c r="Z459" s="239"/>
      <c r="AA459" s="239"/>
      <c r="AB459" s="239"/>
      <c r="AC459" s="239"/>
      <c r="AD459" s="245"/>
      <c r="AE459" s="239"/>
      <c r="AF459" s="239"/>
      <c r="AG459" s="239"/>
      <c r="AH459" s="239"/>
      <c r="AI459" s="239"/>
      <c r="AJ459" s="239"/>
      <c r="AK459" s="239"/>
      <c r="AL459" s="239"/>
      <c r="AM459" s="245"/>
      <c r="AN459" s="239"/>
      <c r="AO459" s="239"/>
      <c r="AP459" s="239"/>
      <c r="AQ459" s="306"/>
      <c r="AR459" s="239"/>
      <c r="AS459" s="239"/>
      <c r="AT459" s="239"/>
      <c r="AU459" s="239"/>
    </row>
    <row r="460" spans="1:47" x14ac:dyDescent="0.35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306"/>
      <c r="W460" s="239"/>
      <c r="X460" s="239"/>
      <c r="Y460" s="239"/>
      <c r="Z460" s="239"/>
      <c r="AA460" s="239"/>
      <c r="AB460" s="239"/>
      <c r="AC460" s="239"/>
      <c r="AD460" s="245"/>
      <c r="AE460" s="239"/>
      <c r="AF460" s="239"/>
      <c r="AG460" s="239"/>
      <c r="AH460" s="239"/>
      <c r="AI460" s="239"/>
      <c r="AJ460" s="239"/>
      <c r="AK460" s="239"/>
      <c r="AL460" s="239"/>
      <c r="AM460" s="245"/>
      <c r="AN460" s="239"/>
      <c r="AO460" s="239"/>
      <c r="AP460" s="239"/>
      <c r="AQ460" s="306"/>
      <c r="AR460" s="239"/>
      <c r="AS460" s="239"/>
      <c r="AT460" s="239"/>
      <c r="AU460" s="239"/>
    </row>
    <row r="461" spans="1:47" x14ac:dyDescent="0.35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306"/>
      <c r="W461" s="239"/>
      <c r="X461" s="239"/>
      <c r="Y461" s="239"/>
      <c r="Z461" s="239"/>
      <c r="AA461" s="239"/>
      <c r="AB461" s="239"/>
      <c r="AC461" s="239"/>
      <c r="AD461" s="245"/>
      <c r="AE461" s="239"/>
      <c r="AF461" s="239"/>
      <c r="AG461" s="239"/>
      <c r="AH461" s="239"/>
      <c r="AI461" s="239"/>
      <c r="AJ461" s="239"/>
      <c r="AK461" s="239"/>
      <c r="AL461" s="239"/>
      <c r="AM461" s="245"/>
      <c r="AN461" s="239"/>
      <c r="AO461" s="239"/>
      <c r="AP461" s="239"/>
      <c r="AQ461" s="306"/>
      <c r="AR461" s="239"/>
      <c r="AS461" s="239"/>
      <c r="AT461" s="239"/>
      <c r="AU461" s="239"/>
    </row>
    <row r="462" spans="1:47" x14ac:dyDescent="0.35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306"/>
      <c r="W462" s="239"/>
      <c r="X462" s="239"/>
      <c r="Y462" s="239"/>
      <c r="Z462" s="239"/>
      <c r="AA462" s="239"/>
      <c r="AB462" s="239"/>
      <c r="AC462" s="239"/>
      <c r="AD462" s="245"/>
      <c r="AE462" s="239"/>
      <c r="AF462" s="239"/>
      <c r="AG462" s="239"/>
      <c r="AH462" s="239"/>
      <c r="AI462" s="239"/>
      <c r="AJ462" s="239"/>
      <c r="AK462" s="239"/>
      <c r="AL462" s="239"/>
      <c r="AM462" s="245"/>
      <c r="AN462" s="239"/>
      <c r="AO462" s="239"/>
      <c r="AP462" s="239"/>
      <c r="AQ462" s="306"/>
      <c r="AR462" s="239"/>
      <c r="AS462" s="239"/>
      <c r="AT462" s="239"/>
      <c r="AU462" s="239"/>
    </row>
    <row r="463" spans="1:47" x14ac:dyDescent="0.35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306"/>
      <c r="W463" s="239"/>
      <c r="X463" s="239"/>
      <c r="Y463" s="239"/>
      <c r="Z463" s="239"/>
      <c r="AA463" s="239"/>
      <c r="AB463" s="239"/>
      <c r="AC463" s="239"/>
      <c r="AD463" s="245"/>
      <c r="AE463" s="239"/>
      <c r="AF463" s="239"/>
      <c r="AG463" s="239"/>
      <c r="AH463" s="239"/>
      <c r="AI463" s="239"/>
      <c r="AJ463" s="239"/>
      <c r="AK463" s="239"/>
      <c r="AL463" s="239"/>
      <c r="AM463" s="245"/>
      <c r="AN463" s="239"/>
      <c r="AO463" s="239"/>
      <c r="AP463" s="239"/>
      <c r="AQ463" s="306"/>
      <c r="AR463" s="239"/>
      <c r="AS463" s="239"/>
      <c r="AT463" s="239"/>
      <c r="AU463" s="239"/>
    </row>
    <row r="464" spans="1:47" x14ac:dyDescent="0.35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306"/>
      <c r="W464" s="239"/>
      <c r="X464" s="239"/>
      <c r="Y464" s="239"/>
      <c r="Z464" s="239"/>
      <c r="AA464" s="239"/>
      <c r="AB464" s="239"/>
      <c r="AC464" s="239"/>
      <c r="AD464" s="245"/>
      <c r="AE464" s="239"/>
      <c r="AF464" s="239"/>
      <c r="AG464" s="239"/>
      <c r="AH464" s="239"/>
      <c r="AI464" s="239"/>
      <c r="AJ464" s="239"/>
      <c r="AK464" s="239"/>
      <c r="AL464" s="239"/>
      <c r="AM464" s="245"/>
      <c r="AN464" s="239"/>
      <c r="AO464" s="239"/>
      <c r="AP464" s="239"/>
      <c r="AQ464" s="306"/>
      <c r="AR464" s="239"/>
      <c r="AS464" s="239"/>
      <c r="AT464" s="239"/>
      <c r="AU464" s="239"/>
    </row>
    <row r="465" spans="1:47" x14ac:dyDescent="0.35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306"/>
      <c r="W465" s="239"/>
      <c r="X465" s="239"/>
      <c r="Y465" s="239"/>
      <c r="Z465" s="239"/>
      <c r="AA465" s="239"/>
      <c r="AB465" s="239"/>
      <c r="AC465" s="239"/>
      <c r="AD465" s="245"/>
      <c r="AE465" s="239"/>
      <c r="AF465" s="239"/>
      <c r="AG465" s="239"/>
      <c r="AH465" s="239"/>
      <c r="AI465" s="239"/>
      <c r="AJ465" s="239"/>
      <c r="AK465" s="239"/>
      <c r="AL465" s="239"/>
      <c r="AM465" s="245"/>
      <c r="AN465" s="239"/>
      <c r="AO465" s="239"/>
      <c r="AP465" s="239"/>
      <c r="AQ465" s="306"/>
      <c r="AR465" s="239"/>
      <c r="AS465" s="239"/>
      <c r="AT465" s="239"/>
      <c r="AU465" s="239"/>
    </row>
    <row r="466" spans="1:47" x14ac:dyDescent="0.35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306"/>
      <c r="W466" s="239"/>
      <c r="X466" s="239"/>
      <c r="Y466" s="239"/>
      <c r="Z466" s="239"/>
      <c r="AA466" s="239"/>
      <c r="AB466" s="239"/>
      <c r="AC466" s="239"/>
      <c r="AD466" s="245"/>
      <c r="AE466" s="239"/>
      <c r="AF466" s="239"/>
      <c r="AG466" s="239"/>
      <c r="AH466" s="239"/>
      <c r="AI466" s="239"/>
      <c r="AJ466" s="239"/>
      <c r="AK466" s="239"/>
      <c r="AL466" s="239"/>
      <c r="AM466" s="245"/>
      <c r="AN466" s="239"/>
      <c r="AO466" s="239"/>
      <c r="AP466" s="239"/>
      <c r="AQ466" s="306"/>
      <c r="AR466" s="239"/>
      <c r="AS466" s="239"/>
      <c r="AT466" s="239"/>
      <c r="AU466" s="239"/>
    </row>
    <row r="467" spans="1:47" x14ac:dyDescent="0.35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306"/>
      <c r="W467" s="239"/>
      <c r="X467" s="239"/>
      <c r="Y467" s="239"/>
      <c r="Z467" s="239"/>
      <c r="AA467" s="239"/>
      <c r="AB467" s="239"/>
      <c r="AC467" s="239"/>
      <c r="AD467" s="245"/>
      <c r="AE467" s="239"/>
      <c r="AF467" s="239"/>
      <c r="AG467" s="239"/>
      <c r="AH467" s="239"/>
      <c r="AI467" s="239"/>
      <c r="AJ467" s="239"/>
      <c r="AK467" s="239"/>
      <c r="AL467" s="239"/>
      <c r="AM467" s="245"/>
      <c r="AN467" s="239"/>
      <c r="AO467" s="239"/>
      <c r="AP467" s="239"/>
      <c r="AQ467" s="306"/>
      <c r="AR467" s="239"/>
      <c r="AS467" s="239"/>
      <c r="AT467" s="239"/>
      <c r="AU467" s="239"/>
    </row>
    <row r="468" spans="1:47" x14ac:dyDescent="0.35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306"/>
      <c r="W468" s="239"/>
      <c r="X468" s="239"/>
      <c r="Y468" s="239"/>
      <c r="Z468" s="239"/>
      <c r="AA468" s="239"/>
      <c r="AB468" s="239"/>
      <c r="AC468" s="239"/>
      <c r="AD468" s="245"/>
      <c r="AE468" s="239"/>
      <c r="AF468" s="239"/>
      <c r="AG468" s="239"/>
      <c r="AH468" s="239"/>
      <c r="AI468" s="239"/>
      <c r="AJ468" s="239"/>
      <c r="AK468" s="239"/>
      <c r="AL468" s="239"/>
      <c r="AM468" s="245"/>
      <c r="AN468" s="239"/>
      <c r="AO468" s="239"/>
      <c r="AP468" s="239"/>
      <c r="AQ468" s="306"/>
      <c r="AR468" s="239"/>
      <c r="AS468" s="239"/>
      <c r="AT468" s="239"/>
      <c r="AU468" s="239"/>
    </row>
    <row r="469" spans="1:47" x14ac:dyDescent="0.35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306"/>
      <c r="W469" s="239"/>
      <c r="X469" s="239"/>
      <c r="Y469" s="239"/>
      <c r="Z469" s="239"/>
      <c r="AA469" s="239"/>
      <c r="AB469" s="239"/>
      <c r="AC469" s="239"/>
      <c r="AD469" s="245"/>
      <c r="AE469" s="239"/>
      <c r="AF469" s="239"/>
      <c r="AG469" s="239"/>
      <c r="AH469" s="239"/>
      <c r="AI469" s="239"/>
      <c r="AJ469" s="239"/>
      <c r="AK469" s="239"/>
      <c r="AL469" s="239"/>
      <c r="AM469" s="245"/>
      <c r="AN469" s="239"/>
      <c r="AO469" s="239"/>
      <c r="AP469" s="239"/>
      <c r="AQ469" s="306"/>
      <c r="AR469" s="239"/>
      <c r="AS469" s="239"/>
      <c r="AT469" s="239"/>
      <c r="AU469" s="239"/>
    </row>
    <row r="470" spans="1:47" x14ac:dyDescent="0.35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306"/>
      <c r="W470" s="239"/>
      <c r="X470" s="239"/>
      <c r="Y470" s="239"/>
      <c r="Z470" s="239"/>
      <c r="AA470" s="239"/>
      <c r="AB470" s="239"/>
      <c r="AC470" s="239"/>
      <c r="AD470" s="245"/>
      <c r="AE470" s="239"/>
      <c r="AF470" s="239"/>
      <c r="AG470" s="239"/>
      <c r="AH470" s="239"/>
      <c r="AI470" s="239"/>
      <c r="AJ470" s="239"/>
      <c r="AK470" s="239"/>
      <c r="AL470" s="239"/>
      <c r="AM470" s="245"/>
      <c r="AN470" s="239"/>
      <c r="AO470" s="239"/>
      <c r="AP470" s="239"/>
      <c r="AQ470" s="306"/>
      <c r="AR470" s="239"/>
      <c r="AS470" s="239"/>
      <c r="AT470" s="239"/>
      <c r="AU470" s="239"/>
    </row>
    <row r="471" spans="1:47" x14ac:dyDescent="0.35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306"/>
      <c r="W471" s="239"/>
      <c r="X471" s="239"/>
      <c r="Y471" s="239"/>
      <c r="Z471" s="239"/>
      <c r="AA471" s="239"/>
      <c r="AB471" s="239"/>
      <c r="AC471" s="239"/>
      <c r="AD471" s="245"/>
      <c r="AE471" s="239"/>
      <c r="AF471" s="239"/>
      <c r="AG471" s="239"/>
      <c r="AH471" s="239"/>
      <c r="AI471" s="239"/>
      <c r="AJ471" s="239"/>
      <c r="AK471" s="239"/>
      <c r="AL471" s="239"/>
      <c r="AM471" s="245"/>
      <c r="AN471" s="239"/>
      <c r="AO471" s="239"/>
      <c r="AP471" s="239"/>
      <c r="AQ471" s="306"/>
      <c r="AR471" s="239"/>
      <c r="AS471" s="239"/>
      <c r="AT471" s="239"/>
      <c r="AU471" s="239"/>
    </row>
    <row r="472" spans="1:47" x14ac:dyDescent="0.35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306"/>
      <c r="W472" s="239"/>
      <c r="X472" s="239"/>
      <c r="Y472" s="239"/>
      <c r="Z472" s="239"/>
      <c r="AA472" s="239"/>
      <c r="AB472" s="239"/>
      <c r="AC472" s="239"/>
      <c r="AD472" s="245"/>
      <c r="AE472" s="239"/>
      <c r="AF472" s="239"/>
      <c r="AG472" s="239"/>
      <c r="AH472" s="239"/>
      <c r="AI472" s="239"/>
      <c r="AJ472" s="239"/>
      <c r="AK472" s="239"/>
      <c r="AL472" s="239"/>
      <c r="AM472" s="245"/>
      <c r="AN472" s="239"/>
      <c r="AO472" s="239"/>
      <c r="AP472" s="239"/>
      <c r="AQ472" s="306"/>
      <c r="AR472" s="239"/>
      <c r="AS472" s="239"/>
      <c r="AT472" s="239"/>
      <c r="AU472" s="239"/>
    </row>
    <row r="473" spans="1:47" x14ac:dyDescent="0.35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306"/>
      <c r="W473" s="239"/>
      <c r="X473" s="239"/>
      <c r="Y473" s="239"/>
      <c r="Z473" s="239"/>
      <c r="AA473" s="239"/>
      <c r="AB473" s="239"/>
      <c r="AC473" s="239"/>
      <c r="AD473" s="245"/>
      <c r="AE473" s="239"/>
      <c r="AF473" s="239"/>
      <c r="AG473" s="239"/>
      <c r="AH473" s="239"/>
      <c r="AI473" s="239"/>
      <c r="AJ473" s="239"/>
      <c r="AK473" s="239"/>
      <c r="AL473" s="239"/>
      <c r="AM473" s="245"/>
      <c r="AN473" s="239"/>
      <c r="AO473" s="239"/>
      <c r="AP473" s="239"/>
      <c r="AQ473" s="306"/>
      <c r="AR473" s="239"/>
      <c r="AS473" s="239"/>
      <c r="AT473" s="239"/>
      <c r="AU473" s="239"/>
    </row>
    <row r="474" spans="1:47" x14ac:dyDescent="0.35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306"/>
      <c r="W474" s="239"/>
      <c r="X474" s="239"/>
      <c r="Y474" s="239"/>
      <c r="Z474" s="239"/>
      <c r="AA474" s="239"/>
      <c r="AB474" s="239"/>
      <c r="AC474" s="239"/>
      <c r="AD474" s="245"/>
      <c r="AE474" s="239"/>
      <c r="AF474" s="239"/>
      <c r="AG474" s="239"/>
      <c r="AH474" s="239"/>
      <c r="AI474" s="239"/>
      <c r="AJ474" s="239"/>
      <c r="AK474" s="239"/>
      <c r="AL474" s="239"/>
      <c r="AM474" s="245"/>
      <c r="AN474" s="239"/>
      <c r="AO474" s="239"/>
      <c r="AP474" s="239"/>
      <c r="AQ474" s="306"/>
      <c r="AR474" s="239"/>
      <c r="AS474" s="239"/>
      <c r="AT474" s="239"/>
      <c r="AU474" s="239"/>
    </row>
    <row r="475" spans="1:47" x14ac:dyDescent="0.35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306"/>
      <c r="W475" s="239"/>
      <c r="X475" s="239"/>
      <c r="Y475" s="239"/>
      <c r="Z475" s="239"/>
      <c r="AA475" s="239"/>
      <c r="AB475" s="239"/>
      <c r="AC475" s="239"/>
      <c r="AD475" s="245"/>
      <c r="AE475" s="239"/>
      <c r="AF475" s="239"/>
      <c r="AG475" s="239"/>
      <c r="AH475" s="239"/>
      <c r="AI475" s="239"/>
      <c r="AJ475" s="239"/>
      <c r="AK475" s="239"/>
      <c r="AL475" s="239"/>
      <c r="AM475" s="245"/>
      <c r="AN475" s="239"/>
      <c r="AO475" s="239"/>
      <c r="AP475" s="239"/>
      <c r="AQ475" s="306"/>
      <c r="AR475" s="239"/>
      <c r="AS475" s="239"/>
      <c r="AT475" s="239"/>
      <c r="AU475" s="239"/>
    </row>
    <row r="476" spans="1:47" x14ac:dyDescent="0.35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306"/>
      <c r="W476" s="239"/>
      <c r="X476" s="239"/>
      <c r="Y476" s="239"/>
      <c r="Z476" s="239"/>
      <c r="AA476" s="239"/>
      <c r="AB476" s="239"/>
      <c r="AC476" s="239"/>
      <c r="AD476" s="245"/>
      <c r="AE476" s="239"/>
      <c r="AF476" s="239"/>
      <c r="AG476" s="239"/>
      <c r="AH476" s="239"/>
      <c r="AI476" s="239"/>
      <c r="AJ476" s="239"/>
      <c r="AK476" s="239"/>
      <c r="AL476" s="239"/>
      <c r="AM476" s="245"/>
      <c r="AN476" s="239"/>
      <c r="AO476" s="239"/>
      <c r="AP476" s="239"/>
      <c r="AQ476" s="306"/>
      <c r="AR476" s="239"/>
      <c r="AS476" s="239"/>
      <c r="AT476" s="239"/>
      <c r="AU476" s="239"/>
    </row>
    <row r="477" spans="1:47" x14ac:dyDescent="0.35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306"/>
      <c r="W477" s="239"/>
      <c r="X477" s="239"/>
      <c r="Y477" s="239"/>
      <c r="Z477" s="239"/>
      <c r="AA477" s="239"/>
      <c r="AB477" s="239"/>
      <c r="AC477" s="239"/>
      <c r="AD477" s="245"/>
      <c r="AE477" s="239"/>
      <c r="AF477" s="239"/>
      <c r="AG477" s="239"/>
      <c r="AH477" s="239"/>
      <c r="AI477" s="239"/>
      <c r="AJ477" s="239"/>
      <c r="AK477" s="239"/>
      <c r="AL477" s="239"/>
      <c r="AM477" s="245"/>
      <c r="AN477" s="239"/>
      <c r="AO477" s="239"/>
      <c r="AP477" s="239"/>
      <c r="AQ477" s="306"/>
      <c r="AR477" s="239"/>
      <c r="AS477" s="239"/>
      <c r="AT477" s="239"/>
      <c r="AU477" s="239"/>
    </row>
    <row r="478" spans="1:47" x14ac:dyDescent="0.35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306"/>
      <c r="W478" s="239"/>
      <c r="X478" s="239"/>
      <c r="Y478" s="239"/>
      <c r="Z478" s="239"/>
      <c r="AA478" s="239"/>
      <c r="AB478" s="239"/>
      <c r="AC478" s="239"/>
      <c r="AD478" s="245"/>
      <c r="AE478" s="239"/>
      <c r="AF478" s="239"/>
      <c r="AG478" s="239"/>
      <c r="AH478" s="239"/>
      <c r="AI478" s="239"/>
      <c r="AJ478" s="239"/>
      <c r="AK478" s="239"/>
      <c r="AL478" s="239"/>
      <c r="AM478" s="245"/>
      <c r="AN478" s="239"/>
      <c r="AO478" s="239"/>
      <c r="AP478" s="239"/>
      <c r="AQ478" s="306"/>
      <c r="AR478" s="239"/>
      <c r="AS478" s="239"/>
      <c r="AT478" s="239"/>
      <c r="AU478" s="239"/>
    </row>
    <row r="479" spans="1:47" x14ac:dyDescent="0.35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306"/>
      <c r="W479" s="239"/>
      <c r="X479" s="239"/>
      <c r="Y479" s="239"/>
      <c r="Z479" s="239"/>
      <c r="AA479" s="239"/>
      <c r="AB479" s="239"/>
      <c r="AC479" s="239"/>
      <c r="AD479" s="245"/>
      <c r="AE479" s="239"/>
      <c r="AF479" s="239"/>
      <c r="AG479" s="239"/>
      <c r="AH479" s="239"/>
      <c r="AI479" s="239"/>
      <c r="AJ479" s="239"/>
      <c r="AK479" s="239"/>
      <c r="AL479" s="239"/>
      <c r="AM479" s="245"/>
      <c r="AN479" s="239"/>
      <c r="AO479" s="239"/>
      <c r="AP479" s="239"/>
      <c r="AQ479" s="306"/>
      <c r="AR479" s="239"/>
      <c r="AS479" s="239"/>
      <c r="AT479" s="239"/>
      <c r="AU479" s="239"/>
    </row>
    <row r="480" spans="1:47" x14ac:dyDescent="0.35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306"/>
      <c r="W480" s="239"/>
      <c r="X480" s="239"/>
      <c r="Y480" s="239"/>
      <c r="Z480" s="239"/>
      <c r="AA480" s="239"/>
      <c r="AB480" s="239"/>
      <c r="AC480" s="239"/>
      <c r="AD480" s="245"/>
      <c r="AE480" s="239"/>
      <c r="AF480" s="239"/>
      <c r="AG480" s="239"/>
      <c r="AH480" s="239"/>
      <c r="AI480" s="239"/>
      <c r="AJ480" s="239"/>
      <c r="AK480" s="239"/>
      <c r="AL480" s="239"/>
      <c r="AM480" s="245"/>
      <c r="AN480" s="239"/>
      <c r="AO480" s="239"/>
      <c r="AP480" s="239"/>
      <c r="AQ480" s="306"/>
      <c r="AR480" s="239"/>
      <c r="AS480" s="239"/>
      <c r="AT480" s="239"/>
      <c r="AU480" s="239"/>
    </row>
    <row r="481" spans="1:47" x14ac:dyDescent="0.35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306"/>
      <c r="W481" s="239"/>
      <c r="X481" s="239"/>
      <c r="Y481" s="239"/>
      <c r="Z481" s="239"/>
      <c r="AA481" s="239"/>
      <c r="AB481" s="239"/>
      <c r="AC481" s="239"/>
      <c r="AD481" s="245"/>
      <c r="AE481" s="239"/>
      <c r="AF481" s="239"/>
      <c r="AG481" s="239"/>
      <c r="AH481" s="239"/>
      <c r="AI481" s="239"/>
      <c r="AJ481" s="239"/>
      <c r="AK481" s="239"/>
      <c r="AL481" s="239"/>
      <c r="AM481" s="245"/>
      <c r="AN481" s="239"/>
      <c r="AO481" s="239"/>
      <c r="AP481" s="239"/>
      <c r="AQ481" s="306"/>
      <c r="AR481" s="239"/>
      <c r="AS481" s="239"/>
      <c r="AT481" s="239"/>
      <c r="AU481" s="239"/>
    </row>
    <row r="482" spans="1:47" x14ac:dyDescent="0.35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306"/>
      <c r="W482" s="239"/>
      <c r="X482" s="239"/>
      <c r="Y482" s="239"/>
      <c r="Z482" s="239"/>
      <c r="AA482" s="239"/>
      <c r="AB482" s="239"/>
      <c r="AC482" s="239"/>
      <c r="AD482" s="245"/>
      <c r="AE482" s="239"/>
      <c r="AF482" s="239"/>
      <c r="AG482" s="239"/>
      <c r="AH482" s="239"/>
      <c r="AI482" s="239"/>
      <c r="AJ482" s="239"/>
      <c r="AK482" s="239"/>
      <c r="AL482" s="239"/>
      <c r="AM482" s="245"/>
      <c r="AN482" s="239"/>
      <c r="AO482" s="239"/>
      <c r="AP482" s="239"/>
      <c r="AQ482" s="306"/>
      <c r="AR482" s="239"/>
      <c r="AS482" s="239"/>
      <c r="AT482" s="239"/>
      <c r="AU482" s="239"/>
    </row>
    <row r="483" spans="1:47" x14ac:dyDescent="0.35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306"/>
      <c r="W483" s="239"/>
      <c r="X483" s="239"/>
      <c r="Y483" s="239"/>
      <c r="Z483" s="239"/>
      <c r="AA483" s="239"/>
      <c r="AB483" s="239"/>
      <c r="AC483" s="239"/>
      <c r="AD483" s="245"/>
      <c r="AE483" s="239"/>
      <c r="AF483" s="239"/>
      <c r="AG483" s="239"/>
      <c r="AH483" s="239"/>
      <c r="AI483" s="239"/>
      <c r="AJ483" s="239"/>
      <c r="AK483" s="239"/>
      <c r="AL483" s="239"/>
      <c r="AM483" s="245"/>
      <c r="AN483" s="239"/>
      <c r="AO483" s="239"/>
      <c r="AP483" s="239"/>
      <c r="AQ483" s="306"/>
      <c r="AR483" s="239"/>
      <c r="AS483" s="239"/>
      <c r="AT483" s="239"/>
      <c r="AU483" s="239"/>
    </row>
    <row r="484" spans="1:47" x14ac:dyDescent="0.35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306"/>
      <c r="W484" s="239"/>
      <c r="X484" s="239"/>
      <c r="Y484" s="239"/>
      <c r="Z484" s="239"/>
      <c r="AA484" s="239"/>
      <c r="AB484" s="239"/>
      <c r="AC484" s="239"/>
      <c r="AD484" s="245"/>
      <c r="AE484" s="239"/>
      <c r="AF484" s="239"/>
      <c r="AG484" s="239"/>
      <c r="AH484" s="239"/>
      <c r="AI484" s="239"/>
      <c r="AJ484" s="239"/>
      <c r="AK484" s="239"/>
      <c r="AL484" s="239"/>
      <c r="AM484" s="245"/>
      <c r="AN484" s="239"/>
      <c r="AO484" s="239"/>
      <c r="AP484" s="239"/>
      <c r="AQ484" s="306"/>
      <c r="AR484" s="239"/>
      <c r="AS484" s="239"/>
      <c r="AT484" s="239"/>
      <c r="AU484" s="239"/>
    </row>
    <row r="485" spans="1:47" x14ac:dyDescent="0.35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306"/>
      <c r="W485" s="239"/>
      <c r="X485" s="239"/>
      <c r="Y485" s="239"/>
      <c r="Z485" s="239"/>
      <c r="AA485" s="239"/>
      <c r="AB485" s="239"/>
      <c r="AC485" s="239"/>
      <c r="AD485" s="245"/>
      <c r="AE485" s="239"/>
      <c r="AF485" s="239"/>
      <c r="AG485" s="239"/>
      <c r="AH485" s="239"/>
      <c r="AI485" s="239"/>
      <c r="AJ485" s="239"/>
      <c r="AK485" s="239"/>
      <c r="AL485" s="239"/>
      <c r="AM485" s="245"/>
      <c r="AN485" s="239"/>
      <c r="AO485" s="239"/>
      <c r="AP485" s="239"/>
      <c r="AQ485" s="306"/>
      <c r="AR485" s="239"/>
      <c r="AS485" s="239"/>
      <c r="AT485" s="239"/>
      <c r="AU485" s="239"/>
    </row>
    <row r="486" spans="1:47" x14ac:dyDescent="0.35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306"/>
      <c r="W486" s="239"/>
      <c r="X486" s="239"/>
      <c r="Y486" s="239"/>
      <c r="Z486" s="239"/>
      <c r="AA486" s="239"/>
      <c r="AB486" s="239"/>
      <c r="AC486" s="239"/>
      <c r="AD486" s="245"/>
      <c r="AE486" s="239"/>
      <c r="AF486" s="239"/>
      <c r="AG486" s="239"/>
      <c r="AH486" s="239"/>
      <c r="AI486" s="239"/>
      <c r="AJ486" s="239"/>
      <c r="AK486" s="239"/>
      <c r="AL486" s="239"/>
      <c r="AM486" s="245"/>
      <c r="AN486" s="239"/>
      <c r="AO486" s="239"/>
      <c r="AP486" s="239"/>
      <c r="AQ486" s="306"/>
      <c r="AR486" s="239"/>
      <c r="AS486" s="239"/>
      <c r="AT486" s="239"/>
      <c r="AU486" s="239"/>
    </row>
    <row r="487" spans="1:47" x14ac:dyDescent="0.35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306"/>
      <c r="W487" s="239"/>
      <c r="X487" s="239"/>
      <c r="Y487" s="239"/>
      <c r="Z487" s="239"/>
      <c r="AA487" s="239"/>
      <c r="AB487" s="239"/>
      <c r="AC487" s="239"/>
      <c r="AD487" s="245"/>
      <c r="AE487" s="239"/>
      <c r="AF487" s="239"/>
      <c r="AG487" s="239"/>
      <c r="AH487" s="239"/>
      <c r="AI487" s="239"/>
      <c r="AJ487" s="239"/>
      <c r="AK487" s="239"/>
      <c r="AL487" s="239"/>
      <c r="AM487" s="245"/>
      <c r="AN487" s="239"/>
      <c r="AO487" s="239"/>
      <c r="AP487" s="239"/>
      <c r="AQ487" s="306"/>
      <c r="AR487" s="239"/>
      <c r="AS487" s="239"/>
      <c r="AT487" s="239"/>
      <c r="AU487" s="239"/>
    </row>
    <row r="488" spans="1:47" x14ac:dyDescent="0.35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306"/>
      <c r="W488" s="239"/>
      <c r="X488" s="239"/>
      <c r="Y488" s="239"/>
      <c r="Z488" s="239"/>
      <c r="AA488" s="239"/>
      <c r="AB488" s="239"/>
      <c r="AC488" s="239"/>
      <c r="AD488" s="245"/>
      <c r="AE488" s="239"/>
      <c r="AF488" s="239"/>
      <c r="AG488" s="239"/>
      <c r="AH488" s="239"/>
      <c r="AI488" s="239"/>
      <c r="AJ488" s="239"/>
      <c r="AK488" s="239"/>
      <c r="AL488" s="239"/>
      <c r="AM488" s="245"/>
      <c r="AN488" s="239"/>
      <c r="AO488" s="239"/>
      <c r="AP488" s="239"/>
      <c r="AQ488" s="306"/>
      <c r="AR488" s="239"/>
      <c r="AS488" s="239"/>
      <c r="AT488" s="239"/>
      <c r="AU488" s="239"/>
    </row>
    <row r="489" spans="1:47" x14ac:dyDescent="0.35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306"/>
      <c r="W489" s="239"/>
      <c r="X489" s="239"/>
      <c r="Y489" s="239"/>
      <c r="Z489" s="239"/>
      <c r="AA489" s="239"/>
      <c r="AB489" s="239"/>
      <c r="AC489" s="239"/>
      <c r="AD489" s="245"/>
      <c r="AE489" s="239"/>
      <c r="AF489" s="239"/>
      <c r="AG489" s="239"/>
      <c r="AH489" s="239"/>
      <c r="AI489" s="239"/>
      <c r="AJ489" s="239"/>
      <c r="AK489" s="239"/>
      <c r="AL489" s="239"/>
      <c r="AM489" s="245"/>
      <c r="AN489" s="239"/>
      <c r="AO489" s="239"/>
      <c r="AP489" s="239"/>
      <c r="AQ489" s="306"/>
      <c r="AR489" s="239"/>
      <c r="AS489" s="239"/>
      <c r="AT489" s="239"/>
      <c r="AU489" s="239"/>
    </row>
    <row r="490" spans="1:47" x14ac:dyDescent="0.35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306"/>
      <c r="W490" s="239"/>
      <c r="X490" s="239"/>
      <c r="Y490" s="239"/>
      <c r="Z490" s="239"/>
      <c r="AA490" s="239"/>
      <c r="AB490" s="239"/>
      <c r="AC490" s="239"/>
      <c r="AD490" s="245"/>
      <c r="AE490" s="239"/>
      <c r="AF490" s="239"/>
      <c r="AG490" s="239"/>
      <c r="AH490" s="239"/>
      <c r="AI490" s="239"/>
      <c r="AJ490" s="239"/>
      <c r="AK490" s="239"/>
      <c r="AL490" s="239"/>
      <c r="AM490" s="245"/>
      <c r="AN490" s="239"/>
      <c r="AO490" s="239"/>
      <c r="AP490" s="239"/>
      <c r="AQ490" s="306"/>
      <c r="AR490" s="239"/>
      <c r="AS490" s="239"/>
      <c r="AT490" s="239"/>
      <c r="AU490" s="239"/>
    </row>
    <row r="491" spans="1:47" x14ac:dyDescent="0.35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306"/>
      <c r="W491" s="239"/>
      <c r="X491" s="239"/>
      <c r="Y491" s="239"/>
      <c r="Z491" s="239"/>
      <c r="AA491" s="239"/>
      <c r="AB491" s="239"/>
      <c r="AC491" s="239"/>
      <c r="AD491" s="245"/>
      <c r="AE491" s="239"/>
      <c r="AF491" s="239"/>
      <c r="AG491" s="239"/>
      <c r="AH491" s="239"/>
      <c r="AI491" s="239"/>
      <c r="AJ491" s="239"/>
      <c r="AK491" s="239"/>
      <c r="AL491" s="239"/>
      <c r="AM491" s="245"/>
      <c r="AN491" s="239"/>
      <c r="AO491" s="239"/>
      <c r="AP491" s="239"/>
      <c r="AQ491" s="306"/>
      <c r="AR491" s="239"/>
      <c r="AS491" s="239"/>
      <c r="AT491" s="239"/>
      <c r="AU491" s="239"/>
    </row>
    <row r="492" spans="1:47" x14ac:dyDescent="0.35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306"/>
      <c r="W492" s="239"/>
      <c r="X492" s="239"/>
      <c r="Y492" s="239"/>
      <c r="Z492" s="239"/>
      <c r="AA492" s="239"/>
      <c r="AB492" s="239"/>
      <c r="AC492" s="239"/>
      <c r="AD492" s="245"/>
      <c r="AE492" s="239"/>
      <c r="AF492" s="239"/>
      <c r="AG492" s="239"/>
      <c r="AH492" s="239"/>
      <c r="AI492" s="239"/>
      <c r="AJ492" s="239"/>
      <c r="AK492" s="239"/>
      <c r="AL492" s="239"/>
      <c r="AM492" s="245"/>
      <c r="AN492" s="239"/>
      <c r="AO492" s="239"/>
      <c r="AP492" s="239"/>
      <c r="AQ492" s="306"/>
      <c r="AR492" s="239"/>
      <c r="AS492" s="239"/>
      <c r="AT492" s="239"/>
      <c r="AU492" s="239"/>
    </row>
    <row r="493" spans="1:47" x14ac:dyDescent="0.35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306"/>
      <c r="W493" s="239"/>
      <c r="X493" s="239"/>
      <c r="Y493" s="239"/>
      <c r="Z493" s="239"/>
      <c r="AA493" s="239"/>
      <c r="AB493" s="239"/>
      <c r="AC493" s="239"/>
      <c r="AD493" s="245"/>
      <c r="AE493" s="239"/>
      <c r="AF493" s="239"/>
      <c r="AG493" s="239"/>
      <c r="AH493" s="239"/>
      <c r="AI493" s="239"/>
      <c r="AJ493" s="239"/>
      <c r="AK493" s="239"/>
      <c r="AL493" s="239"/>
      <c r="AM493" s="245"/>
      <c r="AN493" s="239"/>
      <c r="AO493" s="239"/>
      <c r="AP493" s="239"/>
      <c r="AQ493" s="306"/>
      <c r="AR493" s="239"/>
      <c r="AS493" s="239"/>
      <c r="AT493" s="239"/>
      <c r="AU493" s="239"/>
    </row>
    <row r="494" spans="1:47" x14ac:dyDescent="0.35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306"/>
      <c r="W494" s="239"/>
      <c r="X494" s="239"/>
      <c r="Y494" s="239"/>
      <c r="Z494" s="239"/>
      <c r="AA494" s="239"/>
      <c r="AB494" s="239"/>
      <c r="AC494" s="239"/>
      <c r="AD494" s="245"/>
      <c r="AE494" s="239"/>
      <c r="AF494" s="239"/>
      <c r="AG494" s="239"/>
      <c r="AH494" s="239"/>
      <c r="AI494" s="239"/>
      <c r="AJ494" s="239"/>
      <c r="AK494" s="239"/>
      <c r="AL494" s="239"/>
      <c r="AM494" s="245"/>
      <c r="AN494" s="239"/>
      <c r="AO494" s="239"/>
      <c r="AP494" s="239"/>
      <c r="AQ494" s="306"/>
      <c r="AR494" s="239"/>
      <c r="AS494" s="239"/>
      <c r="AT494" s="239"/>
      <c r="AU494" s="239"/>
    </row>
    <row r="495" spans="1:47" x14ac:dyDescent="0.35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306"/>
      <c r="W495" s="239"/>
      <c r="X495" s="239"/>
      <c r="Y495" s="239"/>
      <c r="Z495" s="239"/>
      <c r="AA495" s="239"/>
      <c r="AB495" s="239"/>
      <c r="AC495" s="239"/>
      <c r="AD495" s="245"/>
      <c r="AE495" s="239"/>
      <c r="AF495" s="239"/>
      <c r="AG495" s="239"/>
      <c r="AH495" s="239"/>
      <c r="AI495" s="239"/>
      <c r="AJ495" s="239"/>
      <c r="AK495" s="239"/>
      <c r="AL495" s="239"/>
      <c r="AM495" s="245"/>
      <c r="AN495" s="239"/>
      <c r="AO495" s="239"/>
      <c r="AP495" s="239"/>
      <c r="AQ495" s="306"/>
      <c r="AR495" s="239"/>
      <c r="AS495" s="239"/>
      <c r="AT495" s="239"/>
      <c r="AU495" s="239"/>
    </row>
    <row r="496" spans="1:47" x14ac:dyDescent="0.35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306"/>
      <c r="W496" s="239"/>
      <c r="X496" s="239"/>
      <c r="Y496" s="239"/>
      <c r="Z496" s="239"/>
      <c r="AA496" s="239"/>
      <c r="AB496" s="239"/>
      <c r="AC496" s="239"/>
      <c r="AD496" s="245"/>
      <c r="AE496" s="239"/>
      <c r="AF496" s="239"/>
      <c r="AG496" s="239"/>
      <c r="AH496" s="239"/>
      <c r="AI496" s="239"/>
      <c r="AJ496" s="239"/>
      <c r="AK496" s="239"/>
      <c r="AL496" s="239"/>
      <c r="AM496" s="245"/>
      <c r="AN496" s="239"/>
      <c r="AO496" s="239"/>
      <c r="AP496" s="239"/>
      <c r="AQ496" s="306"/>
      <c r="AR496" s="239"/>
      <c r="AS496" s="239"/>
      <c r="AT496" s="239"/>
      <c r="AU496" s="239"/>
    </row>
    <row r="497" spans="1:47" x14ac:dyDescent="0.35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306"/>
      <c r="W497" s="239"/>
      <c r="X497" s="239"/>
      <c r="Y497" s="239"/>
      <c r="Z497" s="239"/>
      <c r="AA497" s="239"/>
      <c r="AB497" s="239"/>
      <c r="AC497" s="239"/>
      <c r="AD497" s="245"/>
      <c r="AE497" s="239"/>
      <c r="AF497" s="239"/>
      <c r="AG497" s="239"/>
      <c r="AH497" s="239"/>
      <c r="AI497" s="239"/>
      <c r="AJ497" s="239"/>
      <c r="AK497" s="239"/>
      <c r="AL497" s="239"/>
      <c r="AM497" s="245"/>
      <c r="AN497" s="239"/>
      <c r="AO497" s="239"/>
      <c r="AP497" s="239"/>
      <c r="AQ497" s="306"/>
      <c r="AR497" s="239"/>
      <c r="AS497" s="239"/>
      <c r="AT497" s="239"/>
      <c r="AU497" s="239"/>
    </row>
    <row r="498" spans="1:47" x14ac:dyDescent="0.35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306"/>
      <c r="W498" s="239"/>
      <c r="X498" s="239"/>
      <c r="Y498" s="239"/>
      <c r="Z498" s="239"/>
      <c r="AA498" s="239"/>
      <c r="AB498" s="239"/>
      <c r="AC498" s="239"/>
      <c r="AD498" s="245"/>
      <c r="AE498" s="239"/>
      <c r="AF498" s="239"/>
      <c r="AG498" s="239"/>
      <c r="AH498" s="239"/>
      <c r="AI498" s="239"/>
      <c r="AJ498" s="239"/>
      <c r="AK498" s="239"/>
      <c r="AL498" s="239"/>
      <c r="AM498" s="245"/>
      <c r="AN498" s="239"/>
      <c r="AO498" s="239"/>
      <c r="AP498" s="239"/>
      <c r="AQ498" s="306"/>
      <c r="AR498" s="239"/>
      <c r="AS498" s="239"/>
      <c r="AT498" s="239"/>
      <c r="AU498" s="239"/>
    </row>
    <row r="499" spans="1:47" x14ac:dyDescent="0.35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306"/>
      <c r="W499" s="239"/>
      <c r="X499" s="239"/>
      <c r="Y499" s="239"/>
      <c r="Z499" s="239"/>
      <c r="AA499" s="239"/>
      <c r="AB499" s="239"/>
      <c r="AC499" s="239"/>
      <c r="AD499" s="245"/>
      <c r="AE499" s="239"/>
      <c r="AF499" s="239"/>
      <c r="AG499" s="239"/>
      <c r="AH499" s="239"/>
      <c r="AI499" s="239"/>
      <c r="AJ499" s="239"/>
      <c r="AK499" s="239"/>
      <c r="AL499" s="239"/>
      <c r="AM499" s="245"/>
      <c r="AN499" s="239"/>
      <c r="AO499" s="239"/>
      <c r="AP499" s="239"/>
      <c r="AQ499" s="306"/>
      <c r="AR499" s="239"/>
      <c r="AS499" s="239"/>
      <c r="AT499" s="239"/>
      <c r="AU499" s="239"/>
    </row>
    <row r="500" spans="1:47" x14ac:dyDescent="0.35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306"/>
      <c r="W500" s="239"/>
      <c r="X500" s="239"/>
      <c r="Y500" s="239"/>
      <c r="Z500" s="239"/>
      <c r="AA500" s="239"/>
      <c r="AB500" s="239"/>
      <c r="AC500" s="239"/>
      <c r="AD500" s="245"/>
      <c r="AE500" s="239"/>
      <c r="AF500" s="239"/>
      <c r="AG500" s="239"/>
      <c r="AH500" s="239"/>
      <c r="AI500" s="239"/>
      <c r="AJ500" s="239"/>
      <c r="AK500" s="239"/>
      <c r="AL500" s="239"/>
      <c r="AM500" s="245"/>
      <c r="AN500" s="239"/>
      <c r="AO500" s="239"/>
      <c r="AP500" s="239"/>
      <c r="AQ500" s="306"/>
      <c r="AR500" s="239"/>
      <c r="AS500" s="239"/>
      <c r="AT500" s="239"/>
      <c r="AU500" s="239"/>
    </row>
    <row r="501" spans="1:47" x14ac:dyDescent="0.35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306"/>
      <c r="W501" s="239"/>
      <c r="X501" s="239"/>
      <c r="Y501" s="239"/>
      <c r="Z501" s="239"/>
      <c r="AA501" s="239"/>
      <c r="AB501" s="239"/>
      <c r="AC501" s="239"/>
      <c r="AD501" s="245"/>
      <c r="AE501" s="239"/>
      <c r="AF501" s="239"/>
      <c r="AG501" s="239"/>
      <c r="AH501" s="239"/>
      <c r="AI501" s="239"/>
      <c r="AJ501" s="239"/>
      <c r="AK501" s="239"/>
      <c r="AL501" s="239"/>
      <c r="AM501" s="245"/>
      <c r="AN501" s="239"/>
      <c r="AO501" s="239"/>
      <c r="AP501" s="239"/>
      <c r="AQ501" s="306"/>
      <c r="AR501" s="239"/>
      <c r="AS501" s="239"/>
      <c r="AT501" s="239"/>
      <c r="AU501" s="239"/>
    </row>
    <row r="502" spans="1:47" x14ac:dyDescent="0.35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306"/>
      <c r="W502" s="239"/>
      <c r="X502" s="239"/>
      <c r="Y502" s="239"/>
      <c r="Z502" s="239"/>
      <c r="AA502" s="239"/>
      <c r="AB502" s="239"/>
      <c r="AC502" s="239"/>
      <c r="AD502" s="245"/>
      <c r="AE502" s="239"/>
      <c r="AF502" s="239"/>
      <c r="AG502" s="239"/>
      <c r="AH502" s="239"/>
      <c r="AI502" s="239"/>
      <c r="AJ502" s="239"/>
      <c r="AK502" s="239"/>
      <c r="AL502" s="239"/>
      <c r="AM502" s="245"/>
      <c r="AN502" s="239"/>
      <c r="AO502" s="239"/>
      <c r="AP502" s="239"/>
      <c r="AQ502" s="306"/>
      <c r="AR502" s="239"/>
      <c r="AS502" s="239"/>
      <c r="AT502" s="239"/>
      <c r="AU502" s="239"/>
    </row>
    <row r="503" spans="1:47" x14ac:dyDescent="0.35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306"/>
      <c r="W503" s="239"/>
      <c r="X503" s="239"/>
      <c r="Y503" s="239"/>
      <c r="Z503" s="239"/>
      <c r="AA503" s="239"/>
      <c r="AB503" s="239"/>
      <c r="AC503" s="239"/>
      <c r="AD503" s="245"/>
      <c r="AE503" s="239"/>
      <c r="AF503" s="239"/>
      <c r="AG503" s="239"/>
      <c r="AH503" s="239"/>
      <c r="AI503" s="239"/>
      <c r="AJ503" s="239"/>
      <c r="AK503" s="239"/>
      <c r="AL503" s="239"/>
      <c r="AM503" s="245"/>
      <c r="AN503" s="239"/>
      <c r="AO503" s="239"/>
      <c r="AP503" s="239"/>
      <c r="AQ503" s="306"/>
      <c r="AR503" s="239"/>
      <c r="AS503" s="239"/>
      <c r="AT503" s="239"/>
      <c r="AU503" s="239"/>
    </row>
    <row r="504" spans="1:47" x14ac:dyDescent="0.35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306"/>
      <c r="W504" s="239"/>
      <c r="X504" s="239"/>
      <c r="Y504" s="239"/>
      <c r="Z504" s="239"/>
      <c r="AA504" s="239"/>
      <c r="AB504" s="239"/>
      <c r="AC504" s="239"/>
      <c r="AD504" s="245"/>
      <c r="AE504" s="239"/>
      <c r="AF504" s="239"/>
      <c r="AG504" s="239"/>
      <c r="AH504" s="239"/>
      <c r="AI504" s="239"/>
      <c r="AJ504" s="239"/>
      <c r="AK504" s="239"/>
      <c r="AL504" s="239"/>
      <c r="AM504" s="245"/>
      <c r="AN504" s="239"/>
      <c r="AO504" s="239"/>
      <c r="AP504" s="239"/>
      <c r="AQ504" s="306"/>
      <c r="AR504" s="239"/>
      <c r="AS504" s="239"/>
      <c r="AT504" s="239"/>
      <c r="AU504" s="239"/>
    </row>
    <row r="505" spans="1:47" x14ac:dyDescent="0.35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306"/>
      <c r="W505" s="239"/>
      <c r="X505" s="239"/>
      <c r="Y505" s="239"/>
      <c r="Z505" s="239"/>
      <c r="AA505" s="239"/>
      <c r="AB505" s="239"/>
      <c r="AC505" s="239"/>
      <c r="AD505" s="245"/>
      <c r="AE505" s="239"/>
      <c r="AF505" s="239"/>
      <c r="AG505" s="239"/>
      <c r="AH505" s="239"/>
      <c r="AI505" s="239"/>
      <c r="AJ505" s="239"/>
      <c r="AK505" s="239"/>
      <c r="AL505" s="239"/>
      <c r="AM505" s="245"/>
      <c r="AN505" s="239"/>
      <c r="AO505" s="239"/>
      <c r="AP505" s="239"/>
      <c r="AQ505" s="306"/>
      <c r="AR505" s="239"/>
      <c r="AS505" s="239"/>
      <c r="AT505" s="239"/>
      <c r="AU505" s="239"/>
    </row>
    <row r="506" spans="1:47" x14ac:dyDescent="0.35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306"/>
      <c r="W506" s="239"/>
      <c r="X506" s="239"/>
      <c r="Y506" s="239"/>
      <c r="Z506" s="239"/>
      <c r="AA506" s="239"/>
      <c r="AB506" s="239"/>
      <c r="AC506" s="239"/>
      <c r="AD506" s="245"/>
      <c r="AE506" s="239"/>
      <c r="AF506" s="239"/>
      <c r="AG506" s="239"/>
      <c r="AH506" s="239"/>
      <c r="AI506" s="239"/>
      <c r="AJ506" s="239"/>
      <c r="AK506" s="239"/>
      <c r="AL506" s="239"/>
      <c r="AM506" s="245"/>
      <c r="AN506" s="239"/>
      <c r="AO506" s="239"/>
      <c r="AP506" s="239"/>
      <c r="AQ506" s="306"/>
      <c r="AR506" s="239"/>
      <c r="AS506" s="239"/>
      <c r="AT506" s="239"/>
      <c r="AU506" s="239"/>
    </row>
    <row r="507" spans="1:47" x14ac:dyDescent="0.35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306"/>
      <c r="W507" s="239"/>
      <c r="X507" s="239"/>
      <c r="Y507" s="239"/>
      <c r="Z507" s="239"/>
      <c r="AA507" s="239"/>
      <c r="AB507" s="239"/>
      <c r="AC507" s="239"/>
      <c r="AD507" s="245"/>
      <c r="AE507" s="239"/>
      <c r="AF507" s="239"/>
      <c r="AG507" s="239"/>
      <c r="AH507" s="239"/>
      <c r="AI507" s="239"/>
      <c r="AJ507" s="239"/>
      <c r="AK507" s="239"/>
      <c r="AL507" s="239"/>
      <c r="AM507" s="245"/>
      <c r="AN507" s="239"/>
      <c r="AO507" s="239"/>
      <c r="AP507" s="239"/>
      <c r="AQ507" s="306"/>
      <c r="AR507" s="239"/>
      <c r="AS507" s="239"/>
      <c r="AT507" s="239"/>
      <c r="AU507" s="239"/>
    </row>
    <row r="508" spans="1:47" x14ac:dyDescent="0.35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306"/>
      <c r="W508" s="239"/>
      <c r="X508" s="239"/>
      <c r="Y508" s="239"/>
      <c r="Z508" s="239"/>
      <c r="AA508" s="239"/>
      <c r="AB508" s="239"/>
      <c r="AC508" s="239"/>
      <c r="AD508" s="245"/>
      <c r="AE508" s="239"/>
      <c r="AF508" s="239"/>
      <c r="AG508" s="239"/>
      <c r="AH508" s="239"/>
      <c r="AI508" s="239"/>
      <c r="AJ508" s="239"/>
      <c r="AK508" s="239"/>
      <c r="AL508" s="239"/>
      <c r="AM508" s="245"/>
      <c r="AN508" s="239"/>
      <c r="AO508" s="239"/>
      <c r="AP508" s="239"/>
      <c r="AQ508" s="306"/>
      <c r="AR508" s="239"/>
      <c r="AS508" s="239"/>
      <c r="AT508" s="239"/>
      <c r="AU508" s="239"/>
    </row>
    <row r="509" spans="1:47" x14ac:dyDescent="0.35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306"/>
      <c r="W509" s="239"/>
      <c r="X509" s="239"/>
      <c r="Y509" s="239"/>
      <c r="Z509" s="239"/>
      <c r="AA509" s="239"/>
      <c r="AB509" s="239"/>
      <c r="AC509" s="239"/>
      <c r="AD509" s="245"/>
      <c r="AE509" s="239"/>
      <c r="AF509" s="239"/>
      <c r="AG509" s="239"/>
      <c r="AH509" s="239"/>
      <c r="AI509" s="239"/>
      <c r="AJ509" s="239"/>
      <c r="AK509" s="239"/>
      <c r="AL509" s="239"/>
      <c r="AM509" s="245"/>
      <c r="AN509" s="239"/>
      <c r="AO509" s="239"/>
      <c r="AP509" s="239"/>
      <c r="AQ509" s="306"/>
      <c r="AR509" s="239"/>
      <c r="AS509" s="239"/>
      <c r="AT509" s="239"/>
      <c r="AU509" s="239"/>
    </row>
    <row r="510" spans="1:47" x14ac:dyDescent="0.35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306"/>
      <c r="W510" s="239"/>
      <c r="X510" s="239"/>
      <c r="Y510" s="239"/>
      <c r="Z510" s="239"/>
      <c r="AA510" s="239"/>
      <c r="AB510" s="239"/>
      <c r="AC510" s="239"/>
      <c r="AD510" s="245"/>
      <c r="AE510" s="239"/>
      <c r="AF510" s="239"/>
      <c r="AG510" s="239"/>
      <c r="AH510" s="239"/>
      <c r="AI510" s="239"/>
      <c r="AJ510" s="239"/>
      <c r="AK510" s="239"/>
      <c r="AL510" s="239"/>
      <c r="AM510" s="245"/>
      <c r="AN510" s="239"/>
      <c r="AO510" s="239"/>
      <c r="AP510" s="239"/>
      <c r="AQ510" s="306"/>
      <c r="AR510" s="239"/>
      <c r="AS510" s="239"/>
      <c r="AT510" s="239"/>
      <c r="AU510" s="239"/>
    </row>
    <row r="511" spans="1:47" x14ac:dyDescent="0.35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306"/>
      <c r="W511" s="239"/>
      <c r="X511" s="239"/>
      <c r="Y511" s="239"/>
      <c r="Z511" s="239"/>
      <c r="AA511" s="239"/>
      <c r="AB511" s="239"/>
      <c r="AC511" s="239"/>
      <c r="AD511" s="245"/>
      <c r="AE511" s="239"/>
      <c r="AF511" s="239"/>
      <c r="AG511" s="239"/>
      <c r="AH511" s="239"/>
      <c r="AI511" s="239"/>
      <c r="AJ511" s="239"/>
      <c r="AK511" s="239"/>
      <c r="AL511" s="239"/>
      <c r="AM511" s="245"/>
      <c r="AN511" s="239"/>
      <c r="AO511" s="239"/>
      <c r="AP511" s="239"/>
      <c r="AQ511" s="306"/>
      <c r="AR511" s="239"/>
      <c r="AS511" s="239"/>
      <c r="AT511" s="239"/>
      <c r="AU511" s="239"/>
    </row>
    <row r="512" spans="1:47" x14ac:dyDescent="0.35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306"/>
      <c r="W512" s="239"/>
      <c r="X512" s="239"/>
      <c r="Y512" s="239"/>
      <c r="Z512" s="239"/>
      <c r="AA512" s="239"/>
      <c r="AB512" s="239"/>
      <c r="AC512" s="239"/>
      <c r="AD512" s="245"/>
      <c r="AE512" s="239"/>
      <c r="AF512" s="239"/>
      <c r="AG512" s="239"/>
      <c r="AH512" s="239"/>
      <c r="AI512" s="239"/>
      <c r="AJ512" s="239"/>
      <c r="AK512" s="239"/>
      <c r="AL512" s="239"/>
      <c r="AM512" s="245"/>
      <c r="AN512" s="239"/>
      <c r="AO512" s="239"/>
      <c r="AP512" s="239"/>
      <c r="AQ512" s="306"/>
      <c r="AR512" s="239"/>
      <c r="AS512" s="239"/>
      <c r="AT512" s="239"/>
      <c r="AU512" s="239"/>
    </row>
    <row r="513" spans="1:47" x14ac:dyDescent="0.35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306"/>
      <c r="W513" s="239"/>
      <c r="X513" s="239"/>
      <c r="Y513" s="239"/>
      <c r="Z513" s="239"/>
      <c r="AA513" s="239"/>
      <c r="AB513" s="239"/>
      <c r="AC513" s="239"/>
      <c r="AD513" s="245"/>
      <c r="AE513" s="239"/>
      <c r="AF513" s="239"/>
      <c r="AG513" s="239"/>
      <c r="AH513" s="239"/>
      <c r="AI513" s="239"/>
      <c r="AJ513" s="239"/>
      <c r="AK513" s="239"/>
      <c r="AL513" s="239"/>
      <c r="AM513" s="245"/>
      <c r="AN513" s="239"/>
      <c r="AO513" s="239"/>
      <c r="AP513" s="239"/>
      <c r="AQ513" s="306"/>
      <c r="AR513" s="239"/>
      <c r="AS513" s="239"/>
      <c r="AT513" s="239"/>
      <c r="AU513" s="239"/>
    </row>
    <row r="514" spans="1:47" x14ac:dyDescent="0.35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306"/>
      <c r="W514" s="239"/>
      <c r="X514" s="239"/>
      <c r="Y514" s="239"/>
      <c r="Z514" s="239"/>
      <c r="AA514" s="239"/>
      <c r="AB514" s="239"/>
      <c r="AC514" s="239"/>
      <c r="AD514" s="245"/>
      <c r="AE514" s="239"/>
      <c r="AF514" s="239"/>
      <c r="AG514" s="239"/>
      <c r="AH514" s="239"/>
      <c r="AI514" s="239"/>
      <c r="AJ514" s="239"/>
      <c r="AK514" s="239"/>
      <c r="AL514" s="239"/>
      <c r="AM514" s="245"/>
      <c r="AN514" s="239"/>
      <c r="AO514" s="239"/>
      <c r="AP514" s="239"/>
      <c r="AQ514" s="306"/>
      <c r="AR514" s="239"/>
      <c r="AS514" s="239"/>
      <c r="AT514" s="239"/>
      <c r="AU514" s="239"/>
    </row>
    <row r="515" spans="1:47" x14ac:dyDescent="0.35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306"/>
      <c r="W515" s="239"/>
      <c r="X515" s="239"/>
      <c r="Y515" s="239"/>
      <c r="Z515" s="239"/>
      <c r="AA515" s="239"/>
      <c r="AB515" s="239"/>
      <c r="AC515" s="239"/>
      <c r="AD515" s="245"/>
      <c r="AE515" s="239"/>
      <c r="AF515" s="239"/>
      <c r="AG515" s="239"/>
      <c r="AH515" s="239"/>
      <c r="AI515" s="239"/>
      <c r="AJ515" s="239"/>
      <c r="AK515" s="239"/>
      <c r="AL515" s="239"/>
      <c r="AM515" s="245"/>
      <c r="AN515" s="239"/>
      <c r="AO515" s="239"/>
      <c r="AP515" s="239"/>
      <c r="AQ515" s="306"/>
      <c r="AR515" s="239"/>
      <c r="AS515" s="239"/>
      <c r="AT515" s="239"/>
      <c r="AU515" s="239"/>
    </row>
    <row r="516" spans="1:47" x14ac:dyDescent="0.35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306"/>
      <c r="W516" s="239"/>
      <c r="X516" s="239"/>
      <c r="Y516" s="239"/>
      <c r="Z516" s="239"/>
      <c r="AA516" s="239"/>
      <c r="AB516" s="239"/>
      <c r="AC516" s="239"/>
      <c r="AD516" s="245"/>
      <c r="AE516" s="239"/>
      <c r="AF516" s="239"/>
      <c r="AG516" s="239"/>
      <c r="AH516" s="239"/>
      <c r="AI516" s="239"/>
      <c r="AJ516" s="239"/>
      <c r="AK516" s="239"/>
      <c r="AL516" s="239"/>
      <c r="AM516" s="245"/>
      <c r="AN516" s="239"/>
      <c r="AO516" s="239"/>
      <c r="AP516" s="239"/>
      <c r="AQ516" s="306"/>
      <c r="AR516" s="239"/>
      <c r="AS516" s="239"/>
      <c r="AT516" s="239"/>
      <c r="AU516" s="239"/>
    </row>
    <row r="517" spans="1:47" x14ac:dyDescent="0.35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306"/>
      <c r="W517" s="239"/>
      <c r="X517" s="239"/>
      <c r="Y517" s="239"/>
      <c r="Z517" s="239"/>
      <c r="AA517" s="239"/>
      <c r="AB517" s="239"/>
      <c r="AC517" s="239"/>
      <c r="AD517" s="245"/>
      <c r="AE517" s="239"/>
      <c r="AF517" s="239"/>
      <c r="AG517" s="239"/>
      <c r="AH517" s="239"/>
      <c r="AI517" s="239"/>
      <c r="AJ517" s="239"/>
      <c r="AK517" s="239"/>
      <c r="AL517" s="239"/>
      <c r="AM517" s="245"/>
      <c r="AN517" s="239"/>
      <c r="AO517" s="239"/>
      <c r="AP517" s="239"/>
      <c r="AQ517" s="306"/>
      <c r="AR517" s="239"/>
      <c r="AS517" s="239"/>
      <c r="AT517" s="239"/>
      <c r="AU517" s="239"/>
    </row>
    <row r="518" spans="1:47" x14ac:dyDescent="0.35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306"/>
      <c r="W518" s="239"/>
      <c r="X518" s="239"/>
      <c r="Y518" s="239"/>
      <c r="Z518" s="239"/>
      <c r="AA518" s="239"/>
      <c r="AB518" s="239"/>
      <c r="AC518" s="239"/>
      <c r="AD518" s="245"/>
      <c r="AE518" s="239"/>
      <c r="AF518" s="239"/>
      <c r="AG518" s="239"/>
      <c r="AH518" s="239"/>
      <c r="AI518" s="239"/>
      <c r="AJ518" s="239"/>
      <c r="AK518" s="239"/>
      <c r="AL518" s="239"/>
      <c r="AM518" s="245"/>
      <c r="AN518" s="239"/>
      <c r="AO518" s="239"/>
      <c r="AP518" s="239"/>
      <c r="AQ518" s="306"/>
      <c r="AR518" s="239"/>
      <c r="AS518" s="239"/>
      <c r="AT518" s="239"/>
      <c r="AU518" s="239"/>
    </row>
    <row r="519" spans="1:47" x14ac:dyDescent="0.35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306"/>
      <c r="W519" s="239"/>
      <c r="X519" s="239"/>
      <c r="Y519" s="239"/>
      <c r="Z519" s="239"/>
      <c r="AA519" s="239"/>
      <c r="AB519" s="239"/>
      <c r="AC519" s="239"/>
      <c r="AD519" s="245"/>
      <c r="AE519" s="239"/>
      <c r="AF519" s="239"/>
      <c r="AG519" s="239"/>
      <c r="AH519" s="239"/>
      <c r="AI519" s="239"/>
      <c r="AJ519" s="239"/>
      <c r="AK519" s="239"/>
      <c r="AL519" s="239"/>
      <c r="AM519" s="245"/>
      <c r="AN519" s="239"/>
      <c r="AO519" s="239"/>
      <c r="AP519" s="239"/>
      <c r="AQ519" s="306"/>
      <c r="AR519" s="239"/>
      <c r="AS519" s="239"/>
      <c r="AT519" s="239"/>
      <c r="AU519" s="239"/>
    </row>
    <row r="520" spans="1:47" x14ac:dyDescent="0.35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306"/>
      <c r="W520" s="239"/>
      <c r="X520" s="239"/>
      <c r="Y520" s="239"/>
      <c r="Z520" s="239"/>
      <c r="AA520" s="239"/>
      <c r="AB520" s="239"/>
      <c r="AC520" s="239"/>
      <c r="AD520" s="245"/>
      <c r="AE520" s="239"/>
      <c r="AF520" s="239"/>
      <c r="AG520" s="239"/>
      <c r="AH520" s="239"/>
      <c r="AI520" s="239"/>
      <c r="AJ520" s="239"/>
      <c r="AK520" s="239"/>
      <c r="AL520" s="239"/>
      <c r="AM520" s="245"/>
      <c r="AN520" s="239"/>
      <c r="AO520" s="239"/>
      <c r="AP520" s="239"/>
      <c r="AQ520" s="306"/>
      <c r="AR520" s="239"/>
      <c r="AS520" s="239"/>
      <c r="AT520" s="239"/>
      <c r="AU520" s="239"/>
    </row>
    <row r="521" spans="1:47" x14ac:dyDescent="0.35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306"/>
      <c r="W521" s="239"/>
      <c r="X521" s="239"/>
      <c r="Y521" s="239"/>
      <c r="Z521" s="239"/>
      <c r="AA521" s="239"/>
      <c r="AB521" s="239"/>
      <c r="AC521" s="239"/>
      <c r="AD521" s="245"/>
      <c r="AE521" s="239"/>
      <c r="AF521" s="239"/>
      <c r="AG521" s="239"/>
      <c r="AH521" s="239"/>
      <c r="AI521" s="239"/>
      <c r="AJ521" s="239"/>
      <c r="AK521" s="239"/>
      <c r="AL521" s="239"/>
      <c r="AM521" s="245"/>
      <c r="AN521" s="239"/>
      <c r="AO521" s="239"/>
      <c r="AP521" s="239"/>
      <c r="AQ521" s="306"/>
      <c r="AR521" s="239"/>
      <c r="AS521" s="239"/>
      <c r="AT521" s="239"/>
      <c r="AU521" s="239"/>
    </row>
    <row r="522" spans="1:47" x14ac:dyDescent="0.35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306"/>
      <c r="W522" s="239"/>
      <c r="X522" s="239"/>
      <c r="Y522" s="239"/>
      <c r="Z522" s="239"/>
      <c r="AA522" s="239"/>
      <c r="AB522" s="239"/>
      <c r="AC522" s="239"/>
      <c r="AD522" s="245"/>
      <c r="AE522" s="239"/>
      <c r="AF522" s="239"/>
      <c r="AG522" s="239"/>
      <c r="AH522" s="239"/>
      <c r="AI522" s="239"/>
      <c r="AJ522" s="239"/>
      <c r="AK522" s="239"/>
      <c r="AL522" s="239"/>
      <c r="AM522" s="245"/>
      <c r="AN522" s="239"/>
      <c r="AO522" s="239"/>
      <c r="AP522" s="239"/>
      <c r="AQ522" s="306"/>
      <c r="AR522" s="239"/>
      <c r="AS522" s="239"/>
      <c r="AT522" s="239"/>
      <c r="AU522" s="239"/>
    </row>
    <row r="523" spans="1:47" x14ac:dyDescent="0.35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306"/>
      <c r="W523" s="239"/>
      <c r="X523" s="239"/>
      <c r="Y523" s="239"/>
      <c r="Z523" s="239"/>
      <c r="AA523" s="239"/>
      <c r="AB523" s="239"/>
      <c r="AC523" s="239"/>
      <c r="AD523" s="245"/>
      <c r="AE523" s="239"/>
      <c r="AF523" s="239"/>
      <c r="AG523" s="239"/>
      <c r="AH523" s="239"/>
      <c r="AI523" s="239"/>
      <c r="AJ523" s="239"/>
      <c r="AK523" s="239"/>
      <c r="AL523" s="239"/>
      <c r="AM523" s="245"/>
      <c r="AN523" s="239"/>
      <c r="AO523" s="239"/>
      <c r="AP523" s="239"/>
      <c r="AQ523" s="306"/>
      <c r="AR523" s="239"/>
      <c r="AS523" s="239"/>
      <c r="AT523" s="239"/>
      <c r="AU523" s="239"/>
    </row>
    <row r="524" spans="1:47" x14ac:dyDescent="0.35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306"/>
      <c r="W524" s="239"/>
      <c r="X524" s="239"/>
      <c r="Y524" s="239"/>
      <c r="Z524" s="239"/>
      <c r="AA524" s="239"/>
      <c r="AB524" s="239"/>
      <c r="AC524" s="239"/>
      <c r="AD524" s="245"/>
      <c r="AE524" s="239"/>
      <c r="AF524" s="239"/>
      <c r="AG524" s="239"/>
      <c r="AH524" s="239"/>
      <c r="AI524" s="239"/>
      <c r="AJ524" s="239"/>
      <c r="AK524" s="239"/>
      <c r="AL524" s="239"/>
      <c r="AM524" s="245"/>
      <c r="AN524" s="239"/>
      <c r="AO524" s="239"/>
      <c r="AP524" s="239"/>
      <c r="AQ524" s="306"/>
      <c r="AR524" s="239"/>
      <c r="AS524" s="239"/>
      <c r="AT524" s="239"/>
      <c r="AU524" s="239"/>
    </row>
    <row r="525" spans="1:47" x14ac:dyDescent="0.35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306"/>
      <c r="W525" s="239"/>
      <c r="X525" s="239"/>
      <c r="Y525" s="239"/>
      <c r="Z525" s="239"/>
      <c r="AA525" s="239"/>
      <c r="AB525" s="239"/>
      <c r="AC525" s="239"/>
      <c r="AD525" s="245"/>
      <c r="AE525" s="239"/>
      <c r="AF525" s="239"/>
      <c r="AG525" s="239"/>
      <c r="AH525" s="239"/>
      <c r="AI525" s="239"/>
      <c r="AJ525" s="239"/>
      <c r="AK525" s="239"/>
      <c r="AL525" s="239"/>
      <c r="AM525" s="245"/>
      <c r="AN525" s="239"/>
      <c r="AO525" s="239"/>
      <c r="AP525" s="239"/>
      <c r="AQ525" s="306"/>
      <c r="AR525" s="239"/>
      <c r="AS525" s="239"/>
      <c r="AT525" s="239"/>
      <c r="AU525" s="239"/>
    </row>
    <row r="526" spans="1:47" x14ac:dyDescent="0.35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306"/>
      <c r="W526" s="239"/>
      <c r="X526" s="239"/>
      <c r="Y526" s="239"/>
      <c r="Z526" s="239"/>
      <c r="AA526" s="239"/>
      <c r="AB526" s="239"/>
      <c r="AC526" s="239"/>
      <c r="AD526" s="245"/>
      <c r="AE526" s="239"/>
      <c r="AF526" s="239"/>
      <c r="AG526" s="239"/>
      <c r="AH526" s="239"/>
      <c r="AI526" s="239"/>
      <c r="AJ526" s="239"/>
      <c r="AK526" s="239"/>
      <c r="AL526" s="239"/>
      <c r="AM526" s="245"/>
      <c r="AN526" s="239"/>
      <c r="AO526" s="239"/>
      <c r="AP526" s="239"/>
      <c r="AQ526" s="306"/>
      <c r="AR526" s="239"/>
      <c r="AS526" s="239"/>
      <c r="AT526" s="239"/>
      <c r="AU526" s="239"/>
    </row>
    <row r="527" spans="1:47" x14ac:dyDescent="0.35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306"/>
      <c r="W527" s="239"/>
      <c r="X527" s="239"/>
      <c r="Y527" s="239"/>
      <c r="Z527" s="239"/>
      <c r="AA527" s="239"/>
      <c r="AB527" s="239"/>
      <c r="AC527" s="239"/>
      <c r="AD527" s="245"/>
      <c r="AE527" s="239"/>
      <c r="AF527" s="239"/>
      <c r="AG527" s="239"/>
      <c r="AH527" s="239"/>
      <c r="AI527" s="239"/>
      <c r="AJ527" s="239"/>
      <c r="AK527" s="239"/>
      <c r="AL527" s="239"/>
      <c r="AM527" s="245"/>
      <c r="AN527" s="239"/>
      <c r="AO527" s="239"/>
      <c r="AP527" s="239"/>
      <c r="AQ527" s="306"/>
      <c r="AR527" s="239"/>
      <c r="AS527" s="239"/>
      <c r="AT527" s="239"/>
      <c r="AU527" s="239"/>
    </row>
    <row r="528" spans="1:47" x14ac:dyDescent="0.35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306"/>
      <c r="W528" s="239"/>
      <c r="X528" s="239"/>
      <c r="Y528" s="239"/>
      <c r="Z528" s="239"/>
      <c r="AA528" s="239"/>
      <c r="AB528" s="239"/>
      <c r="AC528" s="239"/>
      <c r="AD528" s="245"/>
      <c r="AE528" s="239"/>
      <c r="AF528" s="239"/>
      <c r="AG528" s="239"/>
      <c r="AH528" s="239"/>
      <c r="AI528" s="239"/>
      <c r="AJ528" s="239"/>
      <c r="AK528" s="239"/>
      <c r="AL528" s="239"/>
      <c r="AM528" s="245"/>
      <c r="AN528" s="239"/>
      <c r="AO528" s="239"/>
      <c r="AP528" s="239"/>
      <c r="AQ528" s="306"/>
      <c r="AR528" s="239"/>
      <c r="AS528" s="239"/>
      <c r="AT528" s="239"/>
      <c r="AU528" s="239"/>
    </row>
    <row r="529" spans="1:47" x14ac:dyDescent="0.35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306"/>
      <c r="W529" s="239"/>
      <c r="X529" s="239"/>
      <c r="Y529" s="239"/>
      <c r="Z529" s="239"/>
      <c r="AA529" s="239"/>
      <c r="AB529" s="239"/>
      <c r="AC529" s="239"/>
      <c r="AD529" s="245"/>
      <c r="AE529" s="239"/>
      <c r="AF529" s="239"/>
      <c r="AG529" s="239"/>
      <c r="AH529" s="239"/>
      <c r="AI529" s="239"/>
      <c r="AJ529" s="239"/>
      <c r="AK529" s="239"/>
      <c r="AL529" s="239"/>
      <c r="AM529" s="245"/>
      <c r="AN529" s="239"/>
      <c r="AO529" s="239"/>
      <c r="AP529" s="239"/>
      <c r="AQ529" s="306"/>
      <c r="AR529" s="239"/>
      <c r="AS529" s="239"/>
      <c r="AT529" s="239"/>
      <c r="AU529" s="239"/>
    </row>
    <row r="530" spans="1:47" x14ac:dyDescent="0.35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306"/>
      <c r="W530" s="239"/>
      <c r="X530" s="239"/>
      <c r="Y530" s="239"/>
      <c r="Z530" s="239"/>
      <c r="AA530" s="239"/>
      <c r="AB530" s="239"/>
      <c r="AC530" s="239"/>
      <c r="AD530" s="245"/>
      <c r="AE530" s="239"/>
      <c r="AF530" s="239"/>
      <c r="AG530" s="239"/>
      <c r="AH530" s="239"/>
      <c r="AI530" s="239"/>
      <c r="AJ530" s="239"/>
      <c r="AK530" s="239"/>
      <c r="AL530" s="239"/>
      <c r="AM530" s="245"/>
      <c r="AN530" s="239"/>
      <c r="AO530" s="239"/>
      <c r="AP530" s="239"/>
      <c r="AQ530" s="306"/>
      <c r="AR530" s="239"/>
      <c r="AS530" s="239"/>
      <c r="AT530" s="239"/>
      <c r="AU530" s="239"/>
    </row>
    <row r="531" spans="1:47" x14ac:dyDescent="0.35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306"/>
      <c r="W531" s="239"/>
      <c r="X531" s="239"/>
      <c r="Y531" s="239"/>
      <c r="Z531" s="239"/>
      <c r="AA531" s="239"/>
      <c r="AB531" s="239"/>
      <c r="AC531" s="239"/>
      <c r="AD531" s="245"/>
      <c r="AE531" s="239"/>
      <c r="AF531" s="239"/>
      <c r="AG531" s="239"/>
      <c r="AH531" s="239"/>
      <c r="AI531" s="239"/>
      <c r="AJ531" s="239"/>
      <c r="AK531" s="239"/>
      <c r="AL531" s="239"/>
      <c r="AM531" s="245"/>
      <c r="AN531" s="239"/>
      <c r="AO531" s="239"/>
      <c r="AP531" s="239"/>
      <c r="AQ531" s="306"/>
      <c r="AR531" s="239"/>
      <c r="AS531" s="239"/>
      <c r="AT531" s="239"/>
      <c r="AU531" s="239"/>
    </row>
    <row r="532" spans="1:47" x14ac:dyDescent="0.35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306"/>
      <c r="W532" s="239"/>
      <c r="X532" s="239"/>
      <c r="Y532" s="239"/>
      <c r="Z532" s="239"/>
      <c r="AA532" s="239"/>
      <c r="AB532" s="239"/>
      <c r="AC532" s="239"/>
      <c r="AD532" s="245"/>
      <c r="AE532" s="239"/>
      <c r="AF532" s="239"/>
      <c r="AG532" s="239"/>
      <c r="AH532" s="239"/>
      <c r="AI532" s="239"/>
      <c r="AJ532" s="239"/>
      <c r="AK532" s="239"/>
      <c r="AL532" s="239"/>
      <c r="AM532" s="245"/>
      <c r="AN532" s="239"/>
      <c r="AO532" s="239"/>
      <c r="AP532" s="239"/>
      <c r="AQ532" s="306"/>
      <c r="AR532" s="239"/>
      <c r="AS532" s="239"/>
      <c r="AT532" s="239"/>
      <c r="AU532" s="239"/>
    </row>
    <row r="533" spans="1:47" x14ac:dyDescent="0.35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306"/>
      <c r="W533" s="239"/>
      <c r="X533" s="239"/>
      <c r="Y533" s="239"/>
      <c r="Z533" s="239"/>
      <c r="AA533" s="239"/>
      <c r="AB533" s="239"/>
      <c r="AC533" s="239"/>
      <c r="AD533" s="245"/>
      <c r="AE533" s="239"/>
      <c r="AF533" s="239"/>
      <c r="AG533" s="239"/>
      <c r="AH533" s="239"/>
      <c r="AI533" s="239"/>
      <c r="AJ533" s="239"/>
      <c r="AK533" s="239"/>
      <c r="AL533" s="239"/>
      <c r="AM533" s="245"/>
      <c r="AN533" s="239"/>
      <c r="AO533" s="239"/>
      <c r="AP533" s="239"/>
      <c r="AQ533" s="306"/>
      <c r="AR533" s="239"/>
      <c r="AS533" s="239"/>
      <c r="AT533" s="239"/>
      <c r="AU533" s="239"/>
    </row>
    <row r="534" spans="1:47" x14ac:dyDescent="0.35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306"/>
      <c r="W534" s="239"/>
      <c r="X534" s="239"/>
      <c r="Y534" s="239"/>
      <c r="Z534" s="239"/>
      <c r="AA534" s="239"/>
      <c r="AB534" s="239"/>
      <c r="AC534" s="239"/>
      <c r="AD534" s="245"/>
      <c r="AE534" s="239"/>
      <c r="AF534" s="239"/>
      <c r="AG534" s="239"/>
      <c r="AH534" s="239"/>
      <c r="AI534" s="239"/>
      <c r="AJ534" s="239"/>
      <c r="AK534" s="239"/>
      <c r="AL534" s="239"/>
      <c r="AM534" s="245"/>
      <c r="AN534" s="239"/>
      <c r="AO534" s="239"/>
      <c r="AP534" s="239"/>
      <c r="AQ534" s="306"/>
      <c r="AR534" s="239"/>
      <c r="AS534" s="239"/>
      <c r="AT534" s="239"/>
      <c r="AU534" s="239"/>
    </row>
    <row r="535" spans="1:47" x14ac:dyDescent="0.35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306"/>
      <c r="W535" s="239"/>
      <c r="X535" s="239"/>
      <c r="Y535" s="239"/>
      <c r="Z535" s="239"/>
      <c r="AA535" s="239"/>
      <c r="AB535" s="239"/>
      <c r="AC535" s="239"/>
      <c r="AD535" s="245"/>
      <c r="AE535" s="239"/>
      <c r="AF535" s="239"/>
      <c r="AG535" s="239"/>
      <c r="AH535" s="239"/>
      <c r="AI535" s="239"/>
      <c r="AJ535" s="239"/>
      <c r="AK535" s="239"/>
      <c r="AL535" s="239"/>
      <c r="AM535" s="245"/>
      <c r="AN535" s="239"/>
      <c r="AO535" s="239"/>
      <c r="AP535" s="239"/>
      <c r="AQ535" s="306"/>
      <c r="AR535" s="239"/>
      <c r="AS535" s="239"/>
      <c r="AT535" s="239"/>
      <c r="AU535" s="239"/>
    </row>
    <row r="536" spans="1:47" x14ac:dyDescent="0.35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306"/>
      <c r="W536" s="239"/>
      <c r="X536" s="239"/>
      <c r="Y536" s="239"/>
      <c r="Z536" s="239"/>
      <c r="AA536" s="239"/>
      <c r="AB536" s="239"/>
      <c r="AC536" s="239"/>
      <c r="AD536" s="245"/>
      <c r="AE536" s="239"/>
      <c r="AF536" s="239"/>
      <c r="AG536" s="239"/>
      <c r="AH536" s="239"/>
      <c r="AI536" s="239"/>
      <c r="AJ536" s="239"/>
      <c r="AK536" s="239"/>
      <c r="AL536" s="239"/>
      <c r="AM536" s="245"/>
      <c r="AN536" s="239"/>
      <c r="AO536" s="239"/>
      <c r="AP536" s="239"/>
      <c r="AQ536" s="306"/>
      <c r="AR536" s="239"/>
      <c r="AS536" s="239"/>
      <c r="AT536" s="239"/>
      <c r="AU536" s="239"/>
    </row>
    <row r="537" spans="1:47" x14ac:dyDescent="0.35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306"/>
      <c r="W537" s="239"/>
      <c r="X537" s="239"/>
      <c r="Y537" s="239"/>
      <c r="Z537" s="239"/>
      <c r="AA537" s="239"/>
      <c r="AB537" s="239"/>
      <c r="AC537" s="239"/>
      <c r="AD537" s="245"/>
      <c r="AE537" s="239"/>
      <c r="AF537" s="239"/>
      <c r="AG537" s="239"/>
      <c r="AH537" s="239"/>
      <c r="AI537" s="239"/>
      <c r="AJ537" s="239"/>
      <c r="AK537" s="239"/>
      <c r="AL537" s="239"/>
      <c r="AM537" s="245"/>
      <c r="AN537" s="239"/>
      <c r="AO537" s="239"/>
      <c r="AP537" s="239"/>
      <c r="AQ537" s="306"/>
      <c r="AR537" s="239"/>
      <c r="AS537" s="239"/>
      <c r="AT537" s="239"/>
      <c r="AU537" s="239"/>
    </row>
    <row r="538" spans="1:47" x14ac:dyDescent="0.35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306"/>
      <c r="W538" s="239"/>
      <c r="X538" s="239"/>
      <c r="Y538" s="239"/>
      <c r="Z538" s="239"/>
      <c r="AA538" s="239"/>
      <c r="AB538" s="239"/>
      <c r="AC538" s="239"/>
      <c r="AD538" s="245"/>
      <c r="AE538" s="239"/>
      <c r="AF538" s="239"/>
      <c r="AG538" s="239"/>
      <c r="AH538" s="239"/>
      <c r="AI538" s="239"/>
      <c r="AJ538" s="239"/>
      <c r="AK538" s="239"/>
      <c r="AL538" s="239"/>
      <c r="AM538" s="245"/>
      <c r="AN538" s="239"/>
      <c r="AO538" s="239"/>
      <c r="AP538" s="239"/>
      <c r="AQ538" s="306"/>
      <c r="AR538" s="239"/>
      <c r="AS538" s="239"/>
      <c r="AT538" s="239"/>
      <c r="AU538" s="239"/>
    </row>
    <row r="539" spans="1:47" x14ac:dyDescent="0.35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306"/>
      <c r="W539" s="239"/>
      <c r="X539" s="239"/>
      <c r="Y539" s="239"/>
      <c r="Z539" s="239"/>
      <c r="AA539" s="239"/>
      <c r="AB539" s="239"/>
      <c r="AC539" s="239"/>
      <c r="AD539" s="245"/>
      <c r="AE539" s="239"/>
      <c r="AF539" s="239"/>
      <c r="AG539" s="239"/>
      <c r="AH539" s="239"/>
      <c r="AI539" s="239"/>
      <c r="AJ539" s="239"/>
      <c r="AK539" s="239"/>
      <c r="AL539" s="239"/>
      <c r="AM539" s="245"/>
      <c r="AN539" s="239"/>
      <c r="AO539" s="239"/>
      <c r="AP539" s="239"/>
      <c r="AQ539" s="306"/>
      <c r="AR539" s="239"/>
      <c r="AS539" s="239"/>
      <c r="AT539" s="239"/>
      <c r="AU539" s="239"/>
    </row>
    <row r="540" spans="1:47" x14ac:dyDescent="0.35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306"/>
      <c r="W540" s="239"/>
      <c r="X540" s="239"/>
      <c r="Y540" s="239"/>
      <c r="Z540" s="239"/>
      <c r="AA540" s="239"/>
      <c r="AB540" s="239"/>
      <c r="AC540" s="239"/>
      <c r="AD540" s="245"/>
      <c r="AE540" s="239"/>
      <c r="AF540" s="239"/>
      <c r="AG540" s="239"/>
      <c r="AH540" s="239"/>
      <c r="AI540" s="239"/>
      <c r="AJ540" s="239"/>
      <c r="AK540" s="239"/>
      <c r="AL540" s="239"/>
      <c r="AM540" s="245"/>
      <c r="AN540" s="239"/>
      <c r="AO540" s="239"/>
      <c r="AP540" s="239"/>
      <c r="AQ540" s="306"/>
      <c r="AR540" s="239"/>
      <c r="AS540" s="239"/>
      <c r="AT540" s="239"/>
      <c r="AU540" s="239"/>
    </row>
    <row r="541" spans="1:47" x14ac:dyDescent="0.35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306"/>
      <c r="W541" s="239"/>
      <c r="X541" s="239"/>
      <c r="Y541" s="239"/>
      <c r="Z541" s="239"/>
      <c r="AA541" s="239"/>
      <c r="AB541" s="239"/>
      <c r="AC541" s="239"/>
      <c r="AD541" s="245"/>
      <c r="AE541" s="239"/>
      <c r="AF541" s="239"/>
      <c r="AG541" s="239"/>
      <c r="AH541" s="239"/>
      <c r="AI541" s="239"/>
      <c r="AJ541" s="239"/>
      <c r="AK541" s="239"/>
      <c r="AL541" s="239"/>
      <c r="AM541" s="245"/>
      <c r="AN541" s="239"/>
      <c r="AO541" s="239"/>
      <c r="AP541" s="239"/>
      <c r="AQ541" s="306"/>
      <c r="AR541" s="239"/>
      <c r="AS541" s="239"/>
      <c r="AT541" s="239"/>
      <c r="AU541" s="239"/>
    </row>
    <row r="542" spans="1:47" x14ac:dyDescent="0.35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306"/>
      <c r="W542" s="239"/>
      <c r="X542" s="239"/>
      <c r="Y542" s="239"/>
      <c r="Z542" s="239"/>
      <c r="AA542" s="239"/>
      <c r="AB542" s="239"/>
      <c r="AC542" s="239"/>
      <c r="AD542" s="245"/>
      <c r="AE542" s="239"/>
      <c r="AF542" s="239"/>
      <c r="AG542" s="239"/>
      <c r="AH542" s="239"/>
      <c r="AI542" s="239"/>
      <c r="AJ542" s="239"/>
      <c r="AK542" s="239"/>
      <c r="AL542" s="239"/>
      <c r="AM542" s="245"/>
      <c r="AN542" s="239"/>
      <c r="AO542" s="239"/>
      <c r="AP542" s="239"/>
      <c r="AQ542" s="306"/>
      <c r="AR542" s="239"/>
      <c r="AS542" s="239"/>
      <c r="AT542" s="239"/>
      <c r="AU542" s="239"/>
    </row>
    <row r="543" spans="1:47" x14ac:dyDescent="0.35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306"/>
      <c r="W543" s="239"/>
      <c r="X543" s="239"/>
      <c r="Y543" s="239"/>
      <c r="Z543" s="239"/>
      <c r="AA543" s="239"/>
      <c r="AB543" s="239"/>
      <c r="AC543" s="239"/>
      <c r="AD543" s="245"/>
      <c r="AE543" s="239"/>
      <c r="AF543" s="239"/>
      <c r="AG543" s="239"/>
      <c r="AH543" s="239"/>
      <c r="AI543" s="239"/>
      <c r="AJ543" s="239"/>
      <c r="AK543" s="239"/>
      <c r="AL543" s="239"/>
      <c r="AM543" s="245"/>
      <c r="AN543" s="239"/>
      <c r="AO543" s="239"/>
      <c r="AP543" s="239"/>
      <c r="AQ543" s="306"/>
      <c r="AR543" s="239"/>
      <c r="AS543" s="239"/>
      <c r="AT543" s="239"/>
      <c r="AU543" s="239"/>
    </row>
    <row r="544" spans="1:47" x14ac:dyDescent="0.35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306"/>
      <c r="W544" s="239"/>
      <c r="X544" s="239"/>
      <c r="Y544" s="239"/>
      <c r="Z544" s="239"/>
      <c r="AA544" s="239"/>
      <c r="AB544" s="239"/>
      <c r="AC544" s="239"/>
      <c r="AD544" s="245"/>
      <c r="AE544" s="239"/>
      <c r="AF544" s="239"/>
      <c r="AG544" s="239"/>
      <c r="AH544" s="239"/>
      <c r="AI544" s="239"/>
      <c r="AJ544" s="239"/>
      <c r="AK544" s="239"/>
      <c r="AL544" s="239"/>
      <c r="AM544" s="245"/>
      <c r="AN544" s="239"/>
      <c r="AO544" s="239"/>
      <c r="AP544" s="239"/>
      <c r="AQ544" s="306"/>
      <c r="AR544" s="239"/>
      <c r="AS544" s="239"/>
      <c r="AT544" s="239"/>
      <c r="AU544" s="239"/>
    </row>
    <row r="545" spans="1:47" x14ac:dyDescent="0.35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306"/>
      <c r="W545" s="239"/>
      <c r="X545" s="239"/>
      <c r="Y545" s="239"/>
      <c r="Z545" s="239"/>
      <c r="AA545" s="239"/>
      <c r="AB545" s="239"/>
      <c r="AC545" s="239"/>
      <c r="AD545" s="245"/>
      <c r="AE545" s="239"/>
      <c r="AF545" s="239"/>
      <c r="AG545" s="239"/>
      <c r="AH545" s="239"/>
      <c r="AI545" s="239"/>
      <c r="AJ545" s="239"/>
      <c r="AK545" s="239"/>
      <c r="AL545" s="239"/>
      <c r="AM545" s="245"/>
      <c r="AN545" s="239"/>
      <c r="AO545" s="239"/>
      <c r="AP545" s="239"/>
      <c r="AQ545" s="306"/>
      <c r="AR545" s="239"/>
      <c r="AS545" s="239"/>
      <c r="AT545" s="239"/>
      <c r="AU545" s="239"/>
    </row>
    <row r="546" spans="1:47" x14ac:dyDescent="0.35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306"/>
      <c r="W546" s="239"/>
      <c r="X546" s="239"/>
      <c r="Y546" s="239"/>
      <c r="Z546" s="239"/>
      <c r="AA546" s="239"/>
      <c r="AB546" s="239"/>
      <c r="AC546" s="239"/>
      <c r="AD546" s="245"/>
      <c r="AE546" s="239"/>
      <c r="AF546" s="239"/>
      <c r="AG546" s="239"/>
      <c r="AH546" s="239"/>
      <c r="AI546" s="239"/>
      <c r="AJ546" s="239"/>
      <c r="AK546" s="239"/>
      <c r="AL546" s="239"/>
      <c r="AM546" s="245"/>
      <c r="AN546" s="239"/>
      <c r="AO546" s="239"/>
      <c r="AP546" s="239"/>
      <c r="AQ546" s="306"/>
      <c r="AR546" s="239"/>
      <c r="AS546" s="239"/>
      <c r="AT546" s="239"/>
      <c r="AU546" s="239"/>
    </row>
    <row r="547" spans="1:47" x14ac:dyDescent="0.35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306"/>
      <c r="W547" s="239"/>
      <c r="X547" s="239"/>
      <c r="Y547" s="239"/>
      <c r="Z547" s="239"/>
      <c r="AA547" s="239"/>
      <c r="AB547" s="239"/>
      <c r="AC547" s="239"/>
      <c r="AD547" s="245"/>
      <c r="AE547" s="239"/>
      <c r="AF547" s="239"/>
      <c r="AG547" s="239"/>
      <c r="AH547" s="239"/>
      <c r="AI547" s="239"/>
      <c r="AJ547" s="239"/>
      <c r="AK547" s="239"/>
      <c r="AL547" s="239"/>
      <c r="AM547" s="245"/>
      <c r="AN547" s="239"/>
      <c r="AO547" s="239"/>
      <c r="AP547" s="239"/>
      <c r="AQ547" s="306"/>
      <c r="AR547" s="239"/>
      <c r="AS547" s="239"/>
      <c r="AT547" s="239"/>
      <c r="AU547" s="239"/>
    </row>
    <row r="548" spans="1:47" x14ac:dyDescent="0.35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306"/>
      <c r="W548" s="239"/>
      <c r="X548" s="239"/>
      <c r="Y548" s="239"/>
      <c r="Z548" s="239"/>
      <c r="AA548" s="239"/>
      <c r="AB548" s="239"/>
      <c r="AC548" s="239"/>
      <c r="AD548" s="245"/>
      <c r="AE548" s="239"/>
      <c r="AF548" s="239"/>
      <c r="AG548" s="239"/>
      <c r="AH548" s="239"/>
      <c r="AI548" s="239"/>
      <c r="AJ548" s="239"/>
      <c r="AK548" s="239"/>
      <c r="AL548" s="239"/>
      <c r="AM548" s="245"/>
      <c r="AN548" s="239"/>
      <c r="AO548" s="239"/>
      <c r="AP548" s="239"/>
      <c r="AQ548" s="306"/>
      <c r="AR548" s="239"/>
      <c r="AS548" s="239"/>
      <c r="AT548" s="239"/>
      <c r="AU548" s="239"/>
    </row>
    <row r="549" spans="1:47" x14ac:dyDescent="0.35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306"/>
      <c r="W549" s="239"/>
      <c r="X549" s="239"/>
      <c r="Y549" s="239"/>
      <c r="Z549" s="239"/>
      <c r="AA549" s="239"/>
      <c r="AB549" s="239"/>
      <c r="AC549" s="239"/>
      <c r="AD549" s="245"/>
      <c r="AE549" s="239"/>
      <c r="AF549" s="239"/>
      <c r="AG549" s="239"/>
      <c r="AH549" s="239"/>
      <c r="AI549" s="239"/>
      <c r="AJ549" s="239"/>
      <c r="AK549" s="239"/>
      <c r="AL549" s="239"/>
      <c r="AM549" s="245"/>
      <c r="AN549" s="239"/>
      <c r="AO549" s="239"/>
      <c r="AP549" s="239"/>
      <c r="AQ549" s="306"/>
      <c r="AR549" s="239"/>
      <c r="AS549" s="239"/>
      <c r="AT549" s="239"/>
      <c r="AU549" s="239"/>
    </row>
    <row r="550" spans="1:47" x14ac:dyDescent="0.35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306"/>
      <c r="W550" s="239"/>
      <c r="X550" s="239"/>
      <c r="Y550" s="239"/>
      <c r="Z550" s="239"/>
      <c r="AA550" s="239"/>
      <c r="AB550" s="239"/>
      <c r="AC550" s="239"/>
      <c r="AD550" s="245"/>
      <c r="AE550" s="239"/>
      <c r="AF550" s="239"/>
      <c r="AG550" s="239"/>
      <c r="AH550" s="239"/>
      <c r="AI550" s="239"/>
      <c r="AJ550" s="239"/>
      <c r="AK550" s="239"/>
      <c r="AL550" s="239"/>
      <c r="AM550" s="245"/>
      <c r="AN550" s="239"/>
      <c r="AO550" s="239"/>
      <c r="AP550" s="239"/>
      <c r="AQ550" s="306"/>
      <c r="AR550" s="239"/>
      <c r="AS550" s="239"/>
      <c r="AT550" s="239"/>
      <c r="AU550" s="239"/>
    </row>
    <row r="551" spans="1:47" x14ac:dyDescent="0.35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306"/>
      <c r="W551" s="239"/>
      <c r="X551" s="239"/>
      <c r="Y551" s="239"/>
      <c r="Z551" s="239"/>
      <c r="AA551" s="239"/>
      <c r="AB551" s="239"/>
      <c r="AC551" s="239"/>
      <c r="AD551" s="245"/>
      <c r="AE551" s="239"/>
      <c r="AF551" s="239"/>
      <c r="AG551" s="239"/>
      <c r="AH551" s="239"/>
      <c r="AI551" s="239"/>
      <c r="AJ551" s="239"/>
      <c r="AK551" s="239"/>
      <c r="AL551" s="239"/>
      <c r="AM551" s="245"/>
      <c r="AN551" s="239"/>
      <c r="AO551" s="239"/>
      <c r="AP551" s="239"/>
      <c r="AQ551" s="306"/>
      <c r="AR551" s="239"/>
      <c r="AS551" s="239"/>
      <c r="AT551" s="239"/>
      <c r="AU551" s="239"/>
    </row>
    <row r="552" spans="1:47" x14ac:dyDescent="0.35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306"/>
      <c r="W552" s="239"/>
      <c r="X552" s="239"/>
      <c r="Y552" s="239"/>
      <c r="Z552" s="239"/>
      <c r="AA552" s="239"/>
      <c r="AB552" s="239"/>
      <c r="AC552" s="239"/>
      <c r="AD552" s="245"/>
      <c r="AE552" s="239"/>
      <c r="AF552" s="239"/>
      <c r="AG552" s="239"/>
      <c r="AH552" s="239"/>
      <c r="AI552" s="239"/>
      <c r="AJ552" s="239"/>
      <c r="AK552" s="239"/>
      <c r="AL552" s="239"/>
      <c r="AM552" s="245"/>
      <c r="AN552" s="239"/>
      <c r="AO552" s="239"/>
      <c r="AP552" s="239"/>
      <c r="AQ552" s="306"/>
      <c r="AR552" s="239"/>
      <c r="AS552" s="239"/>
      <c r="AT552" s="239"/>
      <c r="AU552" s="239"/>
    </row>
    <row r="553" spans="1:47" x14ac:dyDescent="0.35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306"/>
      <c r="W553" s="239"/>
      <c r="X553" s="239"/>
      <c r="Y553" s="239"/>
      <c r="Z553" s="239"/>
      <c r="AA553" s="239"/>
      <c r="AB553" s="239"/>
      <c r="AC553" s="239"/>
      <c r="AD553" s="245"/>
      <c r="AE553" s="239"/>
      <c r="AF553" s="239"/>
      <c r="AG553" s="239"/>
      <c r="AH553" s="239"/>
      <c r="AI553" s="239"/>
      <c r="AJ553" s="239"/>
      <c r="AK553" s="239"/>
      <c r="AL553" s="239"/>
      <c r="AM553" s="245"/>
      <c r="AN553" s="239"/>
      <c r="AO553" s="239"/>
      <c r="AP553" s="239"/>
      <c r="AQ553" s="306"/>
      <c r="AR553" s="239"/>
      <c r="AS553" s="239"/>
      <c r="AT553" s="239"/>
      <c r="AU553" s="239"/>
    </row>
    <row r="554" spans="1:47" x14ac:dyDescent="0.35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306"/>
      <c r="W554" s="239"/>
      <c r="X554" s="239"/>
      <c r="Y554" s="239"/>
      <c r="Z554" s="239"/>
      <c r="AA554" s="239"/>
      <c r="AB554" s="239"/>
      <c r="AC554" s="239"/>
      <c r="AD554" s="245"/>
      <c r="AE554" s="239"/>
      <c r="AF554" s="239"/>
      <c r="AG554" s="239"/>
      <c r="AH554" s="239"/>
      <c r="AI554" s="239"/>
      <c r="AJ554" s="239"/>
      <c r="AK554" s="239"/>
      <c r="AL554" s="239"/>
      <c r="AM554" s="245"/>
      <c r="AN554" s="239"/>
      <c r="AO554" s="239"/>
      <c r="AP554" s="239"/>
      <c r="AQ554" s="306"/>
      <c r="AR554" s="239"/>
      <c r="AS554" s="239"/>
      <c r="AT554" s="239"/>
      <c r="AU554" s="239"/>
    </row>
    <row r="555" spans="1:47" x14ac:dyDescent="0.35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306"/>
      <c r="W555" s="239"/>
      <c r="X555" s="239"/>
      <c r="Y555" s="239"/>
      <c r="Z555" s="239"/>
      <c r="AA555" s="239"/>
      <c r="AB555" s="239"/>
      <c r="AC555" s="239"/>
      <c r="AD555" s="245"/>
      <c r="AE555" s="239"/>
      <c r="AF555" s="239"/>
      <c r="AG555" s="239"/>
      <c r="AH555" s="239"/>
      <c r="AI555" s="239"/>
      <c r="AJ555" s="239"/>
      <c r="AK555" s="239"/>
      <c r="AL555" s="239"/>
      <c r="AM555" s="245"/>
      <c r="AN555" s="239"/>
      <c r="AO555" s="239"/>
      <c r="AP555" s="239"/>
      <c r="AQ555" s="306"/>
      <c r="AR555" s="239"/>
      <c r="AS555" s="239"/>
      <c r="AT555" s="239"/>
      <c r="AU555" s="239"/>
    </row>
    <row r="556" spans="1:47" x14ac:dyDescent="0.35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306"/>
      <c r="W556" s="239"/>
      <c r="X556" s="239"/>
      <c r="Y556" s="239"/>
      <c r="Z556" s="239"/>
      <c r="AA556" s="239"/>
      <c r="AB556" s="239"/>
      <c r="AC556" s="239"/>
      <c r="AD556" s="245"/>
      <c r="AE556" s="239"/>
      <c r="AF556" s="239"/>
      <c r="AG556" s="239"/>
      <c r="AH556" s="239"/>
      <c r="AI556" s="239"/>
      <c r="AJ556" s="239"/>
      <c r="AK556" s="239"/>
      <c r="AL556" s="239"/>
      <c r="AM556" s="245"/>
      <c r="AN556" s="239"/>
      <c r="AO556" s="239"/>
      <c r="AP556" s="239"/>
      <c r="AQ556" s="306"/>
      <c r="AR556" s="239"/>
      <c r="AS556" s="239"/>
      <c r="AT556" s="239"/>
      <c r="AU556" s="239"/>
    </row>
    <row r="557" spans="1:47" x14ac:dyDescent="0.35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306"/>
      <c r="W557" s="239"/>
      <c r="X557" s="239"/>
      <c r="Y557" s="239"/>
      <c r="Z557" s="239"/>
      <c r="AA557" s="239"/>
      <c r="AB557" s="239"/>
      <c r="AC557" s="239"/>
      <c r="AD557" s="245"/>
      <c r="AE557" s="239"/>
      <c r="AF557" s="239"/>
      <c r="AG557" s="239"/>
      <c r="AH557" s="239"/>
      <c r="AI557" s="239"/>
      <c r="AJ557" s="239"/>
      <c r="AK557" s="239"/>
      <c r="AL557" s="239"/>
      <c r="AM557" s="245"/>
      <c r="AN557" s="239"/>
      <c r="AO557" s="239"/>
      <c r="AP557" s="239"/>
      <c r="AQ557" s="306"/>
      <c r="AR557" s="239"/>
      <c r="AS557" s="239"/>
      <c r="AT557" s="239"/>
      <c r="AU557" s="239"/>
    </row>
    <row r="558" spans="1:47" x14ac:dyDescent="0.35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306"/>
      <c r="W558" s="239"/>
      <c r="X558" s="239"/>
      <c r="Y558" s="239"/>
      <c r="Z558" s="239"/>
      <c r="AA558" s="239"/>
      <c r="AB558" s="239"/>
      <c r="AC558" s="239"/>
      <c r="AD558" s="245"/>
      <c r="AE558" s="239"/>
      <c r="AF558" s="239"/>
      <c r="AG558" s="239"/>
      <c r="AH558" s="239"/>
      <c r="AI558" s="239"/>
      <c r="AJ558" s="239"/>
      <c r="AK558" s="239"/>
      <c r="AL558" s="239"/>
      <c r="AM558" s="245"/>
      <c r="AN558" s="239"/>
      <c r="AO558" s="239"/>
      <c r="AP558" s="239"/>
      <c r="AQ558" s="306"/>
      <c r="AR558" s="239"/>
      <c r="AS558" s="239"/>
      <c r="AT558" s="239"/>
      <c r="AU558" s="239"/>
    </row>
    <row r="559" spans="1:47" x14ac:dyDescent="0.35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306"/>
      <c r="W559" s="239"/>
      <c r="X559" s="239"/>
      <c r="Y559" s="239"/>
      <c r="Z559" s="239"/>
      <c r="AA559" s="239"/>
      <c r="AB559" s="239"/>
      <c r="AC559" s="239"/>
      <c r="AD559" s="245"/>
      <c r="AE559" s="239"/>
      <c r="AF559" s="239"/>
      <c r="AG559" s="239"/>
      <c r="AH559" s="239"/>
      <c r="AI559" s="239"/>
      <c r="AJ559" s="239"/>
      <c r="AK559" s="239"/>
      <c r="AL559" s="239"/>
      <c r="AM559" s="245"/>
      <c r="AN559" s="239"/>
      <c r="AO559" s="239"/>
      <c r="AP559" s="239"/>
      <c r="AQ559" s="306"/>
      <c r="AR559" s="239"/>
      <c r="AS559" s="239"/>
      <c r="AT559" s="239"/>
      <c r="AU559" s="239"/>
    </row>
    <row r="560" spans="1:47" x14ac:dyDescent="0.35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306"/>
      <c r="W560" s="239"/>
      <c r="X560" s="239"/>
      <c r="Y560" s="239"/>
      <c r="Z560" s="239"/>
      <c r="AA560" s="239"/>
      <c r="AB560" s="239"/>
      <c r="AC560" s="239"/>
      <c r="AD560" s="245"/>
      <c r="AE560" s="239"/>
      <c r="AF560" s="239"/>
      <c r="AG560" s="239"/>
      <c r="AH560" s="239"/>
      <c r="AI560" s="239"/>
      <c r="AJ560" s="239"/>
      <c r="AK560" s="239"/>
      <c r="AL560" s="239"/>
      <c r="AM560" s="245"/>
      <c r="AN560" s="239"/>
      <c r="AO560" s="239"/>
      <c r="AP560" s="239"/>
      <c r="AQ560" s="306"/>
      <c r="AR560" s="239"/>
      <c r="AS560" s="239"/>
      <c r="AT560" s="239"/>
      <c r="AU560" s="239"/>
    </row>
    <row r="561" spans="1:47" x14ac:dyDescent="0.35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306"/>
      <c r="W561" s="239"/>
      <c r="X561" s="239"/>
      <c r="Y561" s="239"/>
      <c r="Z561" s="239"/>
      <c r="AA561" s="239"/>
      <c r="AB561" s="239"/>
      <c r="AC561" s="239"/>
      <c r="AD561" s="245"/>
      <c r="AE561" s="239"/>
      <c r="AF561" s="239"/>
      <c r="AG561" s="239"/>
      <c r="AH561" s="239"/>
      <c r="AI561" s="239"/>
      <c r="AJ561" s="239"/>
      <c r="AK561" s="239"/>
      <c r="AL561" s="239"/>
      <c r="AM561" s="245"/>
      <c r="AN561" s="239"/>
      <c r="AO561" s="239"/>
      <c r="AP561" s="239"/>
      <c r="AQ561" s="306"/>
      <c r="AR561" s="239"/>
      <c r="AS561" s="239"/>
      <c r="AT561" s="239"/>
      <c r="AU561" s="239"/>
    </row>
    <row r="562" spans="1:47" x14ac:dyDescent="0.35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306"/>
      <c r="W562" s="239"/>
      <c r="X562" s="239"/>
      <c r="Y562" s="239"/>
      <c r="Z562" s="239"/>
      <c r="AA562" s="239"/>
      <c r="AB562" s="239"/>
      <c r="AC562" s="239"/>
      <c r="AD562" s="245"/>
      <c r="AE562" s="239"/>
      <c r="AF562" s="239"/>
      <c r="AG562" s="239"/>
      <c r="AH562" s="239"/>
      <c r="AI562" s="239"/>
      <c r="AJ562" s="239"/>
      <c r="AK562" s="239"/>
      <c r="AL562" s="239"/>
      <c r="AM562" s="245"/>
      <c r="AN562" s="239"/>
      <c r="AO562" s="239"/>
      <c r="AP562" s="239"/>
      <c r="AQ562" s="306"/>
      <c r="AR562" s="239"/>
      <c r="AS562" s="239"/>
      <c r="AT562" s="239"/>
      <c r="AU562" s="239"/>
    </row>
    <row r="563" spans="1:47" x14ac:dyDescent="0.35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306"/>
      <c r="W563" s="239"/>
      <c r="X563" s="239"/>
      <c r="Y563" s="239"/>
      <c r="Z563" s="239"/>
      <c r="AA563" s="239"/>
      <c r="AB563" s="239"/>
      <c r="AC563" s="239"/>
      <c r="AD563" s="245"/>
      <c r="AE563" s="239"/>
      <c r="AF563" s="239"/>
      <c r="AG563" s="239"/>
      <c r="AH563" s="239"/>
      <c r="AI563" s="239"/>
      <c r="AJ563" s="239"/>
      <c r="AK563" s="239"/>
      <c r="AL563" s="239"/>
      <c r="AM563" s="245"/>
      <c r="AN563" s="239"/>
      <c r="AO563" s="239"/>
      <c r="AP563" s="239"/>
      <c r="AQ563" s="306"/>
      <c r="AR563" s="239"/>
      <c r="AS563" s="239"/>
      <c r="AT563" s="239"/>
      <c r="AU563" s="239"/>
    </row>
    <row r="564" spans="1:47" x14ac:dyDescent="0.35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306"/>
      <c r="W564" s="239"/>
      <c r="X564" s="239"/>
      <c r="Y564" s="239"/>
      <c r="Z564" s="239"/>
      <c r="AA564" s="239"/>
      <c r="AB564" s="239"/>
      <c r="AC564" s="239"/>
      <c r="AD564" s="245"/>
      <c r="AE564" s="239"/>
      <c r="AF564" s="239"/>
      <c r="AG564" s="239"/>
      <c r="AH564" s="239"/>
      <c r="AI564" s="239"/>
      <c r="AJ564" s="239"/>
      <c r="AK564" s="239"/>
      <c r="AL564" s="239"/>
      <c r="AM564" s="245"/>
      <c r="AN564" s="239"/>
      <c r="AO564" s="239"/>
      <c r="AP564" s="239"/>
      <c r="AQ564" s="306"/>
      <c r="AR564" s="239"/>
      <c r="AS564" s="239"/>
      <c r="AT564" s="239"/>
      <c r="AU564" s="239"/>
    </row>
    <row r="565" spans="1:47" x14ac:dyDescent="0.35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306"/>
      <c r="W565" s="239"/>
      <c r="X565" s="239"/>
      <c r="Y565" s="239"/>
      <c r="Z565" s="239"/>
      <c r="AA565" s="239"/>
      <c r="AB565" s="239"/>
      <c r="AC565" s="239"/>
      <c r="AD565" s="245"/>
      <c r="AE565" s="239"/>
      <c r="AF565" s="239"/>
      <c r="AG565" s="239"/>
      <c r="AH565" s="239"/>
      <c r="AI565" s="239"/>
      <c r="AJ565" s="239"/>
      <c r="AK565" s="239"/>
      <c r="AL565" s="239"/>
      <c r="AM565" s="245"/>
      <c r="AN565" s="239"/>
      <c r="AO565" s="239"/>
      <c r="AP565" s="239"/>
      <c r="AQ565" s="306"/>
      <c r="AR565" s="239"/>
      <c r="AS565" s="239"/>
      <c r="AT565" s="239"/>
      <c r="AU565" s="239"/>
    </row>
    <row r="566" spans="1:47" x14ac:dyDescent="0.35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306"/>
      <c r="W566" s="239"/>
      <c r="X566" s="239"/>
      <c r="Y566" s="239"/>
      <c r="Z566" s="239"/>
      <c r="AA566" s="239"/>
      <c r="AB566" s="239"/>
      <c r="AC566" s="239"/>
      <c r="AD566" s="245"/>
      <c r="AE566" s="239"/>
      <c r="AF566" s="239"/>
      <c r="AG566" s="239"/>
      <c r="AH566" s="239"/>
      <c r="AI566" s="239"/>
      <c r="AJ566" s="239"/>
      <c r="AK566" s="239"/>
      <c r="AL566" s="239"/>
      <c r="AM566" s="245"/>
      <c r="AN566" s="239"/>
      <c r="AO566" s="239"/>
      <c r="AP566" s="239"/>
      <c r="AQ566" s="306"/>
      <c r="AR566" s="239"/>
      <c r="AS566" s="239"/>
      <c r="AT566" s="239"/>
      <c r="AU566" s="239"/>
    </row>
    <row r="567" spans="1:47" x14ac:dyDescent="0.35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306"/>
      <c r="W567" s="239"/>
      <c r="X567" s="239"/>
      <c r="Y567" s="239"/>
      <c r="Z567" s="239"/>
      <c r="AA567" s="239"/>
      <c r="AB567" s="239"/>
      <c r="AC567" s="239"/>
      <c r="AD567" s="245"/>
      <c r="AE567" s="239"/>
      <c r="AF567" s="239"/>
      <c r="AG567" s="239"/>
      <c r="AH567" s="239"/>
      <c r="AI567" s="239"/>
      <c r="AJ567" s="239"/>
      <c r="AK567" s="239"/>
      <c r="AL567" s="239"/>
      <c r="AM567" s="245"/>
      <c r="AN567" s="239"/>
      <c r="AO567" s="239"/>
      <c r="AP567" s="239"/>
      <c r="AQ567" s="306"/>
      <c r="AR567" s="239"/>
      <c r="AS567" s="239"/>
      <c r="AT567" s="239"/>
      <c r="AU567" s="239"/>
    </row>
    <row r="568" spans="1:47" x14ac:dyDescent="0.35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306"/>
      <c r="W568" s="239"/>
      <c r="X568" s="239"/>
      <c r="Y568" s="239"/>
      <c r="Z568" s="239"/>
      <c r="AA568" s="239"/>
      <c r="AB568" s="239"/>
      <c r="AC568" s="239"/>
      <c r="AD568" s="245"/>
      <c r="AE568" s="239"/>
      <c r="AF568" s="239"/>
      <c r="AG568" s="239"/>
      <c r="AH568" s="239"/>
      <c r="AI568" s="239"/>
      <c r="AJ568" s="239"/>
      <c r="AK568" s="239"/>
      <c r="AL568" s="239"/>
      <c r="AM568" s="245"/>
      <c r="AN568" s="239"/>
      <c r="AO568" s="239"/>
      <c r="AP568" s="239"/>
      <c r="AQ568" s="306"/>
      <c r="AR568" s="239"/>
      <c r="AS568" s="239"/>
      <c r="AT568" s="239"/>
      <c r="AU568" s="239"/>
    </row>
    <row r="569" spans="1:47" x14ac:dyDescent="0.35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306"/>
      <c r="W569" s="239"/>
      <c r="X569" s="239"/>
      <c r="Y569" s="239"/>
      <c r="Z569" s="239"/>
      <c r="AA569" s="239"/>
      <c r="AB569" s="239"/>
      <c r="AC569" s="239"/>
      <c r="AD569" s="245"/>
      <c r="AE569" s="239"/>
      <c r="AF569" s="239"/>
      <c r="AG569" s="239"/>
      <c r="AH569" s="239"/>
      <c r="AI569" s="239"/>
      <c r="AJ569" s="239"/>
      <c r="AK569" s="239"/>
      <c r="AL569" s="239"/>
      <c r="AM569" s="245"/>
      <c r="AN569" s="239"/>
      <c r="AO569" s="239"/>
      <c r="AP569" s="239"/>
      <c r="AQ569" s="306"/>
      <c r="AR569" s="239"/>
      <c r="AS569" s="239"/>
      <c r="AT569" s="239"/>
      <c r="AU569" s="239"/>
    </row>
    <row r="570" spans="1:47" x14ac:dyDescent="0.35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306"/>
      <c r="W570" s="239"/>
      <c r="X570" s="239"/>
      <c r="Y570" s="239"/>
      <c r="Z570" s="239"/>
      <c r="AA570" s="239"/>
      <c r="AB570" s="239"/>
      <c r="AC570" s="239"/>
      <c r="AD570" s="245"/>
      <c r="AE570" s="239"/>
      <c r="AF570" s="239"/>
      <c r="AG570" s="239"/>
      <c r="AH570" s="239"/>
      <c r="AI570" s="239"/>
      <c r="AJ570" s="239"/>
      <c r="AK570" s="239"/>
      <c r="AL570" s="239"/>
      <c r="AM570" s="245"/>
      <c r="AN570" s="239"/>
      <c r="AO570" s="239"/>
      <c r="AP570" s="239"/>
      <c r="AQ570" s="306"/>
      <c r="AR570" s="239"/>
      <c r="AS570" s="239"/>
      <c r="AT570" s="239"/>
      <c r="AU570" s="239"/>
    </row>
    <row r="571" spans="1:47" x14ac:dyDescent="0.35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306"/>
      <c r="W571" s="239"/>
      <c r="X571" s="239"/>
      <c r="Y571" s="239"/>
      <c r="Z571" s="239"/>
      <c r="AA571" s="239"/>
      <c r="AB571" s="239"/>
      <c r="AC571" s="239"/>
      <c r="AD571" s="245"/>
      <c r="AE571" s="239"/>
      <c r="AF571" s="239"/>
      <c r="AG571" s="239"/>
      <c r="AH571" s="239"/>
      <c r="AI571" s="239"/>
      <c r="AJ571" s="239"/>
      <c r="AK571" s="239"/>
      <c r="AL571" s="239"/>
      <c r="AM571" s="245"/>
      <c r="AN571" s="239"/>
      <c r="AO571" s="239"/>
      <c r="AP571" s="239"/>
      <c r="AQ571" s="306"/>
      <c r="AR571" s="239"/>
      <c r="AS571" s="239"/>
      <c r="AT571" s="239"/>
      <c r="AU571" s="239"/>
    </row>
    <row r="572" spans="1:47" x14ac:dyDescent="0.35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306"/>
      <c r="W572" s="239"/>
      <c r="X572" s="239"/>
      <c r="Y572" s="239"/>
      <c r="Z572" s="239"/>
      <c r="AA572" s="239"/>
      <c r="AB572" s="239"/>
      <c r="AC572" s="239"/>
      <c r="AD572" s="245"/>
      <c r="AE572" s="239"/>
      <c r="AF572" s="239"/>
      <c r="AG572" s="239"/>
      <c r="AH572" s="239"/>
      <c r="AI572" s="239"/>
      <c r="AJ572" s="239"/>
      <c r="AK572" s="239"/>
      <c r="AL572" s="239"/>
      <c r="AM572" s="245"/>
      <c r="AN572" s="239"/>
      <c r="AO572" s="239"/>
      <c r="AP572" s="239"/>
      <c r="AQ572" s="306"/>
      <c r="AR572" s="239"/>
      <c r="AS572" s="239"/>
      <c r="AT572" s="239"/>
      <c r="AU572" s="239"/>
    </row>
    <row r="573" spans="1:47" x14ac:dyDescent="0.35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306"/>
      <c r="W573" s="239"/>
      <c r="X573" s="239"/>
      <c r="Y573" s="239"/>
      <c r="Z573" s="239"/>
      <c r="AA573" s="239"/>
      <c r="AB573" s="239"/>
      <c r="AC573" s="239"/>
      <c r="AD573" s="245"/>
      <c r="AE573" s="239"/>
      <c r="AF573" s="239"/>
      <c r="AG573" s="239"/>
      <c r="AH573" s="239"/>
      <c r="AI573" s="239"/>
      <c r="AJ573" s="239"/>
      <c r="AK573" s="239"/>
      <c r="AL573" s="239"/>
      <c r="AM573" s="245"/>
      <c r="AN573" s="239"/>
      <c r="AO573" s="239"/>
      <c r="AP573" s="239"/>
      <c r="AQ573" s="306"/>
      <c r="AR573" s="239"/>
      <c r="AS573" s="239"/>
      <c r="AT573" s="239"/>
      <c r="AU573" s="239"/>
    </row>
    <row r="574" spans="1:47" x14ac:dyDescent="0.35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306"/>
      <c r="W574" s="239"/>
      <c r="X574" s="239"/>
      <c r="Y574" s="239"/>
      <c r="Z574" s="239"/>
      <c r="AA574" s="239"/>
      <c r="AB574" s="239"/>
      <c r="AC574" s="239"/>
      <c r="AD574" s="245"/>
      <c r="AE574" s="239"/>
      <c r="AF574" s="239"/>
      <c r="AG574" s="239"/>
      <c r="AH574" s="239"/>
      <c r="AI574" s="239"/>
      <c r="AJ574" s="239"/>
      <c r="AK574" s="239"/>
      <c r="AL574" s="239"/>
      <c r="AM574" s="245"/>
      <c r="AN574" s="239"/>
      <c r="AO574" s="239"/>
      <c r="AP574" s="239"/>
      <c r="AQ574" s="306"/>
      <c r="AR574" s="239"/>
      <c r="AS574" s="239"/>
      <c r="AT574" s="239"/>
      <c r="AU574" s="239"/>
    </row>
    <row r="575" spans="1:47" x14ac:dyDescent="0.35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306"/>
      <c r="W575" s="239"/>
      <c r="X575" s="239"/>
      <c r="Y575" s="239"/>
      <c r="Z575" s="239"/>
      <c r="AA575" s="239"/>
      <c r="AB575" s="239"/>
      <c r="AC575" s="239"/>
      <c r="AD575" s="245"/>
      <c r="AE575" s="239"/>
      <c r="AF575" s="239"/>
      <c r="AG575" s="239"/>
      <c r="AH575" s="239"/>
      <c r="AI575" s="239"/>
      <c r="AJ575" s="239"/>
      <c r="AK575" s="239"/>
      <c r="AL575" s="239"/>
      <c r="AM575" s="245"/>
      <c r="AN575" s="239"/>
      <c r="AO575" s="239"/>
      <c r="AP575" s="239"/>
      <c r="AQ575" s="306"/>
      <c r="AR575" s="239"/>
      <c r="AS575" s="239"/>
      <c r="AT575" s="239"/>
      <c r="AU575" s="239"/>
    </row>
    <row r="576" spans="1:47" x14ac:dyDescent="0.35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306"/>
      <c r="W576" s="239"/>
      <c r="X576" s="239"/>
      <c r="Y576" s="239"/>
      <c r="Z576" s="239"/>
      <c r="AA576" s="239"/>
      <c r="AB576" s="239"/>
      <c r="AC576" s="239"/>
      <c r="AD576" s="245"/>
      <c r="AE576" s="239"/>
      <c r="AF576" s="239"/>
      <c r="AG576" s="239"/>
      <c r="AH576" s="239"/>
      <c r="AI576" s="239"/>
      <c r="AJ576" s="239"/>
      <c r="AK576" s="239"/>
      <c r="AL576" s="239"/>
      <c r="AM576" s="245"/>
      <c r="AN576" s="239"/>
      <c r="AO576" s="239"/>
      <c r="AP576" s="239"/>
      <c r="AQ576" s="306"/>
      <c r="AR576" s="239"/>
      <c r="AS576" s="239"/>
      <c r="AT576" s="239"/>
      <c r="AU576" s="239"/>
    </row>
    <row r="577" spans="1:47" x14ac:dyDescent="0.35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306"/>
      <c r="W577" s="239"/>
      <c r="X577" s="239"/>
      <c r="Y577" s="239"/>
      <c r="Z577" s="239"/>
      <c r="AA577" s="239"/>
      <c r="AB577" s="239"/>
      <c r="AC577" s="239"/>
      <c r="AD577" s="245"/>
      <c r="AE577" s="239"/>
      <c r="AF577" s="239"/>
      <c r="AG577" s="239"/>
      <c r="AH577" s="239"/>
      <c r="AI577" s="239"/>
      <c r="AJ577" s="239"/>
      <c r="AK577" s="239"/>
      <c r="AL577" s="239"/>
      <c r="AM577" s="245"/>
      <c r="AN577" s="239"/>
      <c r="AO577" s="239"/>
      <c r="AP577" s="239"/>
      <c r="AQ577" s="306"/>
      <c r="AR577" s="239"/>
      <c r="AS577" s="239"/>
      <c r="AT577" s="239"/>
      <c r="AU577" s="239"/>
    </row>
    <row r="578" spans="1:47" x14ac:dyDescent="0.35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306"/>
      <c r="W578" s="239"/>
      <c r="X578" s="239"/>
      <c r="Y578" s="239"/>
      <c r="Z578" s="239"/>
      <c r="AA578" s="239"/>
      <c r="AB578" s="239"/>
      <c r="AC578" s="239"/>
      <c r="AD578" s="245"/>
      <c r="AE578" s="239"/>
      <c r="AF578" s="239"/>
      <c r="AG578" s="239"/>
      <c r="AH578" s="239"/>
      <c r="AI578" s="239"/>
      <c r="AJ578" s="239"/>
      <c r="AK578" s="239"/>
      <c r="AL578" s="239"/>
      <c r="AM578" s="245"/>
      <c r="AN578" s="239"/>
      <c r="AO578" s="239"/>
      <c r="AP578" s="239"/>
      <c r="AQ578" s="306"/>
      <c r="AR578" s="239"/>
      <c r="AS578" s="239"/>
      <c r="AT578" s="239"/>
      <c r="AU578" s="239"/>
    </row>
    <row r="579" spans="1:47" x14ac:dyDescent="0.35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306"/>
      <c r="W579" s="239"/>
      <c r="X579" s="239"/>
      <c r="Y579" s="239"/>
      <c r="Z579" s="239"/>
      <c r="AA579" s="239"/>
      <c r="AB579" s="239"/>
      <c r="AC579" s="239"/>
      <c r="AD579" s="245"/>
      <c r="AE579" s="239"/>
      <c r="AF579" s="239"/>
      <c r="AG579" s="239"/>
      <c r="AH579" s="239"/>
      <c r="AI579" s="239"/>
      <c r="AJ579" s="239"/>
      <c r="AK579" s="239"/>
      <c r="AL579" s="239"/>
      <c r="AM579" s="245"/>
      <c r="AN579" s="239"/>
      <c r="AO579" s="239"/>
      <c r="AP579" s="239"/>
      <c r="AQ579" s="306"/>
      <c r="AR579" s="239"/>
      <c r="AS579" s="239"/>
      <c r="AT579" s="239"/>
      <c r="AU579" s="239"/>
    </row>
    <row r="580" spans="1:47" x14ac:dyDescent="0.35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306"/>
      <c r="W580" s="239"/>
      <c r="X580" s="239"/>
      <c r="Y580" s="239"/>
      <c r="Z580" s="239"/>
      <c r="AA580" s="239"/>
      <c r="AB580" s="239"/>
      <c r="AC580" s="239"/>
      <c r="AD580" s="245"/>
      <c r="AE580" s="239"/>
      <c r="AF580" s="239"/>
      <c r="AG580" s="239"/>
      <c r="AH580" s="239"/>
      <c r="AI580" s="239"/>
      <c r="AJ580" s="239"/>
      <c r="AK580" s="239"/>
      <c r="AL580" s="239"/>
      <c r="AM580" s="245"/>
      <c r="AN580" s="239"/>
      <c r="AO580" s="239"/>
      <c r="AP580" s="239"/>
      <c r="AQ580" s="306"/>
      <c r="AR580" s="239"/>
      <c r="AS580" s="239"/>
      <c r="AT580" s="239"/>
      <c r="AU580" s="239"/>
    </row>
    <row r="581" spans="1:47" x14ac:dyDescent="0.35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306"/>
      <c r="W581" s="239"/>
      <c r="X581" s="239"/>
      <c r="Y581" s="239"/>
      <c r="Z581" s="239"/>
      <c r="AA581" s="239"/>
      <c r="AB581" s="239"/>
      <c r="AC581" s="239"/>
      <c r="AD581" s="245"/>
      <c r="AE581" s="239"/>
      <c r="AF581" s="239"/>
      <c r="AG581" s="239"/>
      <c r="AH581" s="239"/>
      <c r="AI581" s="239"/>
      <c r="AJ581" s="239"/>
      <c r="AK581" s="239"/>
      <c r="AL581" s="239"/>
      <c r="AM581" s="245"/>
      <c r="AN581" s="239"/>
      <c r="AO581" s="239"/>
      <c r="AP581" s="239"/>
      <c r="AQ581" s="306"/>
      <c r="AR581" s="239"/>
      <c r="AS581" s="239"/>
      <c r="AT581" s="239"/>
      <c r="AU581" s="239"/>
    </row>
    <row r="582" spans="1:47" x14ac:dyDescent="0.35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306"/>
      <c r="W582" s="239"/>
      <c r="X582" s="239"/>
      <c r="Y582" s="239"/>
      <c r="Z582" s="239"/>
      <c r="AA582" s="239"/>
      <c r="AB582" s="239"/>
      <c r="AC582" s="239"/>
      <c r="AD582" s="245"/>
      <c r="AE582" s="239"/>
      <c r="AF582" s="239"/>
      <c r="AG582" s="239"/>
      <c r="AH582" s="239"/>
      <c r="AI582" s="239"/>
      <c r="AJ582" s="239"/>
      <c r="AK582" s="239"/>
      <c r="AL582" s="239"/>
      <c r="AM582" s="245"/>
      <c r="AN582" s="239"/>
      <c r="AO582" s="239"/>
      <c r="AP582" s="239"/>
      <c r="AQ582" s="306"/>
      <c r="AR582" s="239"/>
      <c r="AS582" s="239"/>
      <c r="AT582" s="239"/>
      <c r="AU582" s="239"/>
    </row>
    <row r="583" spans="1:47" x14ac:dyDescent="0.35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306"/>
      <c r="W583" s="239"/>
      <c r="X583" s="239"/>
      <c r="Y583" s="239"/>
      <c r="Z583" s="239"/>
      <c r="AA583" s="239"/>
      <c r="AB583" s="239"/>
      <c r="AC583" s="239"/>
      <c r="AD583" s="245"/>
      <c r="AE583" s="239"/>
      <c r="AF583" s="239"/>
      <c r="AG583" s="239"/>
      <c r="AH583" s="239"/>
      <c r="AI583" s="239"/>
      <c r="AJ583" s="239"/>
      <c r="AK583" s="239"/>
      <c r="AL583" s="239"/>
      <c r="AM583" s="245"/>
      <c r="AN583" s="239"/>
      <c r="AO583" s="239"/>
      <c r="AP583" s="239"/>
      <c r="AQ583" s="306"/>
      <c r="AR583" s="239"/>
      <c r="AS583" s="239"/>
      <c r="AT583" s="239"/>
      <c r="AU583" s="239"/>
    </row>
    <row r="584" spans="1:47" x14ac:dyDescent="0.35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306"/>
      <c r="W584" s="239"/>
      <c r="X584" s="239"/>
      <c r="Y584" s="239"/>
      <c r="Z584" s="239"/>
      <c r="AA584" s="239"/>
      <c r="AB584" s="239"/>
      <c r="AC584" s="239"/>
      <c r="AD584" s="245"/>
      <c r="AE584" s="239"/>
      <c r="AF584" s="239"/>
      <c r="AG584" s="239"/>
      <c r="AH584" s="239"/>
      <c r="AI584" s="239"/>
      <c r="AJ584" s="239"/>
      <c r="AK584" s="239"/>
      <c r="AL584" s="239"/>
      <c r="AM584" s="245"/>
      <c r="AN584" s="239"/>
      <c r="AO584" s="239"/>
      <c r="AP584" s="239"/>
      <c r="AQ584" s="306"/>
      <c r="AR584" s="239"/>
      <c r="AS584" s="239"/>
      <c r="AT584" s="239"/>
      <c r="AU584" s="239"/>
    </row>
    <row r="585" spans="1:47" x14ac:dyDescent="0.35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306"/>
      <c r="W585" s="239"/>
      <c r="X585" s="239"/>
      <c r="Y585" s="239"/>
      <c r="Z585" s="239"/>
      <c r="AA585" s="239"/>
      <c r="AB585" s="239"/>
      <c r="AC585" s="239"/>
      <c r="AD585" s="245"/>
      <c r="AE585" s="239"/>
      <c r="AF585" s="239"/>
      <c r="AG585" s="239"/>
      <c r="AH585" s="239"/>
      <c r="AI585" s="239"/>
      <c r="AJ585" s="239"/>
      <c r="AK585" s="239"/>
      <c r="AL585" s="239"/>
      <c r="AM585" s="245"/>
      <c r="AN585" s="239"/>
      <c r="AO585" s="239"/>
      <c r="AP585" s="239"/>
      <c r="AQ585" s="306"/>
      <c r="AR585" s="239"/>
      <c r="AS585" s="239"/>
      <c r="AT585" s="239"/>
      <c r="AU585" s="239"/>
    </row>
    <row r="586" spans="1:47" x14ac:dyDescent="0.35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306"/>
      <c r="W586" s="239"/>
      <c r="X586" s="239"/>
      <c r="Y586" s="239"/>
      <c r="Z586" s="239"/>
      <c r="AA586" s="239"/>
      <c r="AB586" s="239"/>
      <c r="AC586" s="239"/>
      <c r="AD586" s="245"/>
      <c r="AE586" s="239"/>
      <c r="AF586" s="239"/>
      <c r="AG586" s="239"/>
      <c r="AH586" s="239"/>
      <c r="AI586" s="239"/>
      <c r="AJ586" s="239"/>
      <c r="AK586" s="239"/>
      <c r="AL586" s="239"/>
      <c r="AM586" s="245"/>
      <c r="AN586" s="239"/>
      <c r="AO586" s="239"/>
      <c r="AP586" s="239"/>
      <c r="AQ586" s="306"/>
      <c r="AR586" s="239"/>
      <c r="AS586" s="239"/>
      <c r="AT586" s="239"/>
      <c r="AU586" s="239"/>
    </row>
    <row r="587" spans="1:47" x14ac:dyDescent="0.35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306"/>
      <c r="W587" s="239"/>
      <c r="X587" s="239"/>
      <c r="Y587" s="239"/>
      <c r="Z587" s="239"/>
      <c r="AA587" s="239"/>
      <c r="AB587" s="239"/>
      <c r="AC587" s="239"/>
      <c r="AD587" s="245"/>
      <c r="AE587" s="239"/>
      <c r="AF587" s="239"/>
      <c r="AG587" s="239"/>
      <c r="AH587" s="239"/>
      <c r="AI587" s="239"/>
      <c r="AJ587" s="239"/>
      <c r="AK587" s="239"/>
      <c r="AL587" s="239"/>
      <c r="AM587" s="245"/>
      <c r="AN587" s="239"/>
      <c r="AO587" s="239"/>
      <c r="AP587" s="239"/>
      <c r="AQ587" s="306"/>
      <c r="AR587" s="239"/>
      <c r="AS587" s="239"/>
      <c r="AT587" s="239"/>
      <c r="AU587" s="239"/>
    </row>
    <row r="588" spans="1:47" x14ac:dyDescent="0.35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306"/>
      <c r="W588" s="239"/>
      <c r="X588" s="239"/>
      <c r="Y588" s="239"/>
      <c r="Z588" s="239"/>
      <c r="AA588" s="239"/>
      <c r="AB588" s="239"/>
      <c r="AC588" s="239"/>
      <c r="AD588" s="245"/>
      <c r="AE588" s="239"/>
      <c r="AF588" s="239"/>
      <c r="AG588" s="239"/>
      <c r="AH588" s="239"/>
      <c r="AI588" s="239"/>
      <c r="AJ588" s="239"/>
      <c r="AK588" s="239"/>
      <c r="AL588" s="239"/>
      <c r="AM588" s="245"/>
      <c r="AN588" s="239"/>
      <c r="AO588" s="239"/>
      <c r="AP588" s="239"/>
      <c r="AQ588" s="306"/>
      <c r="AR588" s="239"/>
      <c r="AS588" s="239"/>
      <c r="AT588" s="239"/>
      <c r="AU588" s="239"/>
    </row>
    <row r="589" spans="1:47" x14ac:dyDescent="0.35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306"/>
      <c r="W589" s="239"/>
      <c r="X589" s="239"/>
      <c r="Y589" s="239"/>
      <c r="Z589" s="239"/>
      <c r="AA589" s="239"/>
      <c r="AB589" s="239"/>
      <c r="AC589" s="239"/>
      <c r="AD589" s="245"/>
      <c r="AE589" s="239"/>
      <c r="AF589" s="239"/>
      <c r="AG589" s="239"/>
      <c r="AH589" s="239"/>
      <c r="AI589" s="239"/>
      <c r="AJ589" s="239"/>
      <c r="AK589" s="239"/>
      <c r="AL589" s="239"/>
      <c r="AM589" s="245"/>
      <c r="AN589" s="239"/>
      <c r="AO589" s="239"/>
      <c r="AP589" s="239"/>
      <c r="AQ589" s="306"/>
      <c r="AR589" s="239"/>
      <c r="AS589" s="239"/>
      <c r="AT589" s="239"/>
      <c r="AU589" s="239"/>
    </row>
    <row r="590" spans="1:47" x14ac:dyDescent="0.35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306"/>
      <c r="W590" s="239"/>
      <c r="X590" s="239"/>
      <c r="Y590" s="239"/>
      <c r="Z590" s="239"/>
      <c r="AA590" s="239"/>
      <c r="AB590" s="239"/>
      <c r="AC590" s="239"/>
      <c r="AD590" s="245"/>
      <c r="AE590" s="239"/>
      <c r="AF590" s="239"/>
      <c r="AG590" s="239"/>
      <c r="AH590" s="239"/>
      <c r="AI590" s="239"/>
      <c r="AJ590" s="239"/>
      <c r="AK590" s="239"/>
      <c r="AL590" s="239"/>
      <c r="AM590" s="245"/>
      <c r="AN590" s="239"/>
      <c r="AO590" s="239"/>
      <c r="AP590" s="239"/>
      <c r="AQ590" s="306"/>
      <c r="AR590" s="239"/>
      <c r="AS590" s="239"/>
      <c r="AT590" s="239"/>
      <c r="AU590" s="239"/>
    </row>
    <row r="591" spans="1:47" x14ac:dyDescent="0.35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306"/>
      <c r="W591" s="239"/>
      <c r="X591" s="239"/>
      <c r="Y591" s="239"/>
      <c r="Z591" s="239"/>
      <c r="AA591" s="239"/>
      <c r="AB591" s="239"/>
      <c r="AC591" s="239"/>
      <c r="AD591" s="245"/>
      <c r="AE591" s="239"/>
      <c r="AF591" s="239"/>
      <c r="AG591" s="239"/>
      <c r="AH591" s="239"/>
      <c r="AI591" s="239"/>
      <c r="AJ591" s="239"/>
      <c r="AK591" s="239"/>
      <c r="AL591" s="239"/>
      <c r="AM591" s="245"/>
      <c r="AN591" s="239"/>
      <c r="AO591" s="239"/>
      <c r="AP591" s="239"/>
      <c r="AQ591" s="306"/>
      <c r="AR591" s="239"/>
      <c r="AS591" s="239"/>
      <c r="AT591" s="239"/>
      <c r="AU591" s="239"/>
    </row>
    <row r="592" spans="1:47" x14ac:dyDescent="0.35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306"/>
      <c r="W592" s="239"/>
      <c r="X592" s="239"/>
      <c r="Y592" s="239"/>
      <c r="Z592" s="239"/>
      <c r="AA592" s="239"/>
      <c r="AB592" s="239"/>
      <c r="AC592" s="239"/>
      <c r="AD592" s="245"/>
      <c r="AE592" s="239"/>
      <c r="AF592" s="239"/>
      <c r="AG592" s="239"/>
      <c r="AH592" s="239"/>
      <c r="AI592" s="239"/>
      <c r="AJ592" s="239"/>
      <c r="AK592" s="239"/>
      <c r="AL592" s="239"/>
      <c r="AM592" s="245"/>
      <c r="AN592" s="239"/>
      <c r="AO592" s="239"/>
      <c r="AP592" s="239"/>
      <c r="AQ592" s="306"/>
      <c r="AR592" s="239"/>
      <c r="AS592" s="239"/>
      <c r="AT592" s="239"/>
      <c r="AU592" s="239"/>
    </row>
    <row r="593" spans="1:47" x14ac:dyDescent="0.35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306"/>
      <c r="W593" s="239"/>
      <c r="X593" s="239"/>
      <c r="Y593" s="239"/>
      <c r="Z593" s="239"/>
      <c r="AA593" s="239"/>
      <c r="AB593" s="239"/>
      <c r="AC593" s="239"/>
      <c r="AD593" s="245"/>
      <c r="AE593" s="239"/>
      <c r="AF593" s="239"/>
      <c r="AG593" s="239"/>
      <c r="AH593" s="239"/>
      <c r="AI593" s="239"/>
      <c r="AJ593" s="239"/>
      <c r="AK593" s="239"/>
      <c r="AL593" s="239"/>
      <c r="AM593" s="245"/>
      <c r="AN593" s="239"/>
      <c r="AO593" s="239"/>
      <c r="AP593" s="239"/>
      <c r="AQ593" s="306"/>
      <c r="AR593" s="239"/>
      <c r="AS593" s="239"/>
      <c r="AT593" s="239"/>
      <c r="AU593" s="239"/>
    </row>
    <row r="594" spans="1:47" x14ac:dyDescent="0.35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306"/>
      <c r="W594" s="239"/>
      <c r="X594" s="239"/>
      <c r="Y594" s="239"/>
      <c r="Z594" s="239"/>
      <c r="AA594" s="239"/>
      <c r="AB594" s="239"/>
      <c r="AC594" s="239"/>
      <c r="AD594" s="245"/>
      <c r="AE594" s="239"/>
      <c r="AF594" s="239"/>
      <c r="AG594" s="239"/>
      <c r="AH594" s="239"/>
      <c r="AI594" s="239"/>
      <c r="AJ594" s="239"/>
      <c r="AK594" s="239"/>
      <c r="AL594" s="239"/>
      <c r="AM594" s="245"/>
      <c r="AN594" s="239"/>
      <c r="AO594" s="239"/>
      <c r="AP594" s="239"/>
      <c r="AQ594" s="306"/>
      <c r="AR594" s="239"/>
      <c r="AS594" s="239"/>
      <c r="AT594" s="239"/>
      <c r="AU594" s="239"/>
    </row>
    <row r="595" spans="1:47" x14ac:dyDescent="0.35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306"/>
      <c r="W595" s="239"/>
      <c r="X595" s="239"/>
      <c r="Y595" s="239"/>
      <c r="Z595" s="239"/>
      <c r="AA595" s="239"/>
      <c r="AB595" s="239"/>
      <c r="AC595" s="239"/>
      <c r="AD595" s="245"/>
      <c r="AE595" s="239"/>
      <c r="AF595" s="239"/>
      <c r="AG595" s="239"/>
      <c r="AH595" s="239"/>
      <c r="AI595" s="239"/>
      <c r="AJ595" s="239"/>
      <c r="AK595" s="239"/>
      <c r="AL595" s="239"/>
      <c r="AM595" s="245"/>
      <c r="AN595" s="239"/>
      <c r="AO595" s="239"/>
      <c r="AP595" s="239"/>
      <c r="AQ595" s="306"/>
      <c r="AR595" s="239"/>
      <c r="AS595" s="239"/>
      <c r="AT595" s="239"/>
      <c r="AU595" s="239"/>
    </row>
    <row r="596" spans="1:47" x14ac:dyDescent="0.35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306"/>
      <c r="W596" s="239"/>
      <c r="X596" s="239"/>
      <c r="Y596" s="239"/>
      <c r="Z596" s="239"/>
      <c r="AA596" s="239"/>
      <c r="AB596" s="239"/>
      <c r="AC596" s="239"/>
      <c r="AD596" s="245"/>
      <c r="AE596" s="239"/>
      <c r="AF596" s="239"/>
      <c r="AG596" s="239"/>
      <c r="AH596" s="239"/>
      <c r="AI596" s="239"/>
      <c r="AJ596" s="239"/>
      <c r="AK596" s="239"/>
      <c r="AL596" s="239"/>
      <c r="AM596" s="245"/>
      <c r="AN596" s="239"/>
      <c r="AO596" s="239"/>
      <c r="AP596" s="239"/>
      <c r="AQ596" s="306"/>
      <c r="AR596" s="239"/>
      <c r="AS596" s="239"/>
      <c r="AT596" s="239"/>
      <c r="AU596" s="239"/>
    </row>
    <row r="597" spans="1:47" x14ac:dyDescent="0.35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306"/>
      <c r="W597" s="239"/>
      <c r="X597" s="239"/>
      <c r="Y597" s="239"/>
      <c r="Z597" s="239"/>
      <c r="AA597" s="239"/>
      <c r="AB597" s="239"/>
      <c r="AC597" s="239"/>
      <c r="AD597" s="245"/>
      <c r="AE597" s="239"/>
      <c r="AF597" s="239"/>
      <c r="AG597" s="239"/>
      <c r="AH597" s="239"/>
      <c r="AI597" s="239"/>
      <c r="AJ597" s="239"/>
      <c r="AK597" s="239"/>
      <c r="AL597" s="239"/>
      <c r="AM597" s="245"/>
      <c r="AN597" s="239"/>
      <c r="AO597" s="239"/>
      <c r="AP597" s="239"/>
      <c r="AQ597" s="306"/>
      <c r="AR597" s="239"/>
      <c r="AS597" s="239"/>
      <c r="AT597" s="239"/>
      <c r="AU597" s="239"/>
    </row>
    <row r="598" spans="1:47" x14ac:dyDescent="0.35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306"/>
      <c r="W598" s="239"/>
      <c r="X598" s="239"/>
      <c r="Y598" s="239"/>
      <c r="Z598" s="239"/>
      <c r="AA598" s="239"/>
      <c r="AB598" s="239"/>
      <c r="AC598" s="239"/>
      <c r="AD598" s="245"/>
      <c r="AE598" s="239"/>
      <c r="AF598" s="239"/>
      <c r="AG598" s="239"/>
      <c r="AH598" s="239"/>
      <c r="AI598" s="239"/>
      <c r="AJ598" s="239"/>
      <c r="AK598" s="239"/>
      <c r="AL598" s="239"/>
      <c r="AM598" s="245"/>
      <c r="AN598" s="239"/>
      <c r="AO598" s="239"/>
      <c r="AP598" s="239"/>
      <c r="AQ598" s="306"/>
      <c r="AR598" s="239"/>
      <c r="AS598" s="239"/>
      <c r="AT598" s="239"/>
      <c r="AU598" s="239"/>
    </row>
    <row r="599" spans="1:47" x14ac:dyDescent="0.35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306"/>
      <c r="W599" s="239"/>
      <c r="X599" s="239"/>
      <c r="Y599" s="239"/>
      <c r="Z599" s="239"/>
      <c r="AA599" s="239"/>
      <c r="AB599" s="239"/>
      <c r="AC599" s="239"/>
      <c r="AD599" s="245"/>
      <c r="AE599" s="239"/>
      <c r="AF599" s="239"/>
      <c r="AG599" s="239"/>
      <c r="AH599" s="239"/>
      <c r="AI599" s="239"/>
      <c r="AJ599" s="239"/>
      <c r="AK599" s="239"/>
      <c r="AL599" s="239"/>
      <c r="AM599" s="245"/>
      <c r="AN599" s="239"/>
      <c r="AO599" s="239"/>
      <c r="AP599" s="239"/>
      <c r="AQ599" s="306"/>
      <c r="AR599" s="239"/>
      <c r="AS599" s="239"/>
      <c r="AT599" s="239"/>
      <c r="AU599" s="239"/>
    </row>
    <row r="600" spans="1:47" x14ac:dyDescent="0.35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306"/>
      <c r="W600" s="239"/>
      <c r="X600" s="239"/>
      <c r="Y600" s="239"/>
      <c r="Z600" s="239"/>
      <c r="AA600" s="239"/>
      <c r="AB600" s="239"/>
      <c r="AC600" s="239"/>
      <c r="AD600" s="245"/>
      <c r="AE600" s="239"/>
      <c r="AF600" s="239"/>
      <c r="AG600" s="239"/>
      <c r="AH600" s="239"/>
      <c r="AI600" s="239"/>
      <c r="AJ600" s="239"/>
      <c r="AK600" s="239"/>
      <c r="AL600" s="239"/>
      <c r="AM600" s="245"/>
      <c r="AN600" s="239"/>
      <c r="AO600" s="239"/>
      <c r="AP600" s="239"/>
      <c r="AQ600" s="306"/>
      <c r="AR600" s="239"/>
      <c r="AS600" s="239"/>
      <c r="AT600" s="239"/>
      <c r="AU600" s="239"/>
    </row>
    <row r="601" spans="1:47" x14ac:dyDescent="0.35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306"/>
      <c r="W601" s="239"/>
      <c r="X601" s="239"/>
      <c r="Y601" s="239"/>
      <c r="Z601" s="239"/>
      <c r="AA601" s="239"/>
      <c r="AB601" s="239"/>
      <c r="AC601" s="239"/>
      <c r="AD601" s="245"/>
      <c r="AE601" s="239"/>
      <c r="AF601" s="239"/>
      <c r="AG601" s="239"/>
      <c r="AH601" s="239"/>
      <c r="AI601" s="239"/>
      <c r="AJ601" s="239"/>
      <c r="AK601" s="239"/>
      <c r="AL601" s="239"/>
      <c r="AM601" s="245"/>
      <c r="AN601" s="239"/>
      <c r="AO601" s="239"/>
      <c r="AP601" s="239"/>
      <c r="AQ601" s="306"/>
      <c r="AR601" s="239"/>
      <c r="AS601" s="239"/>
      <c r="AT601" s="239"/>
      <c r="AU601" s="239"/>
    </row>
    <row r="602" spans="1:47" x14ac:dyDescent="0.35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306"/>
      <c r="W602" s="239"/>
      <c r="X602" s="239"/>
      <c r="Y602" s="239"/>
      <c r="Z602" s="239"/>
      <c r="AA602" s="239"/>
      <c r="AB602" s="239"/>
      <c r="AC602" s="239"/>
      <c r="AD602" s="245"/>
      <c r="AE602" s="239"/>
      <c r="AF602" s="239"/>
      <c r="AG602" s="239"/>
      <c r="AH602" s="239"/>
      <c r="AI602" s="239"/>
      <c r="AJ602" s="239"/>
      <c r="AK602" s="239"/>
      <c r="AL602" s="239"/>
      <c r="AM602" s="245"/>
      <c r="AN602" s="239"/>
      <c r="AO602" s="239"/>
      <c r="AP602" s="239"/>
      <c r="AQ602" s="306"/>
      <c r="AR602" s="239"/>
      <c r="AS602" s="239"/>
      <c r="AT602" s="239"/>
      <c r="AU602" s="239"/>
    </row>
    <row r="603" spans="1:47" x14ac:dyDescent="0.35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306"/>
      <c r="W603" s="239"/>
      <c r="X603" s="239"/>
      <c r="Y603" s="239"/>
      <c r="Z603" s="239"/>
      <c r="AA603" s="239"/>
      <c r="AB603" s="239"/>
      <c r="AC603" s="239"/>
      <c r="AD603" s="245"/>
      <c r="AE603" s="239"/>
      <c r="AF603" s="239"/>
      <c r="AG603" s="239"/>
      <c r="AH603" s="239"/>
      <c r="AI603" s="239"/>
      <c r="AJ603" s="239"/>
      <c r="AK603" s="239"/>
      <c r="AL603" s="239"/>
      <c r="AM603" s="245"/>
      <c r="AN603" s="239"/>
      <c r="AO603" s="239"/>
      <c r="AP603" s="239"/>
      <c r="AQ603" s="306"/>
      <c r="AR603" s="239"/>
      <c r="AS603" s="239"/>
      <c r="AT603" s="239"/>
      <c r="AU603" s="239"/>
    </row>
    <row r="604" spans="1:47" x14ac:dyDescent="0.35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306"/>
      <c r="W604" s="239"/>
      <c r="X604" s="239"/>
      <c r="Y604" s="239"/>
      <c r="Z604" s="239"/>
      <c r="AA604" s="239"/>
      <c r="AB604" s="239"/>
      <c r="AC604" s="239"/>
      <c r="AD604" s="245"/>
      <c r="AE604" s="239"/>
      <c r="AF604" s="239"/>
      <c r="AG604" s="239"/>
      <c r="AH604" s="239"/>
      <c r="AI604" s="239"/>
      <c r="AJ604" s="239"/>
      <c r="AK604" s="239"/>
      <c r="AL604" s="239"/>
      <c r="AM604" s="245"/>
      <c r="AN604" s="239"/>
      <c r="AO604" s="239"/>
      <c r="AP604" s="239"/>
      <c r="AQ604" s="306"/>
      <c r="AR604" s="239"/>
      <c r="AS604" s="239"/>
      <c r="AT604" s="239"/>
      <c r="AU604" s="239"/>
    </row>
    <row r="605" spans="1:47" x14ac:dyDescent="0.35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306"/>
      <c r="W605" s="239"/>
      <c r="X605" s="239"/>
      <c r="Y605" s="239"/>
      <c r="Z605" s="239"/>
      <c r="AA605" s="239"/>
      <c r="AB605" s="239"/>
      <c r="AC605" s="239"/>
      <c r="AD605" s="245"/>
      <c r="AE605" s="239"/>
      <c r="AF605" s="239"/>
      <c r="AG605" s="239"/>
      <c r="AH605" s="239"/>
      <c r="AI605" s="239"/>
      <c r="AJ605" s="239"/>
      <c r="AK605" s="239"/>
      <c r="AL605" s="239"/>
      <c r="AM605" s="245"/>
      <c r="AN605" s="239"/>
      <c r="AO605" s="239"/>
      <c r="AP605" s="239"/>
      <c r="AQ605" s="306"/>
      <c r="AR605" s="239"/>
      <c r="AS605" s="239"/>
      <c r="AT605" s="239"/>
      <c r="AU605" s="239"/>
    </row>
    <row r="606" spans="1:47" x14ac:dyDescent="0.35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306"/>
      <c r="W606" s="239"/>
      <c r="X606" s="239"/>
      <c r="Y606" s="239"/>
      <c r="Z606" s="239"/>
      <c r="AA606" s="239"/>
      <c r="AB606" s="239"/>
      <c r="AC606" s="239"/>
      <c r="AD606" s="245"/>
      <c r="AE606" s="239"/>
      <c r="AF606" s="239"/>
      <c r="AG606" s="239"/>
      <c r="AH606" s="239"/>
      <c r="AI606" s="239"/>
      <c r="AJ606" s="239"/>
      <c r="AK606" s="239"/>
      <c r="AL606" s="239"/>
      <c r="AM606" s="245"/>
      <c r="AN606" s="239"/>
      <c r="AO606" s="239"/>
      <c r="AP606" s="239"/>
      <c r="AQ606" s="306"/>
      <c r="AR606" s="239"/>
      <c r="AS606" s="239"/>
      <c r="AT606" s="239"/>
      <c r="AU606" s="239"/>
    </row>
    <row r="607" spans="1:47" x14ac:dyDescent="0.35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306"/>
      <c r="W607" s="239"/>
      <c r="X607" s="239"/>
      <c r="Y607" s="239"/>
      <c r="Z607" s="239"/>
      <c r="AA607" s="239"/>
      <c r="AB607" s="239"/>
      <c r="AC607" s="239"/>
      <c r="AD607" s="245"/>
      <c r="AE607" s="239"/>
      <c r="AF607" s="239"/>
      <c r="AG607" s="239"/>
      <c r="AH607" s="239"/>
      <c r="AI607" s="239"/>
      <c r="AJ607" s="239"/>
      <c r="AK607" s="239"/>
      <c r="AL607" s="239"/>
      <c r="AM607" s="245"/>
      <c r="AN607" s="239"/>
      <c r="AO607" s="239"/>
      <c r="AP607" s="239"/>
      <c r="AQ607" s="306"/>
      <c r="AR607" s="239"/>
      <c r="AS607" s="239"/>
      <c r="AT607" s="239"/>
      <c r="AU607" s="239"/>
    </row>
    <row r="608" spans="1:47" x14ac:dyDescent="0.35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306"/>
      <c r="W608" s="239"/>
      <c r="X608" s="239"/>
      <c r="Y608" s="239"/>
      <c r="Z608" s="239"/>
      <c r="AA608" s="239"/>
      <c r="AB608" s="239"/>
      <c r="AC608" s="239"/>
      <c r="AD608" s="245"/>
      <c r="AE608" s="239"/>
      <c r="AF608" s="239"/>
      <c r="AG608" s="239"/>
      <c r="AH608" s="239"/>
      <c r="AI608" s="239"/>
      <c r="AJ608" s="239"/>
      <c r="AK608" s="239"/>
      <c r="AL608" s="239"/>
      <c r="AM608" s="245"/>
      <c r="AN608" s="239"/>
      <c r="AO608" s="239"/>
      <c r="AP608" s="239"/>
      <c r="AQ608" s="306"/>
      <c r="AR608" s="239"/>
      <c r="AS608" s="239"/>
      <c r="AT608" s="239"/>
      <c r="AU608" s="239"/>
    </row>
    <row r="609" spans="1:47" x14ac:dyDescent="0.35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306"/>
      <c r="W609" s="239"/>
      <c r="X609" s="239"/>
      <c r="Y609" s="239"/>
      <c r="Z609" s="239"/>
      <c r="AA609" s="239"/>
      <c r="AB609" s="239"/>
      <c r="AC609" s="239"/>
      <c r="AD609" s="245"/>
      <c r="AE609" s="239"/>
      <c r="AF609" s="239"/>
      <c r="AG609" s="239"/>
      <c r="AH609" s="239"/>
      <c r="AI609" s="239"/>
      <c r="AJ609" s="239"/>
      <c r="AK609" s="239"/>
      <c r="AL609" s="239"/>
      <c r="AM609" s="245"/>
      <c r="AN609" s="239"/>
      <c r="AO609" s="239"/>
      <c r="AP609" s="239"/>
      <c r="AQ609" s="306"/>
      <c r="AR609" s="239"/>
      <c r="AS609" s="239"/>
      <c r="AT609" s="239"/>
      <c r="AU609" s="239"/>
    </row>
    <row r="610" spans="1:47" x14ac:dyDescent="0.35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306"/>
      <c r="W610" s="239"/>
      <c r="X610" s="239"/>
      <c r="Y610" s="239"/>
      <c r="Z610" s="239"/>
      <c r="AA610" s="239"/>
      <c r="AB610" s="239"/>
      <c r="AC610" s="239"/>
      <c r="AD610" s="245"/>
      <c r="AE610" s="239"/>
      <c r="AF610" s="239"/>
      <c r="AG610" s="239"/>
      <c r="AH610" s="239"/>
      <c r="AI610" s="239"/>
      <c r="AJ610" s="239"/>
      <c r="AK610" s="239"/>
      <c r="AL610" s="239"/>
      <c r="AM610" s="245"/>
      <c r="AN610" s="239"/>
      <c r="AO610" s="239"/>
      <c r="AP610" s="239"/>
      <c r="AQ610" s="306"/>
      <c r="AR610" s="239"/>
      <c r="AS610" s="239"/>
      <c r="AT610" s="239"/>
      <c r="AU610" s="239"/>
    </row>
    <row r="611" spans="1:47" x14ac:dyDescent="0.35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306"/>
      <c r="W611" s="239"/>
      <c r="X611" s="239"/>
      <c r="Y611" s="239"/>
      <c r="Z611" s="239"/>
      <c r="AA611" s="239"/>
      <c r="AB611" s="239"/>
      <c r="AC611" s="239"/>
      <c r="AD611" s="245"/>
      <c r="AE611" s="239"/>
      <c r="AF611" s="239"/>
      <c r="AG611" s="239"/>
      <c r="AH611" s="239"/>
      <c r="AI611" s="239"/>
      <c r="AJ611" s="239"/>
      <c r="AK611" s="239"/>
      <c r="AL611" s="239"/>
      <c r="AM611" s="245"/>
      <c r="AN611" s="239"/>
      <c r="AO611" s="239"/>
      <c r="AP611" s="239"/>
      <c r="AQ611" s="306"/>
      <c r="AR611" s="239"/>
      <c r="AS611" s="239"/>
      <c r="AT611" s="239"/>
      <c r="AU611" s="239"/>
    </row>
    <row r="612" spans="1:47" x14ac:dyDescent="0.35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306"/>
      <c r="W612" s="239"/>
      <c r="X612" s="239"/>
      <c r="Y612" s="239"/>
      <c r="Z612" s="239"/>
      <c r="AA612" s="239"/>
      <c r="AB612" s="239"/>
      <c r="AC612" s="239"/>
      <c r="AD612" s="245"/>
      <c r="AE612" s="239"/>
      <c r="AF612" s="239"/>
      <c r="AG612" s="239"/>
      <c r="AH612" s="239"/>
      <c r="AI612" s="239"/>
      <c r="AJ612" s="239"/>
      <c r="AK612" s="239"/>
      <c r="AL612" s="239"/>
      <c r="AM612" s="245"/>
      <c r="AN612" s="239"/>
      <c r="AO612" s="239"/>
      <c r="AP612" s="239"/>
      <c r="AQ612" s="306"/>
      <c r="AR612" s="239"/>
      <c r="AS612" s="239"/>
      <c r="AT612" s="239"/>
      <c r="AU612" s="239"/>
    </row>
    <row r="613" spans="1:47" x14ac:dyDescent="0.35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306"/>
      <c r="W613" s="239"/>
      <c r="X613" s="239"/>
      <c r="Y613" s="239"/>
      <c r="Z613" s="239"/>
      <c r="AA613" s="239"/>
      <c r="AB613" s="239"/>
      <c r="AC613" s="239"/>
      <c r="AD613" s="245"/>
      <c r="AE613" s="239"/>
      <c r="AF613" s="239"/>
      <c r="AG613" s="239"/>
      <c r="AH613" s="239"/>
      <c r="AI613" s="239"/>
      <c r="AJ613" s="239"/>
      <c r="AK613" s="239"/>
      <c r="AL613" s="239"/>
      <c r="AM613" s="245"/>
      <c r="AN613" s="239"/>
      <c r="AO613" s="239"/>
      <c r="AP613" s="239"/>
      <c r="AQ613" s="306"/>
      <c r="AR613" s="239"/>
      <c r="AS613" s="239"/>
      <c r="AT613" s="239"/>
      <c r="AU613" s="239"/>
    </row>
    <row r="614" spans="1:47" x14ac:dyDescent="0.35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306"/>
      <c r="W614" s="239"/>
      <c r="X614" s="239"/>
      <c r="Y614" s="239"/>
      <c r="Z614" s="239"/>
      <c r="AA614" s="239"/>
      <c r="AB614" s="239"/>
      <c r="AC614" s="239"/>
      <c r="AD614" s="245"/>
      <c r="AE614" s="239"/>
      <c r="AF614" s="239"/>
      <c r="AG614" s="239"/>
      <c r="AH614" s="239"/>
      <c r="AI614" s="239"/>
      <c r="AJ614" s="239"/>
      <c r="AK614" s="239"/>
      <c r="AL614" s="239"/>
      <c r="AM614" s="245"/>
      <c r="AN614" s="239"/>
      <c r="AO614" s="239"/>
      <c r="AP614" s="239"/>
      <c r="AQ614" s="306"/>
      <c r="AR614" s="239"/>
      <c r="AS614" s="239"/>
      <c r="AT614" s="239"/>
      <c r="AU614" s="239"/>
    </row>
    <row r="615" spans="1:47" x14ac:dyDescent="0.35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306"/>
      <c r="W615" s="239"/>
      <c r="X615" s="239"/>
      <c r="Y615" s="239"/>
      <c r="Z615" s="239"/>
      <c r="AA615" s="239"/>
      <c r="AB615" s="239"/>
      <c r="AC615" s="239"/>
      <c r="AD615" s="245"/>
      <c r="AE615" s="239"/>
      <c r="AF615" s="239"/>
      <c r="AG615" s="239"/>
      <c r="AH615" s="239"/>
      <c r="AI615" s="239"/>
      <c r="AJ615" s="239"/>
      <c r="AK615" s="239"/>
      <c r="AL615" s="239"/>
      <c r="AM615" s="245"/>
      <c r="AN615" s="239"/>
      <c r="AO615" s="239"/>
      <c r="AP615" s="239"/>
      <c r="AQ615" s="306"/>
      <c r="AR615" s="239"/>
      <c r="AS615" s="239"/>
      <c r="AT615" s="239"/>
      <c r="AU615" s="239"/>
    </row>
    <row r="616" spans="1:47" x14ac:dyDescent="0.35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306"/>
      <c r="W616" s="239"/>
      <c r="X616" s="239"/>
      <c r="Y616" s="239"/>
      <c r="Z616" s="239"/>
      <c r="AA616" s="239"/>
      <c r="AB616" s="239"/>
      <c r="AC616" s="239"/>
      <c r="AD616" s="245"/>
      <c r="AE616" s="239"/>
      <c r="AF616" s="239"/>
      <c r="AG616" s="239"/>
      <c r="AH616" s="239"/>
      <c r="AI616" s="239"/>
      <c r="AJ616" s="239"/>
      <c r="AK616" s="239"/>
      <c r="AL616" s="239"/>
      <c r="AM616" s="245"/>
      <c r="AN616" s="239"/>
      <c r="AO616" s="239"/>
      <c r="AP616" s="239"/>
      <c r="AQ616" s="306"/>
      <c r="AR616" s="239"/>
      <c r="AS616" s="239"/>
      <c r="AT616" s="239"/>
      <c r="AU616" s="239"/>
    </row>
    <row r="617" spans="1:47" x14ac:dyDescent="0.35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306"/>
      <c r="W617" s="239"/>
      <c r="X617" s="239"/>
      <c r="Y617" s="239"/>
      <c r="Z617" s="239"/>
      <c r="AA617" s="239"/>
      <c r="AB617" s="239"/>
      <c r="AC617" s="239"/>
      <c r="AD617" s="245"/>
      <c r="AE617" s="239"/>
      <c r="AF617" s="239"/>
      <c r="AG617" s="239"/>
      <c r="AH617" s="239"/>
      <c r="AI617" s="239"/>
      <c r="AJ617" s="239"/>
      <c r="AK617" s="239"/>
      <c r="AL617" s="239"/>
      <c r="AM617" s="245"/>
      <c r="AN617" s="239"/>
      <c r="AO617" s="239"/>
      <c r="AP617" s="239"/>
      <c r="AQ617" s="306"/>
      <c r="AR617" s="239"/>
      <c r="AS617" s="239"/>
      <c r="AT617" s="239"/>
      <c r="AU617" s="239"/>
    </row>
    <row r="618" spans="1:47" x14ac:dyDescent="0.35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306"/>
      <c r="W618" s="239"/>
      <c r="X618" s="239"/>
      <c r="Y618" s="239"/>
      <c r="Z618" s="239"/>
      <c r="AA618" s="239"/>
      <c r="AB618" s="239"/>
      <c r="AC618" s="239"/>
      <c r="AD618" s="245"/>
      <c r="AE618" s="239"/>
      <c r="AF618" s="239"/>
      <c r="AG618" s="239"/>
      <c r="AH618" s="239"/>
      <c r="AI618" s="239"/>
      <c r="AJ618" s="239"/>
      <c r="AK618" s="239"/>
      <c r="AL618" s="239"/>
      <c r="AM618" s="245"/>
      <c r="AN618" s="239"/>
      <c r="AO618" s="239"/>
      <c r="AP618" s="239"/>
      <c r="AQ618" s="306"/>
      <c r="AR618" s="239"/>
      <c r="AS618" s="239"/>
      <c r="AT618" s="239"/>
      <c r="AU618" s="239"/>
    </row>
    <row r="619" spans="1:47" x14ac:dyDescent="0.35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306"/>
      <c r="W619" s="239"/>
      <c r="X619" s="239"/>
      <c r="Y619" s="239"/>
      <c r="Z619" s="239"/>
      <c r="AA619" s="239"/>
      <c r="AB619" s="239"/>
      <c r="AC619" s="239"/>
      <c r="AD619" s="245"/>
      <c r="AE619" s="239"/>
      <c r="AF619" s="239"/>
      <c r="AG619" s="239"/>
      <c r="AH619" s="239"/>
      <c r="AI619" s="239"/>
      <c r="AJ619" s="239"/>
      <c r="AK619" s="239"/>
      <c r="AL619" s="239"/>
      <c r="AM619" s="245"/>
      <c r="AN619" s="239"/>
      <c r="AO619" s="239"/>
      <c r="AP619" s="239"/>
      <c r="AQ619" s="306"/>
      <c r="AR619" s="239"/>
      <c r="AS619" s="239"/>
      <c r="AT619" s="239"/>
      <c r="AU619" s="239"/>
    </row>
    <row r="620" spans="1:47" x14ac:dyDescent="0.35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306"/>
      <c r="W620" s="239"/>
      <c r="X620" s="239"/>
      <c r="Y620" s="239"/>
      <c r="Z620" s="239"/>
      <c r="AA620" s="239"/>
      <c r="AB620" s="239"/>
      <c r="AC620" s="239"/>
      <c r="AD620" s="245"/>
      <c r="AE620" s="239"/>
      <c r="AF620" s="239"/>
      <c r="AG620" s="239"/>
      <c r="AH620" s="239"/>
      <c r="AI620" s="239"/>
      <c r="AJ620" s="239"/>
      <c r="AK620" s="239"/>
      <c r="AL620" s="239"/>
      <c r="AM620" s="245"/>
      <c r="AN620" s="239"/>
      <c r="AO620" s="239"/>
      <c r="AP620" s="239"/>
      <c r="AQ620" s="306"/>
      <c r="AR620" s="239"/>
      <c r="AS620" s="239"/>
      <c r="AT620" s="239"/>
      <c r="AU620" s="239"/>
    </row>
    <row r="621" spans="1:47" x14ac:dyDescent="0.35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306"/>
      <c r="W621" s="239"/>
      <c r="X621" s="239"/>
      <c r="Y621" s="239"/>
      <c r="Z621" s="239"/>
      <c r="AA621" s="239"/>
      <c r="AB621" s="239"/>
      <c r="AC621" s="239"/>
      <c r="AD621" s="245"/>
      <c r="AE621" s="239"/>
      <c r="AF621" s="239"/>
      <c r="AG621" s="239"/>
      <c r="AH621" s="239"/>
      <c r="AI621" s="239"/>
      <c r="AJ621" s="239"/>
      <c r="AK621" s="239"/>
      <c r="AL621" s="239"/>
      <c r="AM621" s="245"/>
      <c r="AN621" s="239"/>
      <c r="AO621" s="239"/>
      <c r="AP621" s="239"/>
      <c r="AQ621" s="306"/>
      <c r="AR621" s="239"/>
      <c r="AS621" s="239"/>
      <c r="AT621" s="239"/>
      <c r="AU621" s="239"/>
    </row>
    <row r="622" spans="1:47" x14ac:dyDescent="0.35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306"/>
      <c r="W622" s="239"/>
      <c r="X622" s="239"/>
      <c r="Y622" s="239"/>
      <c r="Z622" s="239"/>
      <c r="AA622" s="239"/>
      <c r="AB622" s="239"/>
      <c r="AC622" s="239"/>
      <c r="AD622" s="245"/>
      <c r="AE622" s="239"/>
      <c r="AF622" s="239"/>
      <c r="AG622" s="239"/>
      <c r="AH622" s="239"/>
      <c r="AI622" s="239"/>
      <c r="AJ622" s="239"/>
      <c r="AK622" s="239"/>
      <c r="AL622" s="239"/>
      <c r="AM622" s="245"/>
      <c r="AN622" s="239"/>
      <c r="AO622" s="239"/>
      <c r="AP622" s="239"/>
      <c r="AQ622" s="306"/>
      <c r="AR622" s="239"/>
      <c r="AS622" s="239"/>
      <c r="AT622" s="239"/>
      <c r="AU622" s="239"/>
    </row>
    <row r="623" spans="1:47" x14ac:dyDescent="0.35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306"/>
      <c r="W623" s="239"/>
      <c r="X623" s="239"/>
      <c r="Y623" s="239"/>
      <c r="Z623" s="239"/>
      <c r="AA623" s="239"/>
      <c r="AB623" s="239"/>
      <c r="AC623" s="239"/>
      <c r="AD623" s="245"/>
      <c r="AE623" s="239"/>
      <c r="AF623" s="239"/>
      <c r="AG623" s="239"/>
      <c r="AH623" s="239"/>
      <c r="AI623" s="239"/>
      <c r="AJ623" s="239"/>
      <c r="AK623" s="239"/>
      <c r="AL623" s="239"/>
      <c r="AM623" s="245"/>
      <c r="AN623" s="239"/>
      <c r="AO623" s="239"/>
      <c r="AP623" s="239"/>
      <c r="AQ623" s="306"/>
      <c r="AR623" s="239"/>
      <c r="AS623" s="239"/>
      <c r="AT623" s="239"/>
      <c r="AU623" s="239"/>
    </row>
    <row r="624" spans="1:47" x14ac:dyDescent="0.35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306"/>
      <c r="W624" s="239"/>
      <c r="X624" s="239"/>
      <c r="Y624" s="239"/>
      <c r="Z624" s="239"/>
      <c r="AA624" s="239"/>
      <c r="AB624" s="239"/>
      <c r="AC624" s="239"/>
      <c r="AD624" s="245"/>
      <c r="AE624" s="239"/>
      <c r="AF624" s="239"/>
      <c r="AG624" s="239"/>
      <c r="AH624" s="239"/>
      <c r="AI624" s="239"/>
      <c r="AJ624" s="239"/>
      <c r="AK624" s="239"/>
      <c r="AL624" s="239"/>
      <c r="AM624" s="245"/>
      <c r="AN624" s="239"/>
      <c r="AO624" s="239"/>
      <c r="AP624" s="239"/>
      <c r="AQ624" s="306"/>
      <c r="AR624" s="239"/>
      <c r="AS624" s="239"/>
      <c r="AT624" s="239"/>
      <c r="AU624" s="239"/>
    </row>
    <row r="625" spans="1:47" x14ac:dyDescent="0.35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306"/>
      <c r="W625" s="239"/>
      <c r="X625" s="239"/>
      <c r="Y625" s="239"/>
      <c r="Z625" s="239"/>
      <c r="AA625" s="239"/>
      <c r="AB625" s="239"/>
      <c r="AC625" s="239"/>
      <c r="AD625" s="245"/>
      <c r="AE625" s="239"/>
      <c r="AF625" s="239"/>
      <c r="AG625" s="239"/>
      <c r="AH625" s="239"/>
      <c r="AI625" s="239"/>
      <c r="AJ625" s="239"/>
      <c r="AK625" s="239"/>
      <c r="AL625" s="239"/>
      <c r="AM625" s="245"/>
      <c r="AN625" s="239"/>
      <c r="AO625" s="239"/>
      <c r="AP625" s="239"/>
      <c r="AQ625" s="306"/>
      <c r="AR625" s="239"/>
      <c r="AS625" s="239"/>
      <c r="AT625" s="239"/>
      <c r="AU625" s="239"/>
    </row>
    <row r="626" spans="1:47" x14ac:dyDescent="0.35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306"/>
      <c r="W626" s="239"/>
      <c r="X626" s="239"/>
      <c r="Y626" s="239"/>
      <c r="Z626" s="239"/>
      <c r="AA626" s="239"/>
      <c r="AB626" s="239"/>
      <c r="AC626" s="239"/>
      <c r="AD626" s="245"/>
      <c r="AE626" s="239"/>
      <c r="AF626" s="239"/>
      <c r="AG626" s="239"/>
      <c r="AH626" s="239"/>
      <c r="AI626" s="239"/>
      <c r="AJ626" s="239"/>
      <c r="AK626" s="239"/>
      <c r="AL626" s="239"/>
      <c r="AM626" s="245"/>
      <c r="AN626" s="239"/>
      <c r="AO626" s="239"/>
      <c r="AP626" s="239"/>
      <c r="AQ626" s="306"/>
      <c r="AR626" s="239"/>
      <c r="AS626" s="239"/>
      <c r="AT626" s="239"/>
      <c r="AU626" s="239"/>
    </row>
    <row r="627" spans="1:47" x14ac:dyDescent="0.35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306"/>
      <c r="W627" s="239"/>
      <c r="X627" s="239"/>
      <c r="Y627" s="239"/>
      <c r="Z627" s="239"/>
      <c r="AA627" s="239"/>
      <c r="AB627" s="239"/>
      <c r="AC627" s="239"/>
      <c r="AD627" s="245"/>
      <c r="AE627" s="239"/>
      <c r="AF627" s="239"/>
      <c r="AG627" s="239"/>
      <c r="AH627" s="239"/>
      <c r="AI627" s="239"/>
      <c r="AJ627" s="239"/>
      <c r="AK627" s="239"/>
      <c r="AL627" s="239"/>
      <c r="AM627" s="245"/>
      <c r="AN627" s="239"/>
      <c r="AO627" s="239"/>
      <c r="AP627" s="239"/>
      <c r="AQ627" s="306"/>
      <c r="AR627" s="239"/>
      <c r="AS627" s="239"/>
      <c r="AT627" s="239"/>
      <c r="AU627" s="239"/>
    </row>
    <row r="628" spans="1:47" x14ac:dyDescent="0.35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306"/>
      <c r="W628" s="239"/>
      <c r="X628" s="239"/>
      <c r="Y628" s="239"/>
      <c r="Z628" s="239"/>
      <c r="AA628" s="239"/>
      <c r="AB628" s="239"/>
      <c r="AC628" s="239"/>
      <c r="AD628" s="245"/>
      <c r="AE628" s="239"/>
      <c r="AF628" s="239"/>
      <c r="AG628" s="239"/>
      <c r="AH628" s="239"/>
      <c r="AI628" s="239"/>
      <c r="AJ628" s="239"/>
      <c r="AK628" s="239"/>
      <c r="AL628" s="239"/>
      <c r="AM628" s="245"/>
      <c r="AN628" s="239"/>
      <c r="AO628" s="239"/>
      <c r="AP628" s="239"/>
      <c r="AQ628" s="306"/>
      <c r="AR628" s="239"/>
      <c r="AS628" s="239"/>
      <c r="AT628" s="239"/>
      <c r="AU628" s="239"/>
    </row>
    <row r="629" spans="1:47" x14ac:dyDescent="0.35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306"/>
      <c r="W629" s="239"/>
      <c r="X629" s="239"/>
      <c r="Y629" s="239"/>
      <c r="Z629" s="239"/>
      <c r="AA629" s="239"/>
      <c r="AB629" s="239"/>
      <c r="AC629" s="239"/>
      <c r="AD629" s="245"/>
      <c r="AE629" s="239"/>
      <c r="AF629" s="239"/>
      <c r="AG629" s="239"/>
      <c r="AH629" s="239"/>
      <c r="AI629" s="239"/>
      <c r="AJ629" s="239"/>
      <c r="AK629" s="239"/>
      <c r="AL629" s="239"/>
      <c r="AM629" s="245"/>
      <c r="AN629" s="239"/>
      <c r="AO629" s="239"/>
      <c r="AP629" s="239"/>
      <c r="AQ629" s="306"/>
      <c r="AR629" s="239"/>
      <c r="AS629" s="239"/>
      <c r="AT629" s="239"/>
      <c r="AU629" s="239"/>
    </row>
    <row r="630" spans="1:47" x14ac:dyDescent="0.35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306"/>
      <c r="W630" s="239"/>
      <c r="X630" s="239"/>
      <c r="Y630" s="239"/>
      <c r="Z630" s="239"/>
      <c r="AA630" s="239"/>
      <c r="AB630" s="239"/>
      <c r="AC630" s="239"/>
      <c r="AD630" s="245"/>
      <c r="AE630" s="239"/>
      <c r="AF630" s="239"/>
      <c r="AG630" s="239"/>
      <c r="AH630" s="239"/>
      <c r="AI630" s="239"/>
      <c r="AJ630" s="239"/>
      <c r="AK630" s="239"/>
      <c r="AL630" s="239"/>
      <c r="AM630" s="245"/>
      <c r="AN630" s="239"/>
      <c r="AO630" s="239"/>
      <c r="AP630" s="239"/>
      <c r="AQ630" s="306"/>
      <c r="AR630" s="239"/>
      <c r="AS630" s="239"/>
      <c r="AT630" s="239"/>
      <c r="AU630" s="239"/>
    </row>
    <row r="631" spans="1:47" x14ac:dyDescent="0.35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306"/>
      <c r="W631" s="239"/>
      <c r="X631" s="239"/>
      <c r="Y631" s="239"/>
      <c r="Z631" s="239"/>
      <c r="AA631" s="239"/>
      <c r="AB631" s="239"/>
      <c r="AC631" s="239"/>
      <c r="AD631" s="245"/>
      <c r="AE631" s="239"/>
      <c r="AF631" s="239"/>
      <c r="AG631" s="239"/>
      <c r="AH631" s="239"/>
      <c r="AI631" s="239"/>
      <c r="AJ631" s="239"/>
      <c r="AK631" s="239"/>
      <c r="AL631" s="239"/>
      <c r="AM631" s="245"/>
      <c r="AN631" s="239"/>
      <c r="AO631" s="239"/>
      <c r="AP631" s="239"/>
      <c r="AQ631" s="306"/>
      <c r="AR631" s="239"/>
      <c r="AS631" s="239"/>
      <c r="AT631" s="239"/>
      <c r="AU631" s="239"/>
    </row>
    <row r="632" spans="1:47" x14ac:dyDescent="0.35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306"/>
      <c r="W632" s="239"/>
      <c r="X632" s="239"/>
      <c r="Y632" s="239"/>
      <c r="Z632" s="239"/>
      <c r="AA632" s="239"/>
      <c r="AB632" s="239"/>
      <c r="AC632" s="239"/>
      <c r="AD632" s="245"/>
      <c r="AE632" s="239"/>
      <c r="AF632" s="239"/>
      <c r="AG632" s="239"/>
      <c r="AH632" s="239"/>
      <c r="AI632" s="239"/>
      <c r="AJ632" s="239"/>
      <c r="AK632" s="239"/>
      <c r="AL632" s="239"/>
      <c r="AM632" s="245"/>
      <c r="AN632" s="239"/>
      <c r="AO632" s="239"/>
      <c r="AP632" s="239"/>
      <c r="AQ632" s="306"/>
      <c r="AR632" s="239"/>
      <c r="AS632" s="239"/>
      <c r="AT632" s="239"/>
      <c r="AU632" s="239"/>
    </row>
    <row r="633" spans="1:47" x14ac:dyDescent="0.35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306"/>
      <c r="W633" s="239"/>
      <c r="X633" s="239"/>
      <c r="Y633" s="239"/>
      <c r="Z633" s="239"/>
      <c r="AA633" s="239"/>
      <c r="AB633" s="239"/>
      <c r="AC633" s="239"/>
      <c r="AD633" s="245"/>
      <c r="AE633" s="239"/>
      <c r="AF633" s="239"/>
      <c r="AG633" s="239"/>
      <c r="AH633" s="239"/>
      <c r="AI633" s="239"/>
      <c r="AJ633" s="239"/>
      <c r="AK633" s="239"/>
      <c r="AL633" s="239"/>
      <c r="AM633" s="245"/>
      <c r="AN633" s="239"/>
      <c r="AO633" s="239"/>
      <c r="AP633" s="239"/>
      <c r="AQ633" s="306"/>
      <c r="AR633" s="239"/>
      <c r="AS633" s="239"/>
      <c r="AT633" s="239"/>
      <c r="AU633" s="239"/>
    </row>
    <row r="634" spans="1:47" x14ac:dyDescent="0.35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306"/>
      <c r="W634" s="239"/>
      <c r="X634" s="239"/>
      <c r="Y634" s="239"/>
      <c r="Z634" s="239"/>
      <c r="AA634" s="239"/>
      <c r="AB634" s="239"/>
      <c r="AC634" s="239"/>
      <c r="AD634" s="245"/>
      <c r="AE634" s="239"/>
      <c r="AF634" s="239"/>
      <c r="AG634" s="239"/>
      <c r="AH634" s="239"/>
      <c r="AI634" s="239"/>
      <c r="AJ634" s="239"/>
      <c r="AK634" s="239"/>
      <c r="AL634" s="239"/>
      <c r="AM634" s="245"/>
      <c r="AN634" s="239"/>
      <c r="AO634" s="239"/>
      <c r="AP634" s="239"/>
      <c r="AQ634" s="306"/>
      <c r="AR634" s="239"/>
      <c r="AS634" s="239"/>
      <c r="AT634" s="239"/>
      <c r="AU634" s="239"/>
    </row>
    <row r="635" spans="1:47" x14ac:dyDescent="0.35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306"/>
      <c r="W635" s="239"/>
      <c r="X635" s="239"/>
      <c r="Y635" s="239"/>
      <c r="Z635" s="239"/>
      <c r="AA635" s="239"/>
      <c r="AB635" s="239"/>
      <c r="AC635" s="239"/>
      <c r="AD635" s="245"/>
      <c r="AE635" s="239"/>
      <c r="AF635" s="239"/>
      <c r="AG635" s="239"/>
      <c r="AH635" s="239"/>
      <c r="AI635" s="239"/>
      <c r="AJ635" s="239"/>
      <c r="AK635" s="239"/>
      <c r="AL635" s="239"/>
      <c r="AM635" s="245"/>
      <c r="AN635" s="239"/>
      <c r="AO635" s="239"/>
      <c r="AP635" s="239"/>
      <c r="AQ635" s="306"/>
      <c r="AR635" s="239"/>
      <c r="AS635" s="239"/>
      <c r="AT635" s="239"/>
      <c r="AU635" s="239"/>
    </row>
    <row r="636" spans="1:47" x14ac:dyDescent="0.35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306"/>
      <c r="W636" s="239"/>
      <c r="X636" s="239"/>
      <c r="Y636" s="239"/>
      <c r="Z636" s="239"/>
      <c r="AA636" s="239"/>
      <c r="AB636" s="239"/>
      <c r="AC636" s="239"/>
      <c r="AD636" s="245"/>
      <c r="AE636" s="239"/>
      <c r="AF636" s="239"/>
      <c r="AG636" s="239"/>
      <c r="AH636" s="239"/>
      <c r="AI636" s="239"/>
      <c r="AJ636" s="239"/>
      <c r="AK636" s="239"/>
      <c r="AL636" s="239"/>
      <c r="AM636" s="245"/>
      <c r="AN636" s="239"/>
      <c r="AO636" s="239"/>
      <c r="AP636" s="239"/>
      <c r="AQ636" s="306"/>
      <c r="AR636" s="239"/>
      <c r="AS636" s="239"/>
      <c r="AT636" s="239"/>
      <c r="AU636" s="239"/>
    </row>
    <row r="637" spans="1:47" x14ac:dyDescent="0.35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306"/>
      <c r="W637" s="239"/>
      <c r="X637" s="239"/>
      <c r="Y637" s="239"/>
      <c r="Z637" s="239"/>
      <c r="AA637" s="239"/>
      <c r="AB637" s="239"/>
      <c r="AC637" s="239"/>
      <c r="AD637" s="245"/>
      <c r="AE637" s="239"/>
      <c r="AF637" s="239"/>
      <c r="AG637" s="239"/>
      <c r="AH637" s="239"/>
      <c r="AI637" s="239"/>
      <c r="AJ637" s="239"/>
      <c r="AK637" s="239"/>
      <c r="AL637" s="239"/>
      <c r="AM637" s="245"/>
      <c r="AN637" s="239"/>
      <c r="AO637" s="239"/>
      <c r="AP637" s="239"/>
      <c r="AQ637" s="306"/>
      <c r="AR637" s="239"/>
      <c r="AS637" s="239"/>
      <c r="AT637" s="239"/>
      <c r="AU637" s="239"/>
    </row>
    <row r="638" spans="1:47" x14ac:dyDescent="0.35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306"/>
      <c r="W638" s="239"/>
      <c r="X638" s="239"/>
      <c r="Y638" s="239"/>
      <c r="Z638" s="239"/>
      <c r="AA638" s="239"/>
      <c r="AB638" s="239"/>
      <c r="AC638" s="239"/>
      <c r="AD638" s="245"/>
      <c r="AE638" s="239"/>
      <c r="AF638" s="239"/>
      <c r="AG638" s="239"/>
      <c r="AH638" s="239"/>
      <c r="AI638" s="239"/>
      <c r="AJ638" s="239"/>
      <c r="AK638" s="239"/>
      <c r="AL638" s="239"/>
      <c r="AM638" s="245"/>
      <c r="AN638" s="239"/>
      <c r="AO638" s="239"/>
      <c r="AP638" s="239"/>
      <c r="AQ638" s="306"/>
      <c r="AR638" s="239"/>
      <c r="AS638" s="239"/>
      <c r="AT638" s="239"/>
      <c r="AU638" s="239"/>
    </row>
    <row r="639" spans="1:47" x14ac:dyDescent="0.35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306"/>
      <c r="W639" s="239"/>
      <c r="X639" s="239"/>
      <c r="Y639" s="239"/>
      <c r="Z639" s="239"/>
      <c r="AA639" s="239"/>
      <c r="AB639" s="239"/>
      <c r="AC639" s="239"/>
      <c r="AD639" s="245"/>
      <c r="AE639" s="239"/>
      <c r="AF639" s="239"/>
      <c r="AG639" s="239"/>
      <c r="AH639" s="239"/>
      <c r="AI639" s="239"/>
      <c r="AJ639" s="239"/>
      <c r="AK639" s="239"/>
      <c r="AL639" s="239"/>
      <c r="AM639" s="245"/>
      <c r="AN639" s="239"/>
      <c r="AO639" s="239"/>
      <c r="AP639" s="239"/>
      <c r="AQ639" s="306"/>
      <c r="AR639" s="239"/>
      <c r="AS639" s="239"/>
      <c r="AT639" s="239"/>
      <c r="AU639" s="239"/>
    </row>
    <row r="640" spans="1:47" x14ac:dyDescent="0.35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306"/>
      <c r="W640" s="239"/>
      <c r="X640" s="239"/>
      <c r="Y640" s="239"/>
      <c r="Z640" s="239"/>
      <c r="AA640" s="239"/>
      <c r="AB640" s="239"/>
      <c r="AC640" s="239"/>
      <c r="AD640" s="245"/>
      <c r="AE640" s="239"/>
      <c r="AF640" s="239"/>
      <c r="AG640" s="239"/>
      <c r="AH640" s="239"/>
      <c r="AI640" s="239"/>
      <c r="AJ640" s="239"/>
      <c r="AK640" s="239"/>
      <c r="AL640" s="239"/>
      <c r="AM640" s="245"/>
      <c r="AN640" s="239"/>
      <c r="AO640" s="239"/>
      <c r="AP640" s="239"/>
      <c r="AQ640" s="306"/>
      <c r="AR640" s="239"/>
      <c r="AS640" s="239"/>
      <c r="AT640" s="239"/>
      <c r="AU640" s="239"/>
    </row>
    <row r="641" spans="1:47" x14ac:dyDescent="0.35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306"/>
      <c r="W641" s="239"/>
      <c r="X641" s="239"/>
      <c r="Y641" s="239"/>
      <c r="Z641" s="239"/>
      <c r="AA641" s="239"/>
      <c r="AB641" s="239"/>
      <c r="AC641" s="239"/>
      <c r="AD641" s="245"/>
      <c r="AE641" s="239"/>
      <c r="AF641" s="239"/>
      <c r="AG641" s="239"/>
      <c r="AH641" s="239"/>
      <c r="AI641" s="239"/>
      <c r="AJ641" s="239"/>
      <c r="AK641" s="239"/>
      <c r="AL641" s="239"/>
      <c r="AM641" s="245"/>
      <c r="AN641" s="239"/>
      <c r="AO641" s="239"/>
      <c r="AP641" s="239"/>
      <c r="AQ641" s="306"/>
      <c r="AR641" s="239"/>
      <c r="AS641" s="239"/>
      <c r="AT641" s="239"/>
      <c r="AU641" s="239"/>
    </row>
    <row r="642" spans="1:47" x14ac:dyDescent="0.35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306"/>
      <c r="W642" s="239"/>
      <c r="X642" s="239"/>
      <c r="Y642" s="239"/>
      <c r="Z642" s="239"/>
      <c r="AA642" s="239"/>
      <c r="AB642" s="239"/>
      <c r="AC642" s="239"/>
      <c r="AD642" s="245"/>
      <c r="AE642" s="239"/>
      <c r="AF642" s="239"/>
      <c r="AG642" s="239"/>
      <c r="AH642" s="239"/>
      <c r="AI642" s="239"/>
      <c r="AJ642" s="239"/>
      <c r="AK642" s="239"/>
      <c r="AL642" s="239"/>
      <c r="AM642" s="245"/>
      <c r="AN642" s="239"/>
      <c r="AO642" s="239"/>
      <c r="AP642" s="239"/>
      <c r="AQ642" s="306"/>
      <c r="AR642" s="239"/>
      <c r="AS642" s="239"/>
      <c r="AT642" s="239"/>
      <c r="AU642" s="239"/>
    </row>
    <row r="643" spans="1:47" x14ac:dyDescent="0.35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306"/>
      <c r="W643" s="239"/>
      <c r="X643" s="239"/>
      <c r="Y643" s="239"/>
      <c r="Z643" s="239"/>
      <c r="AA643" s="239"/>
      <c r="AB643" s="239"/>
      <c r="AC643" s="239"/>
      <c r="AD643" s="245"/>
      <c r="AE643" s="239"/>
      <c r="AF643" s="239"/>
      <c r="AG643" s="239"/>
      <c r="AH643" s="239"/>
      <c r="AI643" s="239"/>
      <c r="AJ643" s="239"/>
      <c r="AK643" s="239"/>
      <c r="AL643" s="239"/>
      <c r="AM643" s="245"/>
      <c r="AN643" s="239"/>
      <c r="AO643" s="239"/>
      <c r="AP643" s="239"/>
      <c r="AQ643" s="306"/>
      <c r="AR643" s="239"/>
      <c r="AS643" s="239"/>
      <c r="AT643" s="239"/>
      <c r="AU643" s="239"/>
    </row>
    <row r="644" spans="1:47" x14ac:dyDescent="0.35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306"/>
      <c r="W644" s="239"/>
      <c r="X644" s="239"/>
      <c r="Y644" s="239"/>
      <c r="Z644" s="239"/>
      <c r="AA644" s="239"/>
      <c r="AB644" s="239"/>
      <c r="AC644" s="239"/>
      <c r="AD644" s="245"/>
      <c r="AE644" s="239"/>
      <c r="AF644" s="239"/>
      <c r="AG644" s="239"/>
      <c r="AH644" s="239"/>
      <c r="AI644" s="239"/>
      <c r="AJ644" s="239"/>
      <c r="AK644" s="239"/>
      <c r="AL644" s="239"/>
      <c r="AM644" s="245"/>
      <c r="AN644" s="239"/>
      <c r="AO644" s="239"/>
      <c r="AP644" s="239"/>
      <c r="AQ644" s="306"/>
      <c r="AR644" s="239"/>
      <c r="AS644" s="239"/>
      <c r="AT644" s="239"/>
      <c r="AU644" s="239"/>
    </row>
    <row r="645" spans="1:47" x14ac:dyDescent="0.35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306"/>
      <c r="W645" s="239"/>
      <c r="X645" s="239"/>
      <c r="Y645" s="239"/>
      <c r="Z645" s="239"/>
      <c r="AA645" s="239"/>
      <c r="AB645" s="239"/>
      <c r="AC645" s="239"/>
      <c r="AD645" s="245"/>
      <c r="AE645" s="239"/>
      <c r="AF645" s="239"/>
      <c r="AG645" s="239"/>
      <c r="AH645" s="239"/>
      <c r="AI645" s="239"/>
      <c r="AJ645" s="239"/>
      <c r="AK645" s="239"/>
      <c r="AL645" s="239"/>
      <c r="AM645" s="245"/>
      <c r="AN645" s="239"/>
      <c r="AO645" s="239"/>
      <c r="AP645" s="239"/>
      <c r="AQ645" s="306"/>
      <c r="AR645" s="239"/>
      <c r="AS645" s="239"/>
      <c r="AT645" s="239"/>
      <c r="AU645" s="239"/>
    </row>
    <row r="646" spans="1:47" x14ac:dyDescent="0.35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306"/>
      <c r="W646" s="239"/>
      <c r="X646" s="239"/>
      <c r="Y646" s="239"/>
      <c r="Z646" s="239"/>
      <c r="AA646" s="239"/>
      <c r="AB646" s="239"/>
      <c r="AC646" s="239"/>
      <c r="AD646" s="245"/>
      <c r="AE646" s="239"/>
      <c r="AF646" s="239"/>
      <c r="AG646" s="239"/>
      <c r="AH646" s="239"/>
      <c r="AI646" s="239"/>
      <c r="AJ646" s="239"/>
      <c r="AK646" s="239"/>
      <c r="AL646" s="239"/>
      <c r="AM646" s="245"/>
      <c r="AN646" s="239"/>
      <c r="AO646" s="239"/>
      <c r="AP646" s="239"/>
      <c r="AQ646" s="306"/>
      <c r="AR646" s="239"/>
      <c r="AS646" s="239"/>
      <c r="AT646" s="239"/>
      <c r="AU646" s="239"/>
    </row>
    <row r="647" spans="1:47" x14ac:dyDescent="0.35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306"/>
      <c r="W647" s="239"/>
      <c r="X647" s="239"/>
      <c r="Y647" s="239"/>
      <c r="Z647" s="239"/>
      <c r="AA647" s="239"/>
      <c r="AB647" s="239"/>
      <c r="AC647" s="239"/>
      <c r="AD647" s="245"/>
      <c r="AE647" s="239"/>
      <c r="AF647" s="239"/>
      <c r="AG647" s="239"/>
      <c r="AH647" s="239"/>
      <c r="AI647" s="239"/>
      <c r="AJ647" s="239"/>
      <c r="AK647" s="239"/>
      <c r="AL647" s="239"/>
      <c r="AM647" s="245"/>
      <c r="AN647" s="239"/>
      <c r="AO647" s="239"/>
      <c r="AP647" s="239"/>
      <c r="AQ647" s="306"/>
      <c r="AR647" s="239"/>
      <c r="AS647" s="239"/>
      <c r="AT647" s="239"/>
      <c r="AU647" s="239"/>
    </row>
    <row r="648" spans="1:47" x14ac:dyDescent="0.35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306"/>
      <c r="W648" s="239"/>
      <c r="X648" s="239"/>
      <c r="Y648" s="239"/>
      <c r="Z648" s="239"/>
      <c r="AA648" s="239"/>
      <c r="AB648" s="239"/>
      <c r="AC648" s="239"/>
      <c r="AD648" s="245"/>
      <c r="AE648" s="239"/>
      <c r="AF648" s="239"/>
      <c r="AG648" s="239"/>
      <c r="AH648" s="239"/>
      <c r="AI648" s="239"/>
      <c r="AJ648" s="239"/>
      <c r="AK648" s="239"/>
      <c r="AL648" s="239"/>
      <c r="AM648" s="245"/>
      <c r="AN648" s="239"/>
      <c r="AO648" s="239"/>
      <c r="AP648" s="239"/>
      <c r="AQ648" s="306"/>
      <c r="AR648" s="239"/>
      <c r="AS648" s="239"/>
      <c r="AT648" s="239"/>
      <c r="AU648" s="239"/>
    </row>
    <row r="649" spans="1:47" x14ac:dyDescent="0.35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306"/>
      <c r="W649" s="239"/>
      <c r="X649" s="239"/>
      <c r="Y649" s="239"/>
      <c r="Z649" s="239"/>
      <c r="AA649" s="239"/>
      <c r="AB649" s="239"/>
      <c r="AC649" s="239"/>
      <c r="AD649" s="245"/>
      <c r="AE649" s="239"/>
      <c r="AF649" s="239"/>
      <c r="AG649" s="239"/>
      <c r="AH649" s="239"/>
      <c r="AI649" s="239"/>
      <c r="AJ649" s="239"/>
      <c r="AK649" s="239"/>
      <c r="AL649" s="239"/>
      <c r="AM649" s="245"/>
      <c r="AN649" s="239"/>
      <c r="AO649" s="239"/>
      <c r="AP649" s="239"/>
      <c r="AQ649" s="306"/>
      <c r="AR649" s="239"/>
      <c r="AS649" s="239"/>
      <c r="AT649" s="239"/>
      <c r="AU649" s="239"/>
    </row>
    <row r="650" spans="1:47" x14ac:dyDescent="0.35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306"/>
      <c r="W650" s="239"/>
      <c r="X650" s="239"/>
      <c r="Y650" s="239"/>
      <c r="Z650" s="239"/>
      <c r="AA650" s="239"/>
      <c r="AB650" s="239"/>
      <c r="AC650" s="239"/>
      <c r="AD650" s="245"/>
      <c r="AE650" s="239"/>
      <c r="AF650" s="239"/>
      <c r="AG650" s="239"/>
      <c r="AH650" s="239"/>
      <c r="AI650" s="239"/>
      <c r="AJ650" s="239"/>
      <c r="AK650" s="239"/>
      <c r="AL650" s="239"/>
      <c r="AM650" s="245"/>
      <c r="AN650" s="239"/>
      <c r="AO650" s="239"/>
      <c r="AP650" s="239"/>
      <c r="AQ650" s="306"/>
      <c r="AR650" s="239"/>
      <c r="AS650" s="239"/>
      <c r="AT650" s="239"/>
      <c r="AU650" s="239"/>
    </row>
    <row r="651" spans="1:47" x14ac:dyDescent="0.35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306"/>
      <c r="W651" s="239"/>
      <c r="X651" s="239"/>
      <c r="Y651" s="239"/>
      <c r="Z651" s="239"/>
      <c r="AA651" s="239"/>
      <c r="AB651" s="239"/>
      <c r="AC651" s="239"/>
      <c r="AD651" s="245"/>
      <c r="AE651" s="239"/>
      <c r="AF651" s="239"/>
      <c r="AG651" s="239"/>
      <c r="AH651" s="239"/>
      <c r="AI651" s="239"/>
      <c r="AJ651" s="239"/>
      <c r="AK651" s="239"/>
      <c r="AL651" s="239"/>
      <c r="AM651" s="245"/>
      <c r="AN651" s="239"/>
      <c r="AO651" s="239"/>
      <c r="AP651" s="239"/>
      <c r="AQ651" s="306"/>
      <c r="AR651" s="239"/>
      <c r="AS651" s="239"/>
      <c r="AT651" s="239"/>
      <c r="AU651" s="239"/>
    </row>
    <row r="652" spans="1:47" x14ac:dyDescent="0.35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306"/>
      <c r="W652" s="239"/>
      <c r="X652" s="239"/>
      <c r="Y652" s="239"/>
      <c r="Z652" s="239"/>
      <c r="AA652" s="239"/>
      <c r="AB652" s="239"/>
      <c r="AC652" s="239"/>
      <c r="AD652" s="245"/>
      <c r="AE652" s="239"/>
      <c r="AF652" s="239"/>
      <c r="AG652" s="239"/>
      <c r="AH652" s="239"/>
      <c r="AI652" s="239"/>
      <c r="AJ652" s="239"/>
      <c r="AK652" s="239"/>
      <c r="AL652" s="239"/>
      <c r="AM652" s="245"/>
      <c r="AN652" s="239"/>
      <c r="AO652" s="239"/>
      <c r="AP652" s="239"/>
      <c r="AQ652" s="306"/>
      <c r="AR652" s="239"/>
      <c r="AS652" s="239"/>
      <c r="AT652" s="239"/>
      <c r="AU652" s="239"/>
    </row>
    <row r="653" spans="1:47" x14ac:dyDescent="0.35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306"/>
      <c r="W653" s="239"/>
      <c r="X653" s="239"/>
      <c r="Y653" s="239"/>
      <c r="Z653" s="239"/>
      <c r="AA653" s="239"/>
      <c r="AB653" s="239"/>
      <c r="AC653" s="239"/>
      <c r="AD653" s="245"/>
      <c r="AE653" s="239"/>
      <c r="AF653" s="239"/>
      <c r="AG653" s="239"/>
      <c r="AH653" s="239"/>
      <c r="AI653" s="239"/>
      <c r="AJ653" s="239"/>
      <c r="AK653" s="239"/>
      <c r="AL653" s="239"/>
      <c r="AM653" s="245"/>
      <c r="AN653" s="239"/>
      <c r="AO653" s="239"/>
      <c r="AP653" s="239"/>
      <c r="AQ653" s="306"/>
      <c r="AR653" s="239"/>
      <c r="AS653" s="239"/>
      <c r="AT653" s="239"/>
      <c r="AU653" s="239"/>
    </row>
    <row r="654" spans="1:47" x14ac:dyDescent="0.35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306"/>
      <c r="W654" s="239"/>
      <c r="X654" s="239"/>
      <c r="Y654" s="239"/>
      <c r="Z654" s="239"/>
      <c r="AA654" s="239"/>
      <c r="AB654" s="239"/>
      <c r="AC654" s="239"/>
      <c r="AD654" s="245"/>
      <c r="AE654" s="239"/>
      <c r="AF654" s="239"/>
      <c r="AG654" s="239"/>
      <c r="AH654" s="239"/>
      <c r="AI654" s="239"/>
      <c r="AJ654" s="239"/>
      <c r="AK654" s="239"/>
      <c r="AL654" s="239"/>
      <c r="AM654" s="245"/>
      <c r="AN654" s="239"/>
      <c r="AO654" s="239"/>
      <c r="AP654" s="239"/>
      <c r="AQ654" s="306"/>
      <c r="AR654" s="239"/>
      <c r="AS654" s="239"/>
      <c r="AT654" s="239"/>
      <c r="AU654" s="239"/>
    </row>
    <row r="655" spans="1:47" x14ac:dyDescent="0.35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306"/>
      <c r="W655" s="239"/>
      <c r="X655" s="239"/>
      <c r="Y655" s="239"/>
      <c r="Z655" s="239"/>
      <c r="AA655" s="239"/>
      <c r="AB655" s="239"/>
      <c r="AC655" s="239"/>
      <c r="AD655" s="245"/>
      <c r="AE655" s="239"/>
      <c r="AF655" s="239"/>
      <c r="AG655" s="239"/>
      <c r="AH655" s="239"/>
      <c r="AI655" s="239"/>
      <c r="AJ655" s="239"/>
      <c r="AK655" s="239"/>
      <c r="AL655" s="239"/>
      <c r="AM655" s="245"/>
      <c r="AN655" s="239"/>
      <c r="AO655" s="239"/>
      <c r="AP655" s="239"/>
      <c r="AQ655" s="306"/>
      <c r="AR655" s="239"/>
      <c r="AS655" s="239"/>
      <c r="AT655" s="239"/>
      <c r="AU655" s="239"/>
    </row>
    <row r="656" spans="1:47" x14ac:dyDescent="0.35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306"/>
      <c r="W656" s="239"/>
      <c r="X656" s="239"/>
      <c r="Y656" s="239"/>
      <c r="Z656" s="239"/>
      <c r="AA656" s="239"/>
      <c r="AB656" s="239"/>
      <c r="AC656" s="239"/>
      <c r="AD656" s="245"/>
      <c r="AE656" s="239"/>
      <c r="AF656" s="239"/>
      <c r="AG656" s="239"/>
      <c r="AH656" s="239"/>
      <c r="AI656" s="239"/>
      <c r="AJ656" s="239"/>
      <c r="AK656" s="239"/>
      <c r="AL656" s="239"/>
      <c r="AM656" s="245"/>
      <c r="AN656" s="239"/>
      <c r="AO656" s="239"/>
      <c r="AP656" s="239"/>
      <c r="AQ656" s="306"/>
      <c r="AR656" s="239"/>
      <c r="AS656" s="239"/>
      <c r="AT656" s="239"/>
      <c r="AU656" s="239"/>
    </row>
    <row r="657" spans="1:47" x14ac:dyDescent="0.35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306"/>
      <c r="W657" s="239"/>
      <c r="X657" s="239"/>
      <c r="Y657" s="239"/>
      <c r="Z657" s="239"/>
      <c r="AA657" s="239"/>
      <c r="AB657" s="239"/>
      <c r="AC657" s="239"/>
      <c r="AD657" s="245"/>
      <c r="AE657" s="239"/>
      <c r="AF657" s="239"/>
      <c r="AG657" s="239"/>
      <c r="AH657" s="239"/>
      <c r="AI657" s="239"/>
      <c r="AJ657" s="239"/>
      <c r="AK657" s="239"/>
      <c r="AL657" s="239"/>
      <c r="AM657" s="245"/>
      <c r="AN657" s="239"/>
      <c r="AO657" s="239"/>
      <c r="AP657" s="239"/>
      <c r="AQ657" s="306"/>
      <c r="AR657" s="239"/>
      <c r="AS657" s="239"/>
      <c r="AT657" s="239"/>
      <c r="AU657" s="239"/>
    </row>
    <row r="658" spans="1:47" x14ac:dyDescent="0.35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306"/>
      <c r="W658" s="239"/>
      <c r="X658" s="239"/>
      <c r="Y658" s="239"/>
      <c r="Z658" s="239"/>
      <c r="AA658" s="239"/>
      <c r="AB658" s="239"/>
      <c r="AC658" s="239"/>
      <c r="AD658" s="245"/>
      <c r="AE658" s="239"/>
      <c r="AF658" s="239"/>
      <c r="AG658" s="239"/>
      <c r="AH658" s="239"/>
      <c r="AI658" s="239"/>
      <c r="AJ658" s="239"/>
      <c r="AK658" s="239"/>
      <c r="AL658" s="239"/>
      <c r="AM658" s="245"/>
      <c r="AN658" s="239"/>
      <c r="AO658" s="239"/>
      <c r="AP658" s="239"/>
      <c r="AQ658" s="306"/>
      <c r="AR658" s="239"/>
      <c r="AS658" s="239"/>
      <c r="AT658" s="239"/>
      <c r="AU658" s="239"/>
    </row>
    <row r="659" spans="1:47" x14ac:dyDescent="0.35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306"/>
      <c r="W659" s="239"/>
      <c r="X659" s="239"/>
      <c r="Y659" s="239"/>
      <c r="Z659" s="239"/>
      <c r="AA659" s="239"/>
      <c r="AB659" s="239"/>
      <c r="AC659" s="239"/>
      <c r="AD659" s="245"/>
      <c r="AE659" s="239"/>
      <c r="AF659" s="239"/>
      <c r="AG659" s="239"/>
      <c r="AH659" s="239"/>
      <c r="AI659" s="239"/>
      <c r="AJ659" s="239"/>
      <c r="AK659" s="239"/>
      <c r="AL659" s="239"/>
      <c r="AM659" s="245"/>
      <c r="AN659" s="239"/>
      <c r="AO659" s="239"/>
      <c r="AP659" s="239"/>
      <c r="AQ659" s="306"/>
      <c r="AR659" s="239"/>
      <c r="AS659" s="239"/>
      <c r="AT659" s="239"/>
      <c r="AU659" s="239"/>
    </row>
    <row r="660" spans="1:47" x14ac:dyDescent="0.35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306"/>
      <c r="W660" s="239"/>
      <c r="X660" s="239"/>
      <c r="Y660" s="239"/>
      <c r="Z660" s="239"/>
      <c r="AA660" s="239"/>
      <c r="AB660" s="239"/>
      <c r="AC660" s="239"/>
      <c r="AD660" s="245"/>
      <c r="AE660" s="239"/>
      <c r="AF660" s="239"/>
      <c r="AG660" s="239"/>
      <c r="AH660" s="239"/>
      <c r="AI660" s="239"/>
      <c r="AJ660" s="239"/>
      <c r="AK660" s="239"/>
      <c r="AL660" s="239"/>
      <c r="AM660" s="245"/>
      <c r="AN660" s="239"/>
      <c r="AO660" s="239"/>
      <c r="AP660" s="239"/>
      <c r="AQ660" s="306"/>
      <c r="AR660" s="239"/>
      <c r="AS660" s="239"/>
      <c r="AT660" s="239"/>
      <c r="AU660" s="239"/>
    </row>
    <row r="661" spans="1:47" x14ac:dyDescent="0.35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306"/>
      <c r="W661" s="239"/>
      <c r="X661" s="239"/>
      <c r="Y661" s="239"/>
      <c r="Z661" s="239"/>
      <c r="AA661" s="239"/>
      <c r="AB661" s="239"/>
      <c r="AC661" s="239"/>
      <c r="AD661" s="245"/>
      <c r="AE661" s="239"/>
      <c r="AF661" s="239"/>
      <c r="AG661" s="239"/>
      <c r="AH661" s="239"/>
      <c r="AI661" s="239"/>
      <c r="AJ661" s="239"/>
      <c r="AK661" s="239"/>
      <c r="AL661" s="239"/>
      <c r="AM661" s="245"/>
      <c r="AN661" s="239"/>
      <c r="AO661" s="239"/>
      <c r="AP661" s="239"/>
      <c r="AQ661" s="306"/>
      <c r="AR661" s="239"/>
      <c r="AS661" s="239"/>
      <c r="AT661" s="239"/>
      <c r="AU661" s="239"/>
    </row>
    <row r="662" spans="1:47" x14ac:dyDescent="0.35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306"/>
      <c r="W662" s="239"/>
      <c r="X662" s="239"/>
      <c r="Y662" s="239"/>
      <c r="Z662" s="239"/>
      <c r="AA662" s="239"/>
      <c r="AB662" s="239"/>
      <c r="AC662" s="239"/>
      <c r="AD662" s="245"/>
      <c r="AE662" s="239"/>
      <c r="AF662" s="239"/>
      <c r="AG662" s="239"/>
      <c r="AH662" s="239"/>
      <c r="AI662" s="239"/>
      <c r="AJ662" s="239"/>
      <c r="AK662" s="239"/>
      <c r="AL662" s="239"/>
      <c r="AM662" s="245"/>
      <c r="AN662" s="239"/>
      <c r="AO662" s="239"/>
      <c r="AP662" s="239"/>
      <c r="AQ662" s="306"/>
      <c r="AR662" s="239"/>
      <c r="AS662" s="239"/>
      <c r="AT662" s="239"/>
      <c r="AU662" s="239"/>
    </row>
    <row r="663" spans="1:47" x14ac:dyDescent="0.35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306"/>
      <c r="W663" s="239"/>
      <c r="X663" s="239"/>
      <c r="Y663" s="239"/>
      <c r="Z663" s="239"/>
      <c r="AA663" s="239"/>
      <c r="AB663" s="239"/>
      <c r="AC663" s="239"/>
      <c r="AD663" s="245"/>
      <c r="AE663" s="239"/>
      <c r="AF663" s="239"/>
      <c r="AG663" s="239"/>
      <c r="AH663" s="239"/>
      <c r="AI663" s="239"/>
      <c r="AJ663" s="239"/>
      <c r="AK663" s="239"/>
      <c r="AL663" s="239"/>
      <c r="AM663" s="245"/>
      <c r="AN663" s="239"/>
      <c r="AO663" s="239"/>
      <c r="AP663" s="239"/>
      <c r="AQ663" s="306"/>
      <c r="AR663" s="239"/>
      <c r="AS663" s="239"/>
      <c r="AT663" s="239"/>
      <c r="AU663" s="239"/>
    </row>
    <row r="664" spans="1:47" x14ac:dyDescent="0.35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306"/>
      <c r="W664" s="239"/>
      <c r="X664" s="239"/>
      <c r="Y664" s="239"/>
      <c r="Z664" s="239"/>
      <c r="AA664" s="239"/>
      <c r="AB664" s="239"/>
      <c r="AC664" s="239"/>
      <c r="AD664" s="245"/>
      <c r="AE664" s="239"/>
      <c r="AF664" s="239"/>
      <c r="AG664" s="239"/>
      <c r="AH664" s="239"/>
      <c r="AI664" s="239"/>
      <c r="AJ664" s="239"/>
      <c r="AK664" s="239"/>
      <c r="AL664" s="239"/>
      <c r="AM664" s="245"/>
      <c r="AN664" s="239"/>
      <c r="AO664" s="239"/>
      <c r="AP664" s="239"/>
      <c r="AQ664" s="306"/>
      <c r="AR664" s="239"/>
      <c r="AS664" s="239"/>
      <c r="AT664" s="239"/>
      <c r="AU664" s="239"/>
    </row>
    <row r="665" spans="1:47" x14ac:dyDescent="0.35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306"/>
      <c r="W665" s="239"/>
      <c r="X665" s="239"/>
      <c r="Y665" s="239"/>
      <c r="Z665" s="239"/>
      <c r="AA665" s="239"/>
      <c r="AB665" s="239"/>
      <c r="AC665" s="239"/>
      <c r="AD665" s="245"/>
      <c r="AE665" s="239"/>
      <c r="AF665" s="239"/>
      <c r="AG665" s="239"/>
      <c r="AH665" s="239"/>
      <c r="AI665" s="239"/>
      <c r="AJ665" s="239"/>
      <c r="AK665" s="239"/>
      <c r="AL665" s="239"/>
      <c r="AM665" s="245"/>
      <c r="AN665" s="239"/>
      <c r="AO665" s="239"/>
      <c r="AP665" s="239"/>
      <c r="AQ665" s="306"/>
      <c r="AR665" s="239"/>
      <c r="AS665" s="239"/>
      <c r="AT665" s="239"/>
      <c r="AU665" s="239"/>
    </row>
    <row r="666" spans="1:47" x14ac:dyDescent="0.35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306"/>
      <c r="W666" s="239"/>
      <c r="X666" s="239"/>
      <c r="Y666" s="239"/>
      <c r="Z666" s="239"/>
      <c r="AA666" s="239"/>
      <c r="AB666" s="239"/>
      <c r="AC666" s="239"/>
      <c r="AD666" s="245"/>
      <c r="AE666" s="239"/>
      <c r="AF666" s="239"/>
      <c r="AG666" s="239"/>
      <c r="AH666" s="239"/>
      <c r="AI666" s="239"/>
      <c r="AJ666" s="239"/>
      <c r="AK666" s="239"/>
      <c r="AL666" s="239"/>
      <c r="AM666" s="245"/>
      <c r="AN666" s="239"/>
      <c r="AO666" s="239"/>
      <c r="AP666" s="239"/>
      <c r="AQ666" s="306"/>
      <c r="AR666" s="239"/>
      <c r="AS666" s="239"/>
      <c r="AT666" s="239"/>
      <c r="AU666" s="239"/>
    </row>
    <row r="667" spans="1:47" x14ac:dyDescent="0.35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306"/>
      <c r="W667" s="239"/>
      <c r="X667" s="239"/>
      <c r="Y667" s="239"/>
      <c r="Z667" s="239"/>
      <c r="AA667" s="239"/>
      <c r="AB667" s="239"/>
      <c r="AC667" s="239"/>
      <c r="AD667" s="245"/>
      <c r="AE667" s="239"/>
      <c r="AF667" s="239"/>
      <c r="AG667" s="239"/>
      <c r="AH667" s="239"/>
      <c r="AI667" s="239"/>
      <c r="AJ667" s="239"/>
      <c r="AK667" s="239"/>
      <c r="AL667" s="239"/>
      <c r="AM667" s="245"/>
      <c r="AN667" s="239"/>
      <c r="AO667" s="239"/>
      <c r="AP667" s="239"/>
      <c r="AQ667" s="306"/>
      <c r="AR667" s="239"/>
      <c r="AS667" s="239"/>
      <c r="AT667" s="239"/>
      <c r="AU667" s="239"/>
    </row>
    <row r="668" spans="1:47" x14ac:dyDescent="0.35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306"/>
      <c r="W668" s="239"/>
      <c r="X668" s="239"/>
      <c r="Y668" s="239"/>
      <c r="Z668" s="239"/>
      <c r="AA668" s="239"/>
      <c r="AB668" s="239"/>
      <c r="AC668" s="239"/>
      <c r="AD668" s="245"/>
      <c r="AE668" s="239"/>
      <c r="AF668" s="239"/>
      <c r="AG668" s="239"/>
      <c r="AH668" s="239"/>
      <c r="AI668" s="239"/>
      <c r="AJ668" s="239"/>
      <c r="AK668" s="239"/>
      <c r="AL668" s="239"/>
      <c r="AM668" s="245"/>
      <c r="AN668" s="239"/>
      <c r="AO668" s="239"/>
      <c r="AP668" s="239"/>
      <c r="AQ668" s="306"/>
      <c r="AR668" s="239"/>
      <c r="AS668" s="239"/>
      <c r="AT668" s="239"/>
      <c r="AU668" s="239"/>
    </row>
    <row r="669" spans="1:47" x14ac:dyDescent="0.35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306"/>
      <c r="W669" s="239"/>
      <c r="X669" s="239"/>
      <c r="Y669" s="239"/>
      <c r="Z669" s="239"/>
      <c r="AA669" s="239"/>
      <c r="AB669" s="239"/>
      <c r="AC669" s="239"/>
      <c r="AD669" s="245"/>
      <c r="AE669" s="239"/>
      <c r="AF669" s="239"/>
      <c r="AG669" s="239"/>
      <c r="AH669" s="239"/>
      <c r="AI669" s="239"/>
      <c r="AJ669" s="239"/>
      <c r="AK669" s="239"/>
      <c r="AL669" s="239"/>
      <c r="AM669" s="245"/>
      <c r="AN669" s="239"/>
      <c r="AO669" s="239"/>
      <c r="AP669" s="239"/>
      <c r="AQ669" s="306"/>
      <c r="AR669" s="239"/>
      <c r="AS669" s="239"/>
      <c r="AT669" s="239"/>
      <c r="AU669" s="239"/>
    </row>
    <row r="670" spans="1:47" x14ac:dyDescent="0.35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306"/>
      <c r="W670" s="239"/>
      <c r="X670" s="239"/>
      <c r="Y670" s="239"/>
      <c r="Z670" s="239"/>
      <c r="AA670" s="239"/>
      <c r="AB670" s="239"/>
      <c r="AC670" s="239"/>
      <c r="AD670" s="245"/>
      <c r="AE670" s="239"/>
      <c r="AF670" s="239"/>
      <c r="AG670" s="239"/>
      <c r="AH670" s="239"/>
      <c r="AI670" s="239"/>
      <c r="AJ670" s="239"/>
      <c r="AK670" s="239"/>
      <c r="AL670" s="239"/>
      <c r="AM670" s="245"/>
      <c r="AN670" s="239"/>
      <c r="AO670" s="239"/>
      <c r="AP670" s="239"/>
      <c r="AQ670" s="306"/>
      <c r="AR670" s="239"/>
      <c r="AS670" s="239"/>
      <c r="AT670" s="239"/>
      <c r="AU670" s="239"/>
    </row>
    <row r="671" spans="1:47" x14ac:dyDescent="0.35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306"/>
      <c r="W671" s="239"/>
      <c r="X671" s="239"/>
      <c r="Y671" s="239"/>
      <c r="Z671" s="239"/>
      <c r="AA671" s="239"/>
      <c r="AB671" s="239"/>
      <c r="AC671" s="239"/>
      <c r="AD671" s="245"/>
      <c r="AE671" s="239"/>
      <c r="AF671" s="239"/>
      <c r="AG671" s="239"/>
      <c r="AH671" s="239"/>
      <c r="AI671" s="239"/>
      <c r="AJ671" s="239"/>
      <c r="AK671" s="239"/>
      <c r="AL671" s="239"/>
      <c r="AM671" s="245"/>
      <c r="AN671" s="239"/>
      <c r="AO671" s="239"/>
      <c r="AP671" s="239"/>
      <c r="AQ671" s="306"/>
      <c r="AR671" s="239"/>
      <c r="AS671" s="239"/>
      <c r="AT671" s="239"/>
      <c r="AU671" s="239"/>
    </row>
    <row r="672" spans="1:47" x14ac:dyDescent="0.35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306"/>
      <c r="W672" s="239"/>
      <c r="X672" s="239"/>
      <c r="Y672" s="239"/>
      <c r="Z672" s="239"/>
      <c r="AA672" s="239"/>
      <c r="AB672" s="239"/>
      <c r="AC672" s="239"/>
      <c r="AD672" s="245"/>
      <c r="AE672" s="239"/>
      <c r="AF672" s="239"/>
      <c r="AG672" s="239"/>
      <c r="AH672" s="239"/>
      <c r="AI672" s="239"/>
      <c r="AJ672" s="239"/>
      <c r="AK672" s="239"/>
      <c r="AL672" s="239"/>
      <c r="AM672" s="245"/>
      <c r="AN672" s="239"/>
      <c r="AO672" s="239"/>
      <c r="AP672" s="239"/>
      <c r="AQ672" s="306"/>
      <c r="AR672" s="239"/>
      <c r="AS672" s="239"/>
      <c r="AT672" s="239"/>
      <c r="AU672" s="239"/>
    </row>
    <row r="673" spans="1:47" x14ac:dyDescent="0.35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306"/>
      <c r="W673" s="239"/>
      <c r="X673" s="239"/>
      <c r="Y673" s="239"/>
      <c r="Z673" s="239"/>
      <c r="AA673" s="239"/>
      <c r="AB673" s="239"/>
      <c r="AC673" s="239"/>
      <c r="AD673" s="245"/>
      <c r="AE673" s="239"/>
      <c r="AF673" s="239"/>
      <c r="AG673" s="239"/>
      <c r="AH673" s="239"/>
      <c r="AI673" s="239"/>
      <c r="AJ673" s="239"/>
      <c r="AK673" s="239"/>
      <c r="AL673" s="239"/>
      <c r="AM673" s="245"/>
      <c r="AN673" s="239"/>
      <c r="AO673" s="239"/>
      <c r="AP673" s="239"/>
      <c r="AQ673" s="306"/>
      <c r="AR673" s="239"/>
      <c r="AS673" s="239"/>
      <c r="AT673" s="239"/>
      <c r="AU673" s="239"/>
    </row>
    <row r="674" spans="1:47" x14ac:dyDescent="0.35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306"/>
      <c r="W674" s="239"/>
      <c r="X674" s="239"/>
      <c r="Y674" s="239"/>
      <c r="Z674" s="239"/>
      <c r="AA674" s="239"/>
      <c r="AB674" s="239"/>
      <c r="AC674" s="239"/>
      <c r="AD674" s="245"/>
      <c r="AE674" s="239"/>
      <c r="AF674" s="239"/>
      <c r="AG674" s="239"/>
      <c r="AH674" s="239"/>
      <c r="AI674" s="239"/>
      <c r="AJ674" s="239"/>
      <c r="AK674" s="239"/>
      <c r="AL674" s="239"/>
      <c r="AM674" s="245"/>
      <c r="AN674" s="239"/>
      <c r="AO674" s="239"/>
      <c r="AP674" s="239"/>
      <c r="AQ674" s="306"/>
      <c r="AR674" s="239"/>
      <c r="AS674" s="239"/>
      <c r="AT674" s="239"/>
      <c r="AU674" s="239"/>
    </row>
    <row r="675" spans="1:47" x14ac:dyDescent="0.35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306"/>
      <c r="W675" s="239"/>
      <c r="X675" s="239"/>
      <c r="Y675" s="239"/>
      <c r="Z675" s="239"/>
      <c r="AA675" s="239"/>
      <c r="AB675" s="239"/>
      <c r="AC675" s="239"/>
      <c r="AD675" s="245"/>
      <c r="AE675" s="239"/>
      <c r="AF675" s="239"/>
      <c r="AG675" s="239"/>
      <c r="AH675" s="239"/>
      <c r="AI675" s="239"/>
      <c r="AJ675" s="239"/>
      <c r="AK675" s="239"/>
      <c r="AL675" s="239"/>
      <c r="AM675" s="245"/>
      <c r="AN675" s="239"/>
      <c r="AO675" s="239"/>
      <c r="AP675" s="239"/>
      <c r="AQ675" s="306"/>
      <c r="AR675" s="239"/>
      <c r="AS675" s="239"/>
      <c r="AT675" s="239"/>
      <c r="AU675" s="239"/>
    </row>
    <row r="676" spans="1:47" x14ac:dyDescent="0.35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306"/>
      <c r="W676" s="239"/>
      <c r="X676" s="239"/>
      <c r="Y676" s="239"/>
      <c r="Z676" s="239"/>
      <c r="AA676" s="239"/>
      <c r="AB676" s="239"/>
      <c r="AC676" s="239"/>
      <c r="AD676" s="245"/>
      <c r="AE676" s="239"/>
      <c r="AF676" s="239"/>
      <c r="AG676" s="239"/>
      <c r="AH676" s="239"/>
      <c r="AI676" s="239"/>
      <c r="AJ676" s="239"/>
      <c r="AK676" s="239"/>
      <c r="AL676" s="239"/>
      <c r="AM676" s="245"/>
      <c r="AN676" s="239"/>
      <c r="AO676" s="239"/>
      <c r="AP676" s="239"/>
      <c r="AQ676" s="306"/>
      <c r="AR676" s="239"/>
      <c r="AS676" s="239"/>
      <c r="AT676" s="239"/>
      <c r="AU676" s="239"/>
    </row>
    <row r="677" spans="1:47" x14ac:dyDescent="0.35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306"/>
      <c r="W677" s="239"/>
      <c r="X677" s="239"/>
      <c r="Y677" s="239"/>
      <c r="Z677" s="239"/>
      <c r="AA677" s="239"/>
      <c r="AB677" s="239"/>
      <c r="AC677" s="239"/>
      <c r="AD677" s="245"/>
      <c r="AE677" s="239"/>
      <c r="AF677" s="239"/>
      <c r="AG677" s="239"/>
      <c r="AH677" s="239"/>
      <c r="AI677" s="239"/>
      <c r="AJ677" s="239"/>
      <c r="AK677" s="239"/>
      <c r="AL677" s="239"/>
      <c r="AM677" s="245"/>
      <c r="AN677" s="239"/>
      <c r="AO677" s="239"/>
      <c r="AP677" s="239"/>
      <c r="AQ677" s="306"/>
      <c r="AR677" s="239"/>
      <c r="AS677" s="239"/>
      <c r="AT677" s="239"/>
      <c r="AU677" s="239"/>
    </row>
    <row r="678" spans="1:47" x14ac:dyDescent="0.35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306"/>
      <c r="W678" s="239"/>
      <c r="X678" s="239"/>
      <c r="Y678" s="239"/>
      <c r="Z678" s="239"/>
      <c r="AA678" s="239"/>
      <c r="AB678" s="239"/>
      <c r="AC678" s="239"/>
      <c r="AD678" s="245"/>
      <c r="AE678" s="239"/>
      <c r="AF678" s="239"/>
      <c r="AG678" s="239"/>
      <c r="AH678" s="239"/>
      <c r="AI678" s="239"/>
      <c r="AJ678" s="239"/>
      <c r="AK678" s="239"/>
      <c r="AL678" s="239"/>
      <c r="AM678" s="245"/>
      <c r="AN678" s="239"/>
      <c r="AO678" s="239"/>
      <c r="AP678" s="239"/>
      <c r="AQ678" s="306"/>
      <c r="AR678" s="239"/>
      <c r="AS678" s="239"/>
      <c r="AT678" s="239"/>
      <c r="AU678" s="239"/>
    </row>
    <row r="679" spans="1:47" x14ac:dyDescent="0.35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306"/>
      <c r="W679" s="239"/>
      <c r="X679" s="239"/>
      <c r="Y679" s="239"/>
      <c r="Z679" s="239"/>
      <c r="AA679" s="239"/>
      <c r="AB679" s="239"/>
      <c r="AC679" s="239"/>
      <c r="AD679" s="245"/>
      <c r="AE679" s="239"/>
      <c r="AF679" s="239"/>
      <c r="AG679" s="239"/>
      <c r="AH679" s="239"/>
      <c r="AI679" s="239"/>
      <c r="AJ679" s="239"/>
      <c r="AK679" s="239"/>
      <c r="AL679" s="239"/>
      <c r="AM679" s="245"/>
      <c r="AN679" s="239"/>
      <c r="AO679" s="239"/>
      <c r="AP679" s="239"/>
      <c r="AQ679" s="306"/>
      <c r="AR679" s="239"/>
      <c r="AS679" s="239"/>
      <c r="AT679" s="239"/>
      <c r="AU679" s="239"/>
    </row>
    <row r="680" spans="1:47" x14ac:dyDescent="0.35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306"/>
      <c r="W680" s="239"/>
      <c r="X680" s="239"/>
      <c r="Y680" s="239"/>
      <c r="Z680" s="239"/>
      <c r="AA680" s="239"/>
      <c r="AB680" s="239"/>
      <c r="AC680" s="239"/>
      <c r="AD680" s="245"/>
      <c r="AE680" s="239"/>
      <c r="AF680" s="239"/>
      <c r="AG680" s="239"/>
      <c r="AH680" s="239"/>
      <c r="AI680" s="239"/>
      <c r="AJ680" s="239"/>
      <c r="AK680" s="239"/>
      <c r="AL680" s="239"/>
      <c r="AM680" s="245"/>
      <c r="AN680" s="239"/>
      <c r="AO680" s="239"/>
      <c r="AP680" s="239"/>
      <c r="AQ680" s="306"/>
      <c r="AR680" s="239"/>
      <c r="AS680" s="239"/>
      <c r="AT680" s="239"/>
      <c r="AU680" s="239"/>
    </row>
    <row r="681" spans="1:47" x14ac:dyDescent="0.35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306"/>
      <c r="W681" s="239"/>
      <c r="X681" s="239"/>
      <c r="Y681" s="239"/>
      <c r="Z681" s="239"/>
      <c r="AA681" s="239"/>
      <c r="AB681" s="239"/>
      <c r="AC681" s="239"/>
      <c r="AD681" s="245"/>
      <c r="AE681" s="239"/>
      <c r="AF681" s="239"/>
      <c r="AG681" s="239"/>
      <c r="AH681" s="239"/>
      <c r="AI681" s="239"/>
      <c r="AJ681" s="239"/>
      <c r="AK681" s="239"/>
      <c r="AL681" s="239"/>
      <c r="AM681" s="245"/>
      <c r="AN681" s="239"/>
      <c r="AO681" s="239"/>
      <c r="AP681" s="239"/>
      <c r="AQ681" s="306"/>
      <c r="AR681" s="239"/>
      <c r="AS681" s="239"/>
      <c r="AT681" s="239"/>
      <c r="AU681" s="239"/>
    </row>
    <row r="682" spans="1:47" x14ac:dyDescent="0.35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306"/>
      <c r="W682" s="239"/>
      <c r="X682" s="239"/>
      <c r="Y682" s="239"/>
      <c r="Z682" s="239"/>
      <c r="AA682" s="239"/>
      <c r="AB682" s="239"/>
      <c r="AC682" s="239"/>
      <c r="AD682" s="245"/>
      <c r="AE682" s="239"/>
      <c r="AF682" s="239"/>
      <c r="AG682" s="239"/>
      <c r="AH682" s="239"/>
      <c r="AI682" s="239"/>
      <c r="AJ682" s="239"/>
      <c r="AK682" s="239"/>
      <c r="AL682" s="239"/>
      <c r="AM682" s="245"/>
      <c r="AN682" s="239"/>
      <c r="AO682" s="239"/>
      <c r="AP682" s="239"/>
      <c r="AQ682" s="306"/>
      <c r="AR682" s="239"/>
      <c r="AS682" s="239"/>
      <c r="AT682" s="239"/>
      <c r="AU682" s="239"/>
    </row>
    <row r="683" spans="1:47" x14ac:dyDescent="0.35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306"/>
      <c r="W683" s="239"/>
      <c r="X683" s="239"/>
      <c r="Y683" s="239"/>
      <c r="Z683" s="239"/>
      <c r="AA683" s="239"/>
      <c r="AB683" s="239"/>
      <c r="AC683" s="239"/>
      <c r="AD683" s="245"/>
      <c r="AE683" s="239"/>
      <c r="AF683" s="239"/>
      <c r="AG683" s="239"/>
      <c r="AH683" s="239"/>
      <c r="AI683" s="239"/>
      <c r="AJ683" s="239"/>
      <c r="AK683" s="239"/>
      <c r="AL683" s="239"/>
      <c r="AM683" s="245"/>
      <c r="AN683" s="239"/>
      <c r="AO683" s="239"/>
      <c r="AP683" s="239"/>
      <c r="AQ683" s="306"/>
      <c r="AR683" s="239"/>
      <c r="AS683" s="239"/>
      <c r="AT683" s="239"/>
      <c r="AU683" s="239"/>
    </row>
    <row r="684" spans="1:47" x14ac:dyDescent="0.35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306"/>
      <c r="W684" s="239"/>
      <c r="X684" s="239"/>
      <c r="Y684" s="239"/>
      <c r="Z684" s="239"/>
      <c r="AA684" s="239"/>
      <c r="AB684" s="239"/>
      <c r="AC684" s="239"/>
      <c r="AD684" s="245"/>
      <c r="AE684" s="239"/>
      <c r="AF684" s="239"/>
      <c r="AG684" s="239"/>
      <c r="AH684" s="239"/>
      <c r="AI684" s="239"/>
      <c r="AJ684" s="239"/>
      <c r="AK684" s="239"/>
      <c r="AL684" s="239"/>
      <c r="AM684" s="245"/>
      <c r="AN684" s="239"/>
      <c r="AO684" s="239"/>
      <c r="AP684" s="239"/>
      <c r="AQ684" s="306"/>
      <c r="AR684" s="239"/>
      <c r="AS684" s="239"/>
      <c r="AT684" s="239"/>
      <c r="AU684" s="239"/>
    </row>
    <row r="685" spans="1:47" x14ac:dyDescent="0.35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306"/>
      <c r="W685" s="239"/>
      <c r="X685" s="239"/>
      <c r="Y685" s="239"/>
      <c r="Z685" s="239"/>
      <c r="AA685" s="239"/>
      <c r="AB685" s="239"/>
      <c r="AC685" s="239"/>
      <c r="AD685" s="245"/>
      <c r="AE685" s="239"/>
      <c r="AF685" s="239"/>
      <c r="AG685" s="239"/>
      <c r="AH685" s="239"/>
      <c r="AI685" s="239"/>
      <c r="AJ685" s="239"/>
      <c r="AK685" s="239"/>
      <c r="AL685" s="239"/>
      <c r="AM685" s="245"/>
      <c r="AN685" s="239"/>
      <c r="AO685" s="239"/>
      <c r="AP685" s="239"/>
      <c r="AQ685" s="306"/>
      <c r="AR685" s="239"/>
      <c r="AS685" s="239"/>
      <c r="AT685" s="239"/>
      <c r="AU685" s="239"/>
    </row>
    <row r="686" spans="1:47" x14ac:dyDescent="0.35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306"/>
      <c r="W686" s="239"/>
      <c r="X686" s="239"/>
      <c r="Y686" s="239"/>
      <c r="Z686" s="239"/>
      <c r="AA686" s="239"/>
      <c r="AB686" s="239"/>
      <c r="AC686" s="239"/>
      <c r="AD686" s="245"/>
      <c r="AE686" s="239"/>
      <c r="AF686" s="239"/>
      <c r="AG686" s="239"/>
      <c r="AH686" s="239"/>
      <c r="AI686" s="239"/>
      <c r="AJ686" s="239"/>
      <c r="AK686" s="239"/>
      <c r="AL686" s="239"/>
      <c r="AM686" s="245"/>
      <c r="AN686" s="239"/>
      <c r="AO686" s="239"/>
      <c r="AP686" s="239"/>
      <c r="AQ686" s="306"/>
      <c r="AR686" s="239"/>
      <c r="AS686" s="239"/>
      <c r="AT686" s="239"/>
      <c r="AU686" s="239"/>
    </row>
    <row r="687" spans="1:47" x14ac:dyDescent="0.35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306"/>
      <c r="W687" s="239"/>
      <c r="X687" s="239"/>
      <c r="Y687" s="239"/>
      <c r="Z687" s="239"/>
      <c r="AA687" s="239"/>
      <c r="AB687" s="239"/>
      <c r="AC687" s="239"/>
      <c r="AD687" s="245"/>
      <c r="AE687" s="239"/>
      <c r="AF687" s="239"/>
      <c r="AG687" s="239"/>
      <c r="AH687" s="239"/>
      <c r="AI687" s="239"/>
      <c r="AJ687" s="239"/>
      <c r="AK687" s="239"/>
      <c r="AL687" s="239"/>
      <c r="AM687" s="245"/>
      <c r="AN687" s="239"/>
      <c r="AO687" s="239"/>
      <c r="AP687" s="239"/>
      <c r="AQ687" s="306"/>
      <c r="AR687" s="239"/>
      <c r="AS687" s="239"/>
      <c r="AT687" s="239"/>
      <c r="AU687" s="239"/>
    </row>
    <row r="688" spans="1:47" x14ac:dyDescent="0.35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306"/>
      <c r="W688" s="239"/>
      <c r="X688" s="239"/>
      <c r="Y688" s="239"/>
      <c r="Z688" s="239"/>
      <c r="AA688" s="239"/>
      <c r="AB688" s="239"/>
      <c r="AC688" s="239"/>
      <c r="AD688" s="245"/>
      <c r="AE688" s="239"/>
      <c r="AF688" s="239"/>
      <c r="AG688" s="239"/>
      <c r="AH688" s="239"/>
      <c r="AI688" s="239"/>
      <c r="AJ688" s="239"/>
      <c r="AK688" s="239"/>
      <c r="AL688" s="239"/>
      <c r="AM688" s="245"/>
      <c r="AN688" s="239"/>
      <c r="AO688" s="239"/>
      <c r="AP688" s="239"/>
      <c r="AQ688" s="306"/>
      <c r="AR688" s="239"/>
      <c r="AS688" s="239"/>
      <c r="AT688" s="239"/>
      <c r="AU688" s="239"/>
    </row>
    <row r="689" spans="1:47" x14ac:dyDescent="0.35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306"/>
      <c r="W689" s="239"/>
      <c r="X689" s="239"/>
      <c r="Y689" s="239"/>
      <c r="Z689" s="239"/>
      <c r="AA689" s="239"/>
      <c r="AB689" s="239"/>
      <c r="AC689" s="239"/>
      <c r="AD689" s="245"/>
      <c r="AE689" s="239"/>
      <c r="AF689" s="239"/>
      <c r="AG689" s="239"/>
      <c r="AH689" s="239"/>
      <c r="AI689" s="239"/>
      <c r="AJ689" s="239"/>
      <c r="AK689" s="239"/>
      <c r="AL689" s="239"/>
      <c r="AM689" s="245"/>
      <c r="AN689" s="239"/>
      <c r="AO689" s="239"/>
      <c r="AP689" s="239"/>
      <c r="AQ689" s="306"/>
      <c r="AR689" s="239"/>
      <c r="AS689" s="239"/>
      <c r="AT689" s="239"/>
      <c r="AU689" s="239"/>
    </row>
    <row r="690" spans="1:47" x14ac:dyDescent="0.35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306"/>
      <c r="W690" s="239"/>
      <c r="X690" s="239"/>
      <c r="Y690" s="239"/>
      <c r="Z690" s="239"/>
      <c r="AA690" s="239"/>
      <c r="AB690" s="239"/>
      <c r="AC690" s="239"/>
      <c r="AD690" s="245"/>
      <c r="AE690" s="239"/>
      <c r="AF690" s="239"/>
      <c r="AG690" s="239"/>
      <c r="AH690" s="239"/>
      <c r="AI690" s="239"/>
      <c r="AJ690" s="239"/>
      <c r="AK690" s="239"/>
      <c r="AL690" s="239"/>
      <c r="AM690" s="245"/>
      <c r="AN690" s="239"/>
      <c r="AO690" s="239"/>
      <c r="AP690" s="239"/>
      <c r="AQ690" s="306"/>
      <c r="AR690" s="239"/>
      <c r="AS690" s="239"/>
      <c r="AT690" s="239"/>
      <c r="AU690" s="239"/>
    </row>
    <row r="691" spans="1:47" x14ac:dyDescent="0.35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306"/>
      <c r="W691" s="239"/>
      <c r="X691" s="239"/>
      <c r="Y691" s="239"/>
      <c r="Z691" s="239"/>
      <c r="AA691" s="239"/>
      <c r="AB691" s="239"/>
      <c r="AC691" s="239"/>
      <c r="AD691" s="245"/>
      <c r="AE691" s="239"/>
      <c r="AF691" s="239"/>
      <c r="AG691" s="239"/>
      <c r="AH691" s="239"/>
      <c r="AI691" s="239"/>
      <c r="AJ691" s="239"/>
      <c r="AK691" s="239"/>
      <c r="AL691" s="239"/>
      <c r="AM691" s="245"/>
      <c r="AN691" s="239"/>
      <c r="AO691" s="239"/>
      <c r="AP691" s="239"/>
      <c r="AQ691" s="306"/>
      <c r="AR691" s="239"/>
      <c r="AS691" s="239"/>
      <c r="AT691" s="239"/>
      <c r="AU691" s="239"/>
    </row>
    <row r="692" spans="1:47" x14ac:dyDescent="0.35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306"/>
      <c r="W692" s="239"/>
      <c r="X692" s="239"/>
      <c r="Y692" s="239"/>
      <c r="Z692" s="239"/>
      <c r="AA692" s="239"/>
      <c r="AB692" s="239"/>
      <c r="AC692" s="239"/>
      <c r="AD692" s="245"/>
      <c r="AE692" s="239"/>
      <c r="AF692" s="239"/>
      <c r="AG692" s="239"/>
      <c r="AH692" s="239"/>
      <c r="AI692" s="239"/>
      <c r="AJ692" s="239"/>
      <c r="AK692" s="239"/>
      <c r="AL692" s="239"/>
      <c r="AM692" s="245"/>
      <c r="AN692" s="239"/>
      <c r="AO692" s="239"/>
      <c r="AP692" s="239"/>
      <c r="AQ692" s="306"/>
      <c r="AR692" s="239"/>
      <c r="AS692" s="239"/>
      <c r="AT692" s="239"/>
      <c r="AU692" s="239"/>
    </row>
    <row r="693" spans="1:47" x14ac:dyDescent="0.35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306"/>
      <c r="W693" s="239"/>
      <c r="X693" s="239"/>
      <c r="Y693" s="239"/>
      <c r="Z693" s="239"/>
      <c r="AA693" s="239"/>
      <c r="AB693" s="239"/>
      <c r="AC693" s="239"/>
      <c r="AD693" s="245"/>
      <c r="AE693" s="239"/>
      <c r="AF693" s="239"/>
      <c r="AG693" s="239"/>
      <c r="AH693" s="239"/>
      <c r="AI693" s="239"/>
      <c r="AJ693" s="239"/>
      <c r="AK693" s="239"/>
      <c r="AL693" s="239"/>
      <c r="AM693" s="245"/>
      <c r="AN693" s="239"/>
      <c r="AO693" s="239"/>
      <c r="AP693" s="239"/>
      <c r="AQ693" s="306"/>
      <c r="AR693" s="239"/>
      <c r="AS693" s="239"/>
      <c r="AT693" s="239"/>
      <c r="AU693" s="239"/>
    </row>
    <row r="694" spans="1:47" x14ac:dyDescent="0.35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306"/>
      <c r="W694" s="239"/>
      <c r="X694" s="239"/>
      <c r="Y694" s="239"/>
      <c r="Z694" s="239"/>
      <c r="AA694" s="239"/>
      <c r="AB694" s="239"/>
      <c r="AC694" s="239"/>
      <c r="AD694" s="245"/>
      <c r="AE694" s="239"/>
      <c r="AF694" s="239"/>
      <c r="AG694" s="239"/>
      <c r="AH694" s="239"/>
      <c r="AI694" s="239"/>
      <c r="AJ694" s="239"/>
      <c r="AK694" s="239"/>
      <c r="AL694" s="239"/>
      <c r="AM694" s="245"/>
      <c r="AN694" s="239"/>
      <c r="AO694" s="239"/>
      <c r="AP694" s="239"/>
      <c r="AQ694" s="306"/>
      <c r="AR694" s="239"/>
      <c r="AS694" s="239"/>
      <c r="AT694" s="239"/>
      <c r="AU694" s="239"/>
    </row>
    <row r="695" spans="1:47" x14ac:dyDescent="0.35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306"/>
      <c r="W695" s="239"/>
      <c r="X695" s="239"/>
      <c r="Y695" s="239"/>
      <c r="Z695" s="239"/>
      <c r="AA695" s="239"/>
      <c r="AB695" s="239"/>
      <c r="AC695" s="239"/>
      <c r="AD695" s="245"/>
      <c r="AE695" s="239"/>
      <c r="AF695" s="239"/>
      <c r="AG695" s="239"/>
      <c r="AH695" s="239"/>
      <c r="AI695" s="239"/>
      <c r="AJ695" s="239"/>
      <c r="AK695" s="239"/>
      <c r="AL695" s="239"/>
      <c r="AM695" s="245"/>
      <c r="AN695" s="239"/>
      <c r="AO695" s="239"/>
      <c r="AP695" s="239"/>
      <c r="AQ695" s="306"/>
      <c r="AR695" s="239"/>
      <c r="AS695" s="239"/>
      <c r="AT695" s="239"/>
      <c r="AU695" s="239"/>
    </row>
    <row r="696" spans="1:47" x14ac:dyDescent="0.35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306"/>
      <c r="W696" s="239"/>
      <c r="X696" s="239"/>
      <c r="Y696" s="239"/>
      <c r="Z696" s="239"/>
      <c r="AA696" s="239"/>
      <c r="AB696" s="239"/>
      <c r="AC696" s="239"/>
      <c r="AD696" s="245"/>
      <c r="AE696" s="239"/>
      <c r="AF696" s="239"/>
      <c r="AG696" s="239"/>
      <c r="AH696" s="239"/>
      <c r="AI696" s="239"/>
      <c r="AJ696" s="239"/>
      <c r="AK696" s="239"/>
      <c r="AL696" s="239"/>
      <c r="AM696" s="245"/>
      <c r="AN696" s="239"/>
      <c r="AO696" s="239"/>
      <c r="AP696" s="239"/>
      <c r="AQ696" s="306"/>
      <c r="AR696" s="239"/>
      <c r="AS696" s="239"/>
      <c r="AT696" s="239"/>
      <c r="AU696" s="239"/>
    </row>
    <row r="697" spans="1:47" x14ac:dyDescent="0.35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306"/>
      <c r="W697" s="239"/>
      <c r="X697" s="239"/>
      <c r="Y697" s="239"/>
      <c r="Z697" s="239"/>
      <c r="AA697" s="239"/>
      <c r="AB697" s="239"/>
      <c r="AC697" s="239"/>
      <c r="AD697" s="245"/>
      <c r="AE697" s="239"/>
      <c r="AF697" s="239"/>
      <c r="AG697" s="239"/>
      <c r="AH697" s="239"/>
      <c r="AI697" s="239"/>
      <c r="AJ697" s="239"/>
      <c r="AK697" s="239"/>
      <c r="AL697" s="239"/>
      <c r="AM697" s="245"/>
      <c r="AN697" s="239"/>
      <c r="AO697" s="239"/>
      <c r="AP697" s="239"/>
      <c r="AQ697" s="306"/>
      <c r="AR697" s="239"/>
      <c r="AS697" s="239"/>
      <c r="AT697" s="239"/>
      <c r="AU697" s="239"/>
    </row>
    <row r="698" spans="1:47" x14ac:dyDescent="0.35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306"/>
      <c r="W698" s="239"/>
      <c r="X698" s="239"/>
      <c r="Y698" s="239"/>
      <c r="Z698" s="239"/>
      <c r="AA698" s="239"/>
      <c r="AB698" s="239"/>
      <c r="AC698" s="239"/>
      <c r="AD698" s="245"/>
      <c r="AE698" s="239"/>
      <c r="AF698" s="239"/>
      <c r="AG698" s="239"/>
      <c r="AH698" s="239"/>
      <c r="AI698" s="239"/>
      <c r="AJ698" s="239"/>
      <c r="AK698" s="239"/>
      <c r="AL698" s="239"/>
      <c r="AM698" s="245"/>
      <c r="AN698" s="239"/>
      <c r="AO698" s="239"/>
      <c r="AP698" s="239"/>
      <c r="AQ698" s="306"/>
      <c r="AR698" s="239"/>
      <c r="AS698" s="239"/>
      <c r="AT698" s="239"/>
      <c r="AU698" s="239"/>
    </row>
    <row r="699" spans="1:47" x14ac:dyDescent="0.35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306"/>
      <c r="W699" s="239"/>
      <c r="X699" s="239"/>
      <c r="Y699" s="239"/>
      <c r="Z699" s="239"/>
      <c r="AA699" s="239"/>
      <c r="AB699" s="239"/>
      <c r="AC699" s="239"/>
      <c r="AD699" s="245"/>
      <c r="AE699" s="239"/>
      <c r="AF699" s="239"/>
      <c r="AG699" s="239"/>
      <c r="AH699" s="239"/>
      <c r="AI699" s="239"/>
      <c r="AJ699" s="239"/>
      <c r="AK699" s="239"/>
      <c r="AL699" s="239"/>
      <c r="AM699" s="245"/>
      <c r="AN699" s="239"/>
      <c r="AO699" s="239"/>
      <c r="AP699" s="239"/>
      <c r="AQ699" s="306"/>
      <c r="AR699" s="239"/>
      <c r="AS699" s="239"/>
      <c r="AT699" s="239"/>
      <c r="AU699" s="239"/>
    </row>
    <row r="700" spans="1:47" x14ac:dyDescent="0.35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306"/>
      <c r="W700" s="239"/>
      <c r="X700" s="239"/>
      <c r="Y700" s="239"/>
      <c r="Z700" s="239"/>
      <c r="AA700" s="239"/>
      <c r="AB700" s="239"/>
      <c r="AC700" s="239"/>
      <c r="AD700" s="245"/>
      <c r="AE700" s="239"/>
      <c r="AF700" s="239"/>
      <c r="AG700" s="239"/>
      <c r="AH700" s="239"/>
      <c r="AI700" s="239"/>
      <c r="AJ700" s="239"/>
      <c r="AK700" s="239"/>
      <c r="AL700" s="239"/>
      <c r="AM700" s="245"/>
      <c r="AN700" s="239"/>
      <c r="AO700" s="239"/>
      <c r="AP700" s="239"/>
      <c r="AQ700" s="306"/>
      <c r="AR700" s="239"/>
      <c r="AS700" s="239"/>
      <c r="AT700" s="239"/>
      <c r="AU700" s="239"/>
    </row>
    <row r="701" spans="1:47" x14ac:dyDescent="0.35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306"/>
      <c r="W701" s="239"/>
      <c r="X701" s="239"/>
      <c r="Y701" s="239"/>
      <c r="Z701" s="239"/>
      <c r="AA701" s="239"/>
      <c r="AB701" s="239"/>
      <c r="AC701" s="239"/>
      <c r="AD701" s="245"/>
      <c r="AE701" s="239"/>
      <c r="AF701" s="239"/>
      <c r="AG701" s="239"/>
      <c r="AH701" s="239"/>
      <c r="AI701" s="239"/>
      <c r="AJ701" s="239"/>
      <c r="AK701" s="239"/>
      <c r="AL701" s="239"/>
      <c r="AM701" s="245"/>
      <c r="AN701" s="239"/>
      <c r="AO701" s="239"/>
      <c r="AP701" s="239"/>
      <c r="AQ701" s="306"/>
      <c r="AR701" s="239"/>
      <c r="AS701" s="239"/>
      <c r="AT701" s="239"/>
      <c r="AU701" s="239"/>
    </row>
    <row r="702" spans="1:47" x14ac:dyDescent="0.35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306"/>
      <c r="W702" s="239"/>
      <c r="X702" s="239"/>
      <c r="Y702" s="239"/>
      <c r="Z702" s="239"/>
      <c r="AA702" s="239"/>
      <c r="AB702" s="239"/>
      <c r="AC702" s="239"/>
      <c r="AD702" s="245"/>
      <c r="AE702" s="239"/>
      <c r="AF702" s="239"/>
      <c r="AG702" s="239"/>
      <c r="AH702" s="239"/>
      <c r="AI702" s="239"/>
      <c r="AJ702" s="239"/>
      <c r="AK702" s="239"/>
      <c r="AL702" s="239"/>
      <c r="AM702" s="245"/>
      <c r="AN702" s="239"/>
      <c r="AO702" s="239"/>
      <c r="AP702" s="239"/>
      <c r="AQ702" s="306"/>
      <c r="AR702" s="239"/>
      <c r="AS702" s="239"/>
      <c r="AT702" s="239"/>
      <c r="AU702" s="239"/>
    </row>
    <row r="703" spans="1:47" x14ac:dyDescent="0.35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306"/>
      <c r="W703" s="239"/>
      <c r="X703" s="239"/>
      <c r="Y703" s="239"/>
      <c r="Z703" s="239"/>
      <c r="AA703" s="239"/>
      <c r="AB703" s="239"/>
      <c r="AC703" s="239"/>
      <c r="AD703" s="245"/>
      <c r="AE703" s="239"/>
      <c r="AF703" s="239"/>
      <c r="AG703" s="239"/>
      <c r="AH703" s="239"/>
      <c r="AI703" s="239"/>
      <c r="AJ703" s="239"/>
      <c r="AK703" s="239"/>
      <c r="AL703" s="239"/>
      <c r="AM703" s="245"/>
      <c r="AN703" s="239"/>
      <c r="AO703" s="239"/>
      <c r="AP703" s="239"/>
      <c r="AQ703" s="306"/>
      <c r="AR703" s="239"/>
      <c r="AS703" s="239"/>
      <c r="AT703" s="239"/>
      <c r="AU703" s="239"/>
    </row>
    <row r="704" spans="1:47" x14ac:dyDescent="0.35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306"/>
      <c r="W704" s="239"/>
      <c r="X704" s="239"/>
      <c r="Y704" s="239"/>
      <c r="Z704" s="239"/>
      <c r="AA704" s="239"/>
      <c r="AB704" s="239"/>
      <c r="AC704" s="239"/>
      <c r="AD704" s="245"/>
      <c r="AE704" s="239"/>
      <c r="AF704" s="239"/>
      <c r="AG704" s="239"/>
      <c r="AH704" s="239"/>
      <c r="AI704" s="239"/>
      <c r="AJ704" s="239"/>
      <c r="AK704" s="239"/>
      <c r="AL704" s="239"/>
      <c r="AM704" s="245"/>
      <c r="AN704" s="239"/>
      <c r="AO704" s="239"/>
      <c r="AP704" s="239"/>
      <c r="AQ704" s="306"/>
      <c r="AR704" s="239"/>
      <c r="AS704" s="239"/>
      <c r="AT704" s="239"/>
      <c r="AU704" s="239"/>
    </row>
    <row r="705" spans="1:47" x14ac:dyDescent="0.35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306"/>
      <c r="W705" s="239"/>
      <c r="X705" s="239"/>
      <c r="Y705" s="239"/>
      <c r="Z705" s="239"/>
      <c r="AA705" s="239"/>
      <c r="AB705" s="239"/>
      <c r="AC705" s="239"/>
      <c r="AD705" s="245"/>
      <c r="AE705" s="239"/>
      <c r="AF705" s="239"/>
      <c r="AG705" s="239"/>
      <c r="AH705" s="239"/>
      <c r="AI705" s="239"/>
      <c r="AJ705" s="239"/>
      <c r="AK705" s="239"/>
      <c r="AL705" s="239"/>
      <c r="AM705" s="245"/>
      <c r="AN705" s="239"/>
      <c r="AO705" s="239"/>
      <c r="AP705" s="239"/>
      <c r="AQ705" s="306"/>
      <c r="AR705" s="239"/>
      <c r="AS705" s="239"/>
      <c r="AT705" s="239"/>
      <c r="AU705" s="239"/>
    </row>
    <row r="706" spans="1:47" x14ac:dyDescent="0.35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306"/>
      <c r="W706" s="239"/>
      <c r="X706" s="239"/>
      <c r="Y706" s="239"/>
      <c r="Z706" s="239"/>
      <c r="AA706" s="239"/>
      <c r="AB706" s="239"/>
      <c r="AC706" s="239"/>
      <c r="AD706" s="245"/>
      <c r="AE706" s="239"/>
      <c r="AF706" s="239"/>
      <c r="AG706" s="239"/>
      <c r="AH706" s="239"/>
      <c r="AI706" s="239"/>
      <c r="AJ706" s="239"/>
      <c r="AK706" s="239"/>
      <c r="AL706" s="239"/>
      <c r="AM706" s="245"/>
      <c r="AN706" s="239"/>
      <c r="AO706" s="239"/>
      <c r="AP706" s="239"/>
      <c r="AQ706" s="306"/>
      <c r="AR706" s="239"/>
      <c r="AS706" s="239"/>
      <c r="AT706" s="239"/>
      <c r="AU706" s="239"/>
    </row>
    <row r="707" spans="1:47" x14ac:dyDescent="0.35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306"/>
      <c r="W707" s="239"/>
      <c r="X707" s="239"/>
      <c r="Y707" s="239"/>
      <c r="Z707" s="239"/>
      <c r="AA707" s="239"/>
      <c r="AB707" s="239"/>
      <c r="AC707" s="239"/>
      <c r="AD707" s="245"/>
      <c r="AE707" s="239"/>
      <c r="AF707" s="239"/>
      <c r="AG707" s="239"/>
      <c r="AH707" s="239"/>
      <c r="AI707" s="239"/>
      <c r="AJ707" s="239"/>
      <c r="AK707" s="239"/>
      <c r="AL707" s="239"/>
      <c r="AM707" s="245"/>
      <c r="AN707" s="239"/>
      <c r="AO707" s="239"/>
      <c r="AP707" s="239"/>
      <c r="AQ707" s="306"/>
      <c r="AR707" s="239"/>
      <c r="AS707" s="239"/>
      <c r="AT707" s="239"/>
      <c r="AU707" s="239"/>
    </row>
    <row r="708" spans="1:47" x14ac:dyDescent="0.35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306"/>
      <c r="W708" s="239"/>
      <c r="X708" s="239"/>
      <c r="Y708" s="239"/>
      <c r="Z708" s="239"/>
      <c r="AA708" s="239"/>
      <c r="AB708" s="239"/>
      <c r="AC708" s="239"/>
      <c r="AD708" s="245"/>
      <c r="AE708" s="239"/>
      <c r="AF708" s="239"/>
      <c r="AG708" s="239"/>
      <c r="AH708" s="239"/>
      <c r="AI708" s="239"/>
      <c r="AJ708" s="239"/>
      <c r="AK708" s="239"/>
      <c r="AL708" s="239"/>
      <c r="AM708" s="245"/>
      <c r="AN708" s="239"/>
      <c r="AO708" s="239"/>
      <c r="AP708" s="239"/>
      <c r="AQ708" s="306"/>
      <c r="AR708" s="239"/>
      <c r="AS708" s="239"/>
      <c r="AT708" s="239"/>
      <c r="AU708" s="239"/>
    </row>
    <row r="709" spans="1:47" x14ac:dyDescent="0.35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306"/>
      <c r="W709" s="239"/>
      <c r="X709" s="239"/>
      <c r="Y709" s="239"/>
      <c r="Z709" s="239"/>
      <c r="AA709" s="239"/>
      <c r="AB709" s="239"/>
      <c r="AC709" s="239"/>
      <c r="AD709" s="245"/>
      <c r="AE709" s="239"/>
      <c r="AF709" s="239"/>
      <c r="AG709" s="239"/>
      <c r="AH709" s="239"/>
      <c r="AI709" s="239"/>
      <c r="AJ709" s="239"/>
      <c r="AK709" s="239"/>
      <c r="AL709" s="239"/>
      <c r="AM709" s="245"/>
      <c r="AN709" s="239"/>
      <c r="AO709" s="239"/>
      <c r="AP709" s="239"/>
      <c r="AQ709" s="306"/>
      <c r="AR709" s="239"/>
      <c r="AS709" s="239"/>
      <c r="AT709" s="239"/>
      <c r="AU709" s="239"/>
    </row>
    <row r="710" spans="1:47" x14ac:dyDescent="0.35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306"/>
      <c r="W710" s="239"/>
      <c r="X710" s="239"/>
      <c r="Y710" s="239"/>
      <c r="Z710" s="239"/>
      <c r="AA710" s="239"/>
      <c r="AB710" s="239"/>
      <c r="AC710" s="239"/>
      <c r="AD710" s="245"/>
      <c r="AE710" s="239"/>
      <c r="AF710" s="239"/>
      <c r="AG710" s="239"/>
      <c r="AH710" s="239"/>
      <c r="AI710" s="239"/>
      <c r="AJ710" s="239"/>
      <c r="AK710" s="239"/>
      <c r="AL710" s="239"/>
      <c r="AM710" s="245"/>
      <c r="AN710" s="239"/>
      <c r="AO710" s="239"/>
      <c r="AP710" s="239"/>
      <c r="AQ710" s="306"/>
      <c r="AR710" s="239"/>
      <c r="AS710" s="239"/>
      <c r="AT710" s="239"/>
      <c r="AU710" s="239"/>
    </row>
    <row r="711" spans="1:47" x14ac:dyDescent="0.35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306"/>
      <c r="W711" s="239"/>
      <c r="X711" s="239"/>
      <c r="Y711" s="239"/>
      <c r="Z711" s="239"/>
      <c r="AA711" s="239"/>
      <c r="AB711" s="239"/>
      <c r="AC711" s="239"/>
      <c r="AD711" s="245"/>
      <c r="AE711" s="239"/>
      <c r="AF711" s="239"/>
      <c r="AG711" s="239"/>
      <c r="AH711" s="239"/>
      <c r="AI711" s="239"/>
      <c r="AJ711" s="239"/>
      <c r="AK711" s="239"/>
      <c r="AL711" s="239"/>
      <c r="AM711" s="245"/>
      <c r="AN711" s="239"/>
      <c r="AO711" s="239"/>
      <c r="AP711" s="239"/>
      <c r="AQ711" s="306"/>
      <c r="AR711" s="239"/>
      <c r="AS711" s="239"/>
      <c r="AT711" s="239"/>
      <c r="AU711" s="239"/>
    </row>
    <row r="712" spans="1:47" x14ac:dyDescent="0.35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306"/>
      <c r="W712" s="239"/>
      <c r="X712" s="239"/>
      <c r="Y712" s="239"/>
      <c r="Z712" s="239"/>
      <c r="AA712" s="239"/>
      <c r="AB712" s="239"/>
      <c r="AC712" s="239"/>
      <c r="AD712" s="245"/>
      <c r="AE712" s="239"/>
      <c r="AF712" s="239"/>
      <c r="AG712" s="239"/>
      <c r="AH712" s="239"/>
      <c r="AI712" s="239"/>
      <c r="AJ712" s="239"/>
      <c r="AK712" s="239"/>
      <c r="AL712" s="239"/>
      <c r="AM712" s="245"/>
      <c r="AN712" s="239"/>
      <c r="AO712" s="239"/>
      <c r="AP712" s="239"/>
      <c r="AQ712" s="306"/>
      <c r="AR712" s="239"/>
      <c r="AS712" s="239"/>
      <c r="AT712" s="239"/>
      <c r="AU712" s="239"/>
    </row>
    <row r="713" spans="1:47" x14ac:dyDescent="0.35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306"/>
      <c r="W713" s="239"/>
      <c r="X713" s="239"/>
      <c r="Y713" s="239"/>
      <c r="Z713" s="239"/>
      <c r="AA713" s="239"/>
      <c r="AB713" s="239"/>
      <c r="AC713" s="239"/>
      <c r="AD713" s="245"/>
      <c r="AE713" s="239"/>
      <c r="AF713" s="239"/>
      <c r="AG713" s="239"/>
      <c r="AH713" s="239"/>
      <c r="AI713" s="239"/>
      <c r="AJ713" s="239"/>
      <c r="AK713" s="239"/>
      <c r="AL713" s="239"/>
      <c r="AM713" s="245"/>
      <c r="AN713" s="239"/>
      <c r="AO713" s="239"/>
      <c r="AP713" s="239"/>
      <c r="AQ713" s="306"/>
      <c r="AR713" s="239"/>
      <c r="AS713" s="239"/>
      <c r="AT713" s="239"/>
      <c r="AU713" s="239"/>
    </row>
    <row r="714" spans="1:47" x14ac:dyDescent="0.35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306"/>
      <c r="W714" s="239"/>
      <c r="X714" s="239"/>
      <c r="Y714" s="239"/>
      <c r="Z714" s="239"/>
      <c r="AA714" s="239"/>
      <c r="AB714" s="239"/>
      <c r="AC714" s="239"/>
      <c r="AD714" s="245"/>
      <c r="AE714" s="239"/>
      <c r="AF714" s="239"/>
      <c r="AG714" s="239"/>
      <c r="AH714" s="239"/>
      <c r="AI714" s="239"/>
      <c r="AJ714" s="239"/>
      <c r="AK714" s="239"/>
      <c r="AL714" s="239"/>
      <c r="AM714" s="245"/>
      <c r="AN714" s="239"/>
      <c r="AO714" s="239"/>
      <c r="AP714" s="239"/>
      <c r="AQ714" s="306"/>
      <c r="AR714" s="239"/>
      <c r="AS714" s="239"/>
      <c r="AT714" s="239"/>
      <c r="AU714" s="239"/>
    </row>
    <row r="715" spans="1:47" x14ac:dyDescent="0.35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306"/>
      <c r="W715" s="239"/>
      <c r="X715" s="239"/>
      <c r="Y715" s="239"/>
      <c r="Z715" s="239"/>
      <c r="AA715" s="239"/>
      <c r="AB715" s="239"/>
      <c r="AC715" s="239"/>
      <c r="AD715" s="245"/>
      <c r="AE715" s="239"/>
      <c r="AF715" s="239"/>
      <c r="AG715" s="239"/>
      <c r="AH715" s="239"/>
      <c r="AI715" s="239"/>
      <c r="AJ715" s="239"/>
      <c r="AK715" s="239"/>
      <c r="AL715" s="239"/>
      <c r="AM715" s="245"/>
      <c r="AN715" s="239"/>
      <c r="AO715" s="239"/>
      <c r="AP715" s="239"/>
      <c r="AQ715" s="306"/>
      <c r="AR715" s="239"/>
      <c r="AS715" s="239"/>
      <c r="AT715" s="239"/>
      <c r="AU715" s="239"/>
    </row>
    <row r="716" spans="1:47" x14ac:dyDescent="0.35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306"/>
      <c r="W716" s="239"/>
      <c r="X716" s="239"/>
      <c r="Y716" s="239"/>
      <c r="Z716" s="239"/>
      <c r="AA716" s="239"/>
      <c r="AB716" s="239"/>
      <c r="AC716" s="239"/>
      <c r="AD716" s="245"/>
      <c r="AE716" s="239"/>
      <c r="AF716" s="239"/>
      <c r="AG716" s="239"/>
      <c r="AH716" s="239"/>
      <c r="AI716" s="239"/>
      <c r="AJ716" s="239"/>
      <c r="AK716" s="239"/>
      <c r="AL716" s="239"/>
      <c r="AM716" s="245"/>
      <c r="AN716" s="239"/>
      <c r="AO716" s="239"/>
      <c r="AP716" s="239"/>
      <c r="AQ716" s="306"/>
      <c r="AR716" s="239"/>
      <c r="AS716" s="239"/>
      <c r="AT716" s="239"/>
      <c r="AU716" s="239"/>
    </row>
    <row r="717" spans="1:47" x14ac:dyDescent="0.35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306"/>
      <c r="W717" s="239"/>
      <c r="X717" s="239"/>
      <c r="Y717" s="239"/>
      <c r="Z717" s="239"/>
      <c r="AA717" s="239"/>
      <c r="AB717" s="239"/>
      <c r="AC717" s="239"/>
      <c r="AD717" s="245"/>
      <c r="AE717" s="239"/>
      <c r="AF717" s="239"/>
      <c r="AG717" s="239"/>
      <c r="AH717" s="239"/>
      <c r="AI717" s="239"/>
      <c r="AJ717" s="239"/>
      <c r="AK717" s="239"/>
      <c r="AL717" s="239"/>
      <c r="AM717" s="245"/>
      <c r="AN717" s="239"/>
      <c r="AO717" s="239"/>
      <c r="AP717" s="239"/>
      <c r="AQ717" s="306"/>
      <c r="AR717" s="239"/>
      <c r="AS717" s="239"/>
      <c r="AT717" s="239"/>
      <c r="AU717" s="239"/>
    </row>
    <row r="718" spans="1:47" x14ac:dyDescent="0.35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306"/>
      <c r="W718" s="239"/>
      <c r="X718" s="239"/>
      <c r="Y718" s="239"/>
      <c r="Z718" s="239"/>
      <c r="AA718" s="239"/>
      <c r="AB718" s="239"/>
      <c r="AC718" s="239"/>
      <c r="AD718" s="245"/>
      <c r="AE718" s="239"/>
      <c r="AF718" s="239"/>
      <c r="AG718" s="239"/>
      <c r="AH718" s="239"/>
      <c r="AI718" s="239"/>
      <c r="AJ718" s="239"/>
      <c r="AK718" s="239"/>
      <c r="AL718" s="239"/>
      <c r="AM718" s="245"/>
      <c r="AN718" s="239"/>
      <c r="AO718" s="239"/>
      <c r="AP718" s="239"/>
      <c r="AQ718" s="306"/>
      <c r="AR718" s="239"/>
      <c r="AS718" s="239"/>
      <c r="AT718" s="239"/>
      <c r="AU718" s="239"/>
    </row>
    <row r="719" spans="1:47" x14ac:dyDescent="0.35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306"/>
      <c r="W719" s="239"/>
      <c r="X719" s="239"/>
      <c r="Y719" s="239"/>
      <c r="Z719" s="239"/>
      <c r="AA719" s="239"/>
      <c r="AB719" s="239"/>
      <c r="AC719" s="239"/>
      <c r="AD719" s="245"/>
      <c r="AE719" s="239"/>
      <c r="AF719" s="239"/>
      <c r="AG719" s="239"/>
      <c r="AH719" s="239"/>
      <c r="AI719" s="239"/>
      <c r="AJ719" s="239"/>
      <c r="AK719" s="239"/>
      <c r="AL719" s="239"/>
      <c r="AM719" s="245"/>
      <c r="AN719" s="239"/>
      <c r="AO719" s="239"/>
      <c r="AP719" s="239"/>
      <c r="AQ719" s="306"/>
      <c r="AR719" s="239"/>
      <c r="AS719" s="239"/>
      <c r="AT719" s="239"/>
      <c r="AU719" s="239"/>
    </row>
    <row r="720" spans="1:47" x14ac:dyDescent="0.35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306"/>
      <c r="W720" s="239"/>
      <c r="X720" s="239"/>
      <c r="Y720" s="239"/>
      <c r="Z720" s="239"/>
      <c r="AA720" s="239"/>
      <c r="AB720" s="239"/>
      <c r="AC720" s="239"/>
      <c r="AD720" s="245"/>
      <c r="AE720" s="239"/>
      <c r="AF720" s="239"/>
      <c r="AG720" s="239"/>
      <c r="AH720" s="239"/>
      <c r="AI720" s="239"/>
      <c r="AJ720" s="239"/>
      <c r="AK720" s="239"/>
      <c r="AL720" s="239"/>
      <c r="AM720" s="245"/>
      <c r="AN720" s="239"/>
      <c r="AO720" s="239"/>
      <c r="AP720" s="239"/>
      <c r="AQ720" s="306"/>
      <c r="AR720" s="239"/>
      <c r="AS720" s="239"/>
      <c r="AT720" s="239"/>
      <c r="AU720" s="239"/>
    </row>
    <row r="721" spans="1:47" x14ac:dyDescent="0.35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306"/>
      <c r="W721" s="239"/>
      <c r="X721" s="239"/>
      <c r="Y721" s="239"/>
      <c r="Z721" s="239"/>
      <c r="AA721" s="239"/>
      <c r="AB721" s="239"/>
      <c r="AC721" s="239"/>
      <c r="AD721" s="245"/>
      <c r="AE721" s="239"/>
      <c r="AF721" s="239"/>
      <c r="AG721" s="239"/>
      <c r="AH721" s="239"/>
      <c r="AI721" s="239"/>
      <c r="AJ721" s="239"/>
      <c r="AK721" s="239"/>
      <c r="AL721" s="239"/>
      <c r="AM721" s="245"/>
      <c r="AN721" s="239"/>
      <c r="AO721" s="239"/>
      <c r="AP721" s="239"/>
      <c r="AQ721" s="306"/>
      <c r="AR721" s="239"/>
      <c r="AS721" s="239"/>
      <c r="AT721" s="239"/>
      <c r="AU721" s="239"/>
    </row>
    <row r="722" spans="1:47" x14ac:dyDescent="0.35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306"/>
      <c r="W722" s="239"/>
      <c r="X722" s="239"/>
      <c r="Y722" s="239"/>
      <c r="Z722" s="239"/>
      <c r="AA722" s="239"/>
      <c r="AB722" s="239"/>
      <c r="AC722" s="239"/>
      <c r="AD722" s="245"/>
      <c r="AE722" s="239"/>
      <c r="AF722" s="239"/>
      <c r="AG722" s="239"/>
      <c r="AH722" s="239"/>
      <c r="AI722" s="239"/>
      <c r="AJ722" s="239"/>
      <c r="AK722" s="239"/>
      <c r="AL722" s="239"/>
      <c r="AM722" s="245"/>
      <c r="AN722" s="239"/>
      <c r="AO722" s="239"/>
      <c r="AP722" s="239"/>
      <c r="AQ722" s="306"/>
      <c r="AR722" s="239"/>
      <c r="AS722" s="239"/>
      <c r="AT722" s="239"/>
      <c r="AU722" s="239"/>
    </row>
    <row r="723" spans="1:47" x14ac:dyDescent="0.35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306"/>
      <c r="W723" s="239"/>
      <c r="X723" s="239"/>
      <c r="Y723" s="239"/>
      <c r="Z723" s="239"/>
      <c r="AA723" s="239"/>
      <c r="AB723" s="239"/>
      <c r="AC723" s="239"/>
      <c r="AD723" s="245"/>
      <c r="AE723" s="239"/>
      <c r="AF723" s="239"/>
      <c r="AG723" s="239"/>
      <c r="AH723" s="239"/>
      <c r="AI723" s="239"/>
      <c r="AJ723" s="239"/>
      <c r="AK723" s="239"/>
      <c r="AL723" s="239"/>
      <c r="AM723" s="245"/>
      <c r="AN723" s="239"/>
      <c r="AO723" s="239"/>
      <c r="AP723" s="239"/>
      <c r="AQ723" s="306"/>
      <c r="AR723" s="239"/>
      <c r="AS723" s="239"/>
      <c r="AT723" s="239"/>
      <c r="AU723" s="239"/>
    </row>
    <row r="724" spans="1:47" x14ac:dyDescent="0.35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306"/>
      <c r="W724" s="239"/>
      <c r="X724" s="239"/>
      <c r="Y724" s="239"/>
      <c r="Z724" s="239"/>
      <c r="AA724" s="239"/>
      <c r="AB724" s="239"/>
      <c r="AC724" s="239"/>
      <c r="AD724" s="245"/>
      <c r="AE724" s="239"/>
      <c r="AF724" s="239"/>
      <c r="AG724" s="239"/>
      <c r="AH724" s="239"/>
      <c r="AI724" s="239"/>
      <c r="AJ724" s="239"/>
      <c r="AK724" s="239"/>
      <c r="AL724" s="239"/>
      <c r="AM724" s="245"/>
      <c r="AN724" s="239"/>
      <c r="AO724" s="239"/>
      <c r="AP724" s="239"/>
      <c r="AQ724" s="306"/>
      <c r="AR724" s="239"/>
      <c r="AS724" s="239"/>
      <c r="AT724" s="239"/>
      <c r="AU724" s="239"/>
    </row>
    <row r="725" spans="1:47" x14ac:dyDescent="0.35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306"/>
      <c r="W725" s="239"/>
      <c r="X725" s="239"/>
      <c r="Y725" s="239"/>
      <c r="Z725" s="239"/>
      <c r="AA725" s="239"/>
      <c r="AB725" s="239"/>
      <c r="AC725" s="239"/>
      <c r="AD725" s="245"/>
      <c r="AE725" s="239"/>
      <c r="AF725" s="239"/>
      <c r="AG725" s="239"/>
      <c r="AH725" s="239"/>
      <c r="AI725" s="239"/>
      <c r="AJ725" s="239"/>
      <c r="AK725" s="239"/>
      <c r="AL725" s="239"/>
      <c r="AM725" s="245"/>
      <c r="AN725" s="239"/>
      <c r="AO725" s="239"/>
      <c r="AP725" s="239"/>
      <c r="AQ725" s="306"/>
      <c r="AR725" s="239"/>
      <c r="AS725" s="239"/>
      <c r="AT725" s="239"/>
      <c r="AU725" s="239"/>
    </row>
    <row r="726" spans="1:47" x14ac:dyDescent="0.35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306"/>
      <c r="W726" s="239"/>
      <c r="X726" s="239"/>
      <c r="Y726" s="239"/>
      <c r="Z726" s="239"/>
      <c r="AA726" s="239"/>
      <c r="AB726" s="239"/>
      <c r="AC726" s="239"/>
      <c r="AD726" s="245"/>
      <c r="AE726" s="239"/>
      <c r="AF726" s="239"/>
      <c r="AG726" s="239"/>
      <c r="AH726" s="239"/>
      <c r="AI726" s="239"/>
      <c r="AJ726" s="239"/>
      <c r="AK726" s="239"/>
      <c r="AL726" s="239"/>
      <c r="AM726" s="245"/>
      <c r="AN726" s="239"/>
      <c r="AO726" s="239"/>
      <c r="AP726" s="239"/>
      <c r="AQ726" s="306"/>
      <c r="AR726" s="239"/>
      <c r="AS726" s="239"/>
      <c r="AT726" s="239"/>
      <c r="AU726" s="239"/>
    </row>
    <row r="727" spans="1:47" x14ac:dyDescent="0.35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306"/>
      <c r="W727" s="239"/>
      <c r="X727" s="239"/>
      <c r="Y727" s="239"/>
      <c r="Z727" s="239"/>
      <c r="AA727" s="239"/>
      <c r="AB727" s="239"/>
      <c r="AC727" s="239"/>
      <c r="AD727" s="245"/>
      <c r="AE727" s="239"/>
      <c r="AF727" s="239"/>
      <c r="AG727" s="239"/>
      <c r="AH727" s="239"/>
      <c r="AI727" s="239"/>
      <c r="AJ727" s="239"/>
      <c r="AK727" s="239"/>
      <c r="AL727" s="239"/>
      <c r="AM727" s="245"/>
      <c r="AN727" s="239"/>
      <c r="AO727" s="239"/>
      <c r="AP727" s="239"/>
      <c r="AQ727" s="306"/>
      <c r="AR727" s="239"/>
      <c r="AS727" s="239"/>
      <c r="AT727" s="239"/>
      <c r="AU727" s="239"/>
    </row>
    <row r="728" spans="1:47" x14ac:dyDescent="0.35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306"/>
      <c r="W728" s="239"/>
      <c r="X728" s="239"/>
      <c r="Y728" s="239"/>
      <c r="Z728" s="239"/>
      <c r="AA728" s="239"/>
      <c r="AB728" s="239"/>
      <c r="AC728" s="239"/>
      <c r="AD728" s="245"/>
      <c r="AE728" s="239"/>
      <c r="AF728" s="239"/>
      <c r="AG728" s="239"/>
      <c r="AH728" s="239"/>
      <c r="AI728" s="239"/>
      <c r="AJ728" s="239"/>
      <c r="AK728" s="239"/>
      <c r="AL728" s="239"/>
      <c r="AM728" s="245"/>
      <c r="AN728" s="239"/>
      <c r="AO728" s="239"/>
      <c r="AP728" s="239"/>
      <c r="AQ728" s="306"/>
      <c r="AR728" s="239"/>
      <c r="AS728" s="239"/>
      <c r="AT728" s="239"/>
      <c r="AU728" s="239"/>
    </row>
    <row r="729" spans="1:47" x14ac:dyDescent="0.35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306"/>
      <c r="W729" s="239"/>
      <c r="X729" s="239"/>
      <c r="Y729" s="239"/>
      <c r="Z729" s="239"/>
      <c r="AA729" s="239"/>
      <c r="AB729" s="239"/>
      <c r="AC729" s="239"/>
      <c r="AD729" s="245"/>
      <c r="AE729" s="239"/>
      <c r="AF729" s="239"/>
      <c r="AG729" s="239"/>
      <c r="AH729" s="239"/>
      <c r="AI729" s="239"/>
      <c r="AJ729" s="239"/>
      <c r="AK729" s="239"/>
      <c r="AL729" s="239"/>
      <c r="AM729" s="245"/>
      <c r="AN729" s="239"/>
      <c r="AO729" s="239"/>
      <c r="AP729" s="239"/>
      <c r="AQ729" s="306"/>
      <c r="AR729" s="239"/>
      <c r="AS729" s="239"/>
      <c r="AT729" s="239"/>
      <c r="AU729" s="239"/>
    </row>
    <row r="730" spans="1:47" x14ac:dyDescent="0.35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306"/>
      <c r="W730" s="239"/>
      <c r="X730" s="239"/>
      <c r="Y730" s="239"/>
      <c r="Z730" s="239"/>
      <c r="AA730" s="239"/>
      <c r="AB730" s="239"/>
      <c r="AC730" s="239"/>
      <c r="AD730" s="245"/>
      <c r="AE730" s="239"/>
      <c r="AF730" s="239"/>
      <c r="AG730" s="239"/>
      <c r="AH730" s="239"/>
      <c r="AI730" s="239"/>
      <c r="AJ730" s="239"/>
      <c r="AK730" s="239"/>
      <c r="AL730" s="239"/>
      <c r="AM730" s="245"/>
      <c r="AN730" s="239"/>
      <c r="AO730" s="239"/>
      <c r="AP730" s="239"/>
      <c r="AQ730" s="306"/>
      <c r="AR730" s="239"/>
      <c r="AS730" s="239"/>
      <c r="AT730" s="239"/>
      <c r="AU730" s="239"/>
    </row>
    <row r="731" spans="1:47" x14ac:dyDescent="0.35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306"/>
      <c r="W731" s="239"/>
      <c r="X731" s="239"/>
      <c r="Y731" s="239"/>
      <c r="Z731" s="239"/>
      <c r="AA731" s="239"/>
      <c r="AB731" s="239"/>
      <c r="AC731" s="239"/>
      <c r="AD731" s="245"/>
      <c r="AE731" s="239"/>
      <c r="AF731" s="239"/>
      <c r="AG731" s="239"/>
      <c r="AH731" s="239"/>
      <c r="AI731" s="239"/>
      <c r="AJ731" s="239"/>
      <c r="AK731" s="239"/>
      <c r="AL731" s="239"/>
      <c r="AM731" s="245"/>
      <c r="AN731" s="239"/>
      <c r="AO731" s="239"/>
      <c r="AP731" s="239"/>
      <c r="AQ731" s="306"/>
      <c r="AR731" s="239"/>
      <c r="AS731" s="239"/>
      <c r="AT731" s="239"/>
      <c r="AU731" s="239"/>
    </row>
    <row r="732" spans="1:47" x14ac:dyDescent="0.35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306"/>
      <c r="W732" s="239"/>
      <c r="X732" s="239"/>
      <c r="Y732" s="239"/>
      <c r="Z732" s="239"/>
      <c r="AA732" s="239"/>
      <c r="AB732" s="239"/>
      <c r="AC732" s="239"/>
      <c r="AD732" s="245"/>
      <c r="AE732" s="239"/>
      <c r="AF732" s="239"/>
      <c r="AG732" s="239"/>
      <c r="AH732" s="239"/>
      <c r="AI732" s="239"/>
      <c r="AJ732" s="239"/>
      <c r="AK732" s="239"/>
      <c r="AL732" s="239"/>
      <c r="AM732" s="245"/>
      <c r="AN732" s="239"/>
      <c r="AO732" s="239"/>
      <c r="AP732" s="239"/>
      <c r="AQ732" s="306"/>
      <c r="AR732" s="239"/>
      <c r="AS732" s="239"/>
      <c r="AT732" s="239"/>
      <c r="AU732" s="239"/>
    </row>
    <row r="733" spans="1:47" x14ac:dyDescent="0.35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306"/>
      <c r="W733" s="239"/>
      <c r="X733" s="239"/>
      <c r="Y733" s="239"/>
      <c r="Z733" s="239"/>
      <c r="AA733" s="239"/>
      <c r="AB733" s="239"/>
      <c r="AC733" s="239"/>
      <c r="AD733" s="245"/>
      <c r="AE733" s="239"/>
      <c r="AF733" s="239"/>
      <c r="AG733" s="239"/>
      <c r="AH733" s="239"/>
      <c r="AI733" s="239"/>
      <c r="AJ733" s="239"/>
      <c r="AK733" s="239"/>
      <c r="AL733" s="239"/>
      <c r="AM733" s="245"/>
      <c r="AN733" s="239"/>
      <c r="AO733" s="239"/>
      <c r="AP733" s="239"/>
      <c r="AQ733" s="306"/>
      <c r="AR733" s="239"/>
      <c r="AS733" s="239"/>
      <c r="AT733" s="239"/>
      <c r="AU733" s="239"/>
    </row>
    <row r="734" spans="1:47" x14ac:dyDescent="0.35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306"/>
      <c r="W734" s="239"/>
      <c r="X734" s="239"/>
      <c r="Y734" s="239"/>
      <c r="Z734" s="239"/>
      <c r="AA734" s="239"/>
      <c r="AB734" s="239"/>
      <c r="AC734" s="239"/>
      <c r="AD734" s="245"/>
      <c r="AE734" s="239"/>
      <c r="AF734" s="239"/>
      <c r="AG734" s="239"/>
      <c r="AH734" s="239"/>
      <c r="AI734" s="239"/>
      <c r="AJ734" s="239"/>
      <c r="AK734" s="239"/>
      <c r="AL734" s="239"/>
      <c r="AM734" s="245"/>
      <c r="AN734" s="239"/>
      <c r="AO734" s="239"/>
      <c r="AP734" s="239"/>
      <c r="AQ734" s="306"/>
      <c r="AR734" s="239"/>
      <c r="AS734" s="239"/>
      <c r="AT734" s="239"/>
      <c r="AU734" s="239"/>
    </row>
    <row r="735" spans="1:47" x14ac:dyDescent="0.35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306"/>
      <c r="W735" s="239"/>
      <c r="X735" s="239"/>
      <c r="Y735" s="239"/>
      <c r="Z735" s="239"/>
      <c r="AA735" s="239"/>
      <c r="AB735" s="239"/>
      <c r="AC735" s="239"/>
      <c r="AD735" s="245"/>
      <c r="AE735" s="239"/>
      <c r="AF735" s="239"/>
      <c r="AG735" s="239"/>
      <c r="AH735" s="239"/>
      <c r="AI735" s="239"/>
      <c r="AJ735" s="239"/>
      <c r="AK735" s="239"/>
      <c r="AL735" s="239"/>
      <c r="AM735" s="245"/>
      <c r="AN735" s="239"/>
      <c r="AO735" s="239"/>
      <c r="AP735" s="239"/>
      <c r="AQ735" s="306"/>
      <c r="AR735" s="239"/>
      <c r="AS735" s="239"/>
      <c r="AT735" s="239"/>
      <c r="AU735" s="239"/>
    </row>
    <row r="736" spans="1:47" x14ac:dyDescent="0.35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306"/>
      <c r="W736" s="239"/>
      <c r="X736" s="239"/>
      <c r="Y736" s="239"/>
      <c r="Z736" s="239"/>
      <c r="AA736" s="239"/>
      <c r="AB736" s="239"/>
      <c r="AC736" s="239"/>
      <c r="AD736" s="245"/>
      <c r="AE736" s="239"/>
      <c r="AF736" s="239"/>
      <c r="AG736" s="239"/>
      <c r="AH736" s="239"/>
      <c r="AI736" s="239"/>
      <c r="AJ736" s="239"/>
      <c r="AK736" s="239"/>
      <c r="AL736" s="239"/>
      <c r="AM736" s="245"/>
      <c r="AN736" s="239"/>
      <c r="AO736" s="239"/>
      <c r="AP736" s="239"/>
      <c r="AQ736" s="306"/>
      <c r="AR736" s="239"/>
      <c r="AS736" s="239"/>
      <c r="AT736" s="239"/>
      <c r="AU736" s="239"/>
    </row>
    <row r="737" spans="1:47" x14ac:dyDescent="0.35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306"/>
      <c r="W737" s="239"/>
      <c r="X737" s="239"/>
      <c r="Y737" s="239"/>
      <c r="Z737" s="239"/>
      <c r="AA737" s="239"/>
      <c r="AB737" s="239"/>
      <c r="AC737" s="239"/>
      <c r="AD737" s="245"/>
      <c r="AE737" s="239"/>
      <c r="AF737" s="239"/>
      <c r="AG737" s="239"/>
      <c r="AH737" s="239"/>
      <c r="AI737" s="239"/>
      <c r="AJ737" s="239"/>
      <c r="AK737" s="239"/>
      <c r="AL737" s="239"/>
      <c r="AM737" s="245"/>
      <c r="AN737" s="239"/>
      <c r="AO737" s="239"/>
      <c r="AP737" s="239"/>
      <c r="AQ737" s="306"/>
      <c r="AR737" s="239"/>
      <c r="AS737" s="239"/>
      <c r="AT737" s="239"/>
      <c r="AU737" s="239"/>
    </row>
    <row r="738" spans="1:47" x14ac:dyDescent="0.35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306"/>
      <c r="W738" s="239"/>
      <c r="X738" s="239"/>
      <c r="Y738" s="239"/>
      <c r="Z738" s="239"/>
      <c r="AA738" s="239"/>
      <c r="AB738" s="239"/>
      <c r="AC738" s="239"/>
      <c r="AD738" s="245"/>
      <c r="AE738" s="239"/>
      <c r="AF738" s="239"/>
      <c r="AG738" s="239"/>
      <c r="AH738" s="239"/>
      <c r="AI738" s="239"/>
      <c r="AJ738" s="239"/>
      <c r="AK738" s="239"/>
      <c r="AL738" s="239"/>
      <c r="AM738" s="245"/>
      <c r="AN738" s="239"/>
      <c r="AO738" s="239"/>
      <c r="AP738" s="239"/>
      <c r="AQ738" s="306"/>
      <c r="AR738" s="239"/>
      <c r="AS738" s="239"/>
      <c r="AT738" s="239"/>
      <c r="AU738" s="239"/>
    </row>
    <row r="739" spans="1:47" x14ac:dyDescent="0.35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306"/>
      <c r="W739" s="239"/>
      <c r="X739" s="239"/>
      <c r="Y739" s="239"/>
      <c r="Z739" s="239"/>
      <c r="AA739" s="239"/>
      <c r="AB739" s="239"/>
      <c r="AC739" s="239"/>
      <c r="AD739" s="245"/>
      <c r="AE739" s="239"/>
      <c r="AF739" s="239"/>
      <c r="AG739" s="239"/>
      <c r="AH739" s="239"/>
      <c r="AI739" s="239"/>
      <c r="AJ739" s="239"/>
      <c r="AK739" s="239"/>
      <c r="AL739" s="239"/>
      <c r="AM739" s="245"/>
      <c r="AN739" s="239"/>
      <c r="AO739" s="239"/>
      <c r="AP739" s="239"/>
      <c r="AQ739" s="306"/>
      <c r="AR739" s="239"/>
      <c r="AS739" s="239"/>
      <c r="AT739" s="239"/>
      <c r="AU739" s="239"/>
    </row>
    <row r="740" spans="1:47" x14ac:dyDescent="0.35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306"/>
      <c r="W740" s="239"/>
      <c r="X740" s="239"/>
      <c r="Y740" s="239"/>
      <c r="Z740" s="239"/>
      <c r="AA740" s="239"/>
      <c r="AB740" s="239"/>
      <c r="AC740" s="239"/>
      <c r="AD740" s="245"/>
      <c r="AE740" s="239"/>
      <c r="AF740" s="239"/>
      <c r="AG740" s="239"/>
      <c r="AH740" s="239"/>
      <c r="AI740" s="239"/>
      <c r="AJ740" s="239"/>
      <c r="AK740" s="239"/>
      <c r="AL740" s="239"/>
      <c r="AM740" s="245"/>
      <c r="AN740" s="239"/>
      <c r="AO740" s="239"/>
      <c r="AP740" s="239"/>
      <c r="AQ740" s="306"/>
      <c r="AR740" s="239"/>
      <c r="AS740" s="239"/>
      <c r="AT740" s="239"/>
      <c r="AU740" s="239"/>
    </row>
    <row r="741" spans="1:47" x14ac:dyDescent="0.35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306"/>
      <c r="W741" s="239"/>
      <c r="X741" s="239"/>
      <c r="Y741" s="239"/>
      <c r="Z741" s="239"/>
      <c r="AA741" s="239"/>
      <c r="AB741" s="239"/>
      <c r="AC741" s="239"/>
      <c r="AD741" s="245"/>
      <c r="AE741" s="239"/>
      <c r="AF741" s="239"/>
      <c r="AG741" s="239"/>
      <c r="AH741" s="239"/>
      <c r="AI741" s="239"/>
      <c r="AJ741" s="239"/>
      <c r="AK741" s="239"/>
      <c r="AL741" s="239"/>
      <c r="AM741" s="245"/>
      <c r="AN741" s="239"/>
      <c r="AO741" s="239"/>
      <c r="AP741" s="239"/>
      <c r="AQ741" s="306"/>
      <c r="AR741" s="239"/>
      <c r="AS741" s="239"/>
      <c r="AT741" s="239"/>
      <c r="AU741" s="239"/>
    </row>
    <row r="742" spans="1:47" x14ac:dyDescent="0.35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306"/>
      <c r="W742" s="239"/>
      <c r="X742" s="239"/>
      <c r="Y742" s="239"/>
      <c r="Z742" s="239"/>
      <c r="AA742" s="239"/>
      <c r="AB742" s="239"/>
      <c r="AC742" s="239"/>
      <c r="AD742" s="245"/>
      <c r="AE742" s="239"/>
      <c r="AF742" s="239"/>
      <c r="AG742" s="239"/>
      <c r="AH742" s="239"/>
      <c r="AI742" s="239"/>
      <c r="AJ742" s="239"/>
      <c r="AK742" s="239"/>
      <c r="AL742" s="239"/>
      <c r="AM742" s="245"/>
      <c r="AN742" s="239"/>
      <c r="AO742" s="239"/>
      <c r="AP742" s="239"/>
      <c r="AQ742" s="306"/>
      <c r="AR742" s="239"/>
      <c r="AS742" s="239"/>
      <c r="AT742" s="239"/>
      <c r="AU742" s="239"/>
    </row>
    <row r="743" spans="1:47" x14ac:dyDescent="0.35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306"/>
      <c r="W743" s="239"/>
      <c r="X743" s="239"/>
      <c r="Y743" s="239"/>
      <c r="Z743" s="239"/>
      <c r="AA743" s="239"/>
      <c r="AB743" s="239"/>
      <c r="AC743" s="239"/>
      <c r="AD743" s="245"/>
      <c r="AE743" s="239"/>
      <c r="AF743" s="239"/>
      <c r="AG743" s="239"/>
      <c r="AH743" s="239"/>
      <c r="AI743" s="239"/>
      <c r="AJ743" s="239"/>
      <c r="AK743" s="239"/>
      <c r="AL743" s="239"/>
      <c r="AM743" s="245"/>
      <c r="AN743" s="239"/>
      <c r="AO743" s="239"/>
      <c r="AP743" s="239"/>
      <c r="AQ743" s="306"/>
      <c r="AR743" s="239"/>
      <c r="AS743" s="239"/>
      <c r="AT743" s="239"/>
      <c r="AU743" s="239"/>
    </row>
    <row r="744" spans="1:47" x14ac:dyDescent="0.35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306"/>
      <c r="W744" s="239"/>
      <c r="X744" s="239"/>
      <c r="Y744" s="239"/>
      <c r="Z744" s="239"/>
      <c r="AA744" s="239"/>
      <c r="AB744" s="239"/>
      <c r="AC744" s="239"/>
      <c r="AD744" s="245"/>
      <c r="AE744" s="239"/>
      <c r="AF744" s="239"/>
      <c r="AG744" s="239"/>
      <c r="AH744" s="239"/>
      <c r="AI744" s="239"/>
      <c r="AJ744" s="239"/>
      <c r="AK744" s="239"/>
      <c r="AL744" s="239"/>
      <c r="AM744" s="245"/>
      <c r="AN744" s="239"/>
      <c r="AO744" s="239"/>
      <c r="AP744" s="239"/>
      <c r="AQ744" s="306"/>
      <c r="AR744" s="239"/>
      <c r="AS744" s="239"/>
      <c r="AT744" s="239"/>
      <c r="AU744" s="239"/>
    </row>
    <row r="745" spans="1:47" x14ac:dyDescent="0.35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306"/>
      <c r="W745" s="239"/>
      <c r="X745" s="239"/>
      <c r="Y745" s="239"/>
      <c r="Z745" s="239"/>
      <c r="AA745" s="239"/>
      <c r="AB745" s="239"/>
      <c r="AC745" s="239"/>
      <c r="AD745" s="245"/>
      <c r="AE745" s="239"/>
      <c r="AF745" s="239"/>
      <c r="AG745" s="239"/>
      <c r="AH745" s="239"/>
      <c r="AI745" s="239"/>
      <c r="AJ745" s="239"/>
      <c r="AK745" s="239"/>
      <c r="AL745" s="239"/>
      <c r="AM745" s="245"/>
      <c r="AN745" s="239"/>
      <c r="AO745" s="239"/>
      <c r="AP745" s="239"/>
      <c r="AQ745" s="306"/>
      <c r="AR745" s="239"/>
      <c r="AS745" s="239"/>
      <c r="AT745" s="239"/>
      <c r="AU745" s="239"/>
    </row>
    <row r="746" spans="1:47" x14ac:dyDescent="0.35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306"/>
      <c r="W746" s="239"/>
      <c r="X746" s="239"/>
      <c r="Y746" s="239"/>
      <c r="Z746" s="239"/>
      <c r="AA746" s="239"/>
      <c r="AB746" s="239"/>
      <c r="AC746" s="239"/>
      <c r="AD746" s="245"/>
      <c r="AE746" s="239"/>
      <c r="AF746" s="239"/>
      <c r="AG746" s="239"/>
      <c r="AH746" s="239"/>
      <c r="AI746" s="239"/>
      <c r="AJ746" s="239"/>
      <c r="AK746" s="239"/>
      <c r="AL746" s="239"/>
      <c r="AM746" s="245"/>
      <c r="AN746" s="239"/>
      <c r="AO746" s="239"/>
      <c r="AP746" s="239"/>
      <c r="AQ746" s="306"/>
      <c r="AR746" s="239"/>
      <c r="AS746" s="239"/>
      <c r="AT746" s="239"/>
      <c r="AU746" s="239"/>
    </row>
    <row r="747" spans="1:47" x14ac:dyDescent="0.35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306"/>
      <c r="W747" s="239"/>
      <c r="X747" s="239"/>
      <c r="Y747" s="239"/>
      <c r="Z747" s="239"/>
      <c r="AA747" s="239"/>
      <c r="AB747" s="239"/>
      <c r="AC747" s="239"/>
      <c r="AD747" s="245"/>
      <c r="AE747" s="239"/>
      <c r="AF747" s="239"/>
      <c r="AG747" s="239"/>
      <c r="AH747" s="239"/>
      <c r="AI747" s="239"/>
      <c r="AJ747" s="239"/>
      <c r="AK747" s="239"/>
      <c r="AL747" s="239"/>
      <c r="AM747" s="245"/>
      <c r="AN747" s="239"/>
      <c r="AO747" s="239"/>
      <c r="AP747" s="239"/>
      <c r="AQ747" s="306"/>
      <c r="AR747" s="239"/>
      <c r="AS747" s="239"/>
      <c r="AT747" s="239"/>
      <c r="AU747" s="239"/>
    </row>
    <row r="748" spans="1:47" x14ac:dyDescent="0.35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306"/>
      <c r="W748" s="239"/>
      <c r="X748" s="239"/>
      <c r="Y748" s="239"/>
      <c r="Z748" s="239"/>
      <c r="AA748" s="239"/>
      <c r="AB748" s="239"/>
      <c r="AC748" s="239"/>
      <c r="AD748" s="245"/>
      <c r="AE748" s="239"/>
      <c r="AF748" s="239"/>
      <c r="AG748" s="239"/>
      <c r="AH748" s="239"/>
      <c r="AI748" s="239"/>
      <c r="AJ748" s="239"/>
      <c r="AK748" s="239"/>
      <c r="AL748" s="239"/>
      <c r="AM748" s="245"/>
      <c r="AN748" s="239"/>
      <c r="AO748" s="239"/>
      <c r="AP748" s="239"/>
      <c r="AQ748" s="306"/>
      <c r="AR748" s="239"/>
      <c r="AS748" s="239"/>
      <c r="AT748" s="239"/>
      <c r="AU748" s="239"/>
    </row>
    <row r="749" spans="1:47" x14ac:dyDescent="0.35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306"/>
      <c r="W749" s="239"/>
      <c r="X749" s="239"/>
      <c r="Y749" s="239"/>
      <c r="Z749" s="239"/>
      <c r="AA749" s="239"/>
      <c r="AB749" s="239"/>
      <c r="AC749" s="239"/>
      <c r="AD749" s="245"/>
      <c r="AE749" s="239"/>
      <c r="AF749" s="239"/>
      <c r="AG749" s="239"/>
      <c r="AH749" s="239"/>
      <c r="AI749" s="239"/>
      <c r="AJ749" s="239"/>
      <c r="AK749" s="239"/>
      <c r="AL749" s="239"/>
      <c r="AM749" s="245"/>
      <c r="AN749" s="239"/>
      <c r="AO749" s="239"/>
      <c r="AP749" s="239"/>
      <c r="AQ749" s="306"/>
      <c r="AR749" s="239"/>
      <c r="AS749" s="239"/>
      <c r="AT749" s="239"/>
      <c r="AU749" s="239"/>
    </row>
    <row r="750" spans="1:47" x14ac:dyDescent="0.35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306"/>
      <c r="W750" s="239"/>
      <c r="X750" s="239"/>
      <c r="Y750" s="239"/>
      <c r="Z750" s="239"/>
      <c r="AA750" s="239"/>
      <c r="AB750" s="239"/>
      <c r="AC750" s="239"/>
      <c r="AD750" s="245"/>
      <c r="AE750" s="239"/>
      <c r="AF750" s="239"/>
      <c r="AG750" s="239"/>
      <c r="AH750" s="239"/>
      <c r="AI750" s="239"/>
      <c r="AJ750" s="239"/>
      <c r="AK750" s="239"/>
      <c r="AL750" s="239"/>
      <c r="AM750" s="245"/>
      <c r="AN750" s="239"/>
      <c r="AO750" s="239"/>
      <c r="AP750" s="239"/>
      <c r="AQ750" s="306"/>
      <c r="AR750" s="239"/>
      <c r="AS750" s="239"/>
      <c r="AT750" s="239"/>
      <c r="AU750" s="239"/>
    </row>
    <row r="751" spans="1:47" x14ac:dyDescent="0.35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306"/>
      <c r="W751" s="239"/>
      <c r="X751" s="239"/>
      <c r="Y751" s="239"/>
      <c r="Z751" s="239"/>
      <c r="AA751" s="239"/>
      <c r="AB751" s="239"/>
      <c r="AC751" s="239"/>
      <c r="AD751" s="245"/>
      <c r="AE751" s="239"/>
      <c r="AF751" s="239"/>
      <c r="AG751" s="239"/>
      <c r="AH751" s="239"/>
      <c r="AI751" s="239"/>
      <c r="AJ751" s="239"/>
      <c r="AK751" s="239"/>
      <c r="AL751" s="239"/>
      <c r="AM751" s="245"/>
      <c r="AN751" s="239"/>
      <c r="AO751" s="239"/>
      <c r="AP751" s="239"/>
      <c r="AQ751" s="306"/>
      <c r="AR751" s="239"/>
      <c r="AS751" s="239"/>
      <c r="AT751" s="239"/>
      <c r="AU751" s="239"/>
    </row>
    <row r="752" spans="1:47" x14ac:dyDescent="0.35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306"/>
      <c r="W752" s="239"/>
      <c r="X752" s="239"/>
      <c r="Y752" s="239"/>
      <c r="Z752" s="239"/>
      <c r="AA752" s="239"/>
      <c r="AB752" s="239"/>
      <c r="AC752" s="239"/>
      <c r="AD752" s="245"/>
      <c r="AE752" s="239"/>
      <c r="AF752" s="239"/>
      <c r="AG752" s="239"/>
      <c r="AH752" s="239"/>
      <c r="AI752" s="239"/>
      <c r="AJ752" s="239"/>
      <c r="AK752" s="239"/>
      <c r="AL752" s="239"/>
      <c r="AM752" s="245"/>
      <c r="AN752" s="239"/>
      <c r="AO752" s="239"/>
      <c r="AP752" s="239"/>
      <c r="AQ752" s="306"/>
      <c r="AR752" s="239"/>
      <c r="AS752" s="239"/>
      <c r="AT752" s="239"/>
      <c r="AU752" s="239"/>
    </row>
    <row r="753" spans="1:47" x14ac:dyDescent="0.35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306"/>
      <c r="W753" s="239"/>
      <c r="X753" s="239"/>
      <c r="Y753" s="239"/>
      <c r="Z753" s="239"/>
      <c r="AA753" s="239"/>
      <c r="AB753" s="239"/>
      <c r="AC753" s="239"/>
      <c r="AD753" s="245"/>
      <c r="AE753" s="239"/>
      <c r="AF753" s="239"/>
      <c r="AG753" s="239"/>
      <c r="AH753" s="239"/>
      <c r="AI753" s="239"/>
      <c r="AJ753" s="239"/>
      <c r="AK753" s="239"/>
      <c r="AL753" s="239"/>
      <c r="AM753" s="245"/>
      <c r="AN753" s="239"/>
      <c r="AO753" s="239"/>
      <c r="AP753" s="239"/>
      <c r="AQ753" s="306"/>
      <c r="AR753" s="239"/>
      <c r="AS753" s="239"/>
      <c r="AT753" s="239"/>
      <c r="AU753" s="239"/>
    </row>
    <row r="754" spans="1:47" x14ac:dyDescent="0.35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306"/>
      <c r="W754" s="239"/>
      <c r="X754" s="239"/>
      <c r="Y754" s="239"/>
      <c r="Z754" s="239"/>
      <c r="AA754" s="239"/>
      <c r="AB754" s="239"/>
      <c r="AC754" s="239"/>
      <c r="AD754" s="245"/>
      <c r="AE754" s="239"/>
      <c r="AF754" s="239"/>
      <c r="AG754" s="239"/>
      <c r="AH754" s="239"/>
      <c r="AI754" s="239"/>
      <c r="AJ754" s="239"/>
      <c r="AK754" s="239"/>
      <c r="AL754" s="239"/>
      <c r="AM754" s="245"/>
      <c r="AN754" s="239"/>
      <c r="AO754" s="239"/>
      <c r="AP754" s="239"/>
      <c r="AQ754" s="306"/>
      <c r="AR754" s="239"/>
      <c r="AS754" s="239"/>
      <c r="AT754" s="239"/>
      <c r="AU754" s="239"/>
    </row>
    <row r="755" spans="1:47" x14ac:dyDescent="0.35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306"/>
      <c r="W755" s="239"/>
      <c r="X755" s="239"/>
      <c r="Y755" s="239"/>
      <c r="Z755" s="239"/>
      <c r="AA755" s="239"/>
      <c r="AB755" s="239"/>
      <c r="AC755" s="239"/>
      <c r="AD755" s="245"/>
      <c r="AE755" s="239"/>
      <c r="AF755" s="239"/>
      <c r="AG755" s="239"/>
      <c r="AH755" s="239"/>
      <c r="AI755" s="239"/>
      <c r="AJ755" s="239"/>
      <c r="AK755" s="239"/>
      <c r="AL755" s="239"/>
      <c r="AM755" s="245"/>
      <c r="AN755" s="239"/>
      <c r="AO755" s="239"/>
      <c r="AP755" s="239"/>
      <c r="AQ755" s="306"/>
      <c r="AR755" s="239"/>
      <c r="AS755" s="239"/>
      <c r="AT755" s="239"/>
      <c r="AU755" s="239"/>
    </row>
    <row r="756" spans="1:47" x14ac:dyDescent="0.35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306"/>
      <c r="W756" s="239"/>
      <c r="X756" s="239"/>
      <c r="Y756" s="239"/>
      <c r="Z756" s="239"/>
      <c r="AA756" s="239"/>
      <c r="AB756" s="239"/>
      <c r="AC756" s="239"/>
      <c r="AD756" s="245"/>
      <c r="AE756" s="239"/>
      <c r="AF756" s="239"/>
      <c r="AG756" s="239"/>
      <c r="AH756" s="239"/>
      <c r="AI756" s="239"/>
      <c r="AJ756" s="239"/>
      <c r="AK756" s="239"/>
      <c r="AL756" s="239"/>
      <c r="AM756" s="245"/>
      <c r="AN756" s="239"/>
      <c r="AO756" s="239"/>
      <c r="AP756" s="239"/>
      <c r="AQ756" s="306"/>
      <c r="AR756" s="239"/>
      <c r="AS756" s="239"/>
      <c r="AT756" s="239"/>
      <c r="AU756" s="239"/>
    </row>
    <row r="757" spans="1:47" x14ac:dyDescent="0.35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306"/>
      <c r="W757" s="239"/>
      <c r="X757" s="239"/>
      <c r="Y757" s="239"/>
      <c r="Z757" s="239"/>
      <c r="AA757" s="239"/>
      <c r="AB757" s="239"/>
      <c r="AC757" s="239"/>
      <c r="AD757" s="245"/>
      <c r="AE757" s="239"/>
      <c r="AF757" s="239"/>
      <c r="AG757" s="239"/>
      <c r="AH757" s="239"/>
      <c r="AI757" s="239"/>
      <c r="AJ757" s="239"/>
      <c r="AK757" s="239"/>
      <c r="AL757" s="239"/>
      <c r="AM757" s="245"/>
      <c r="AN757" s="239"/>
      <c r="AO757" s="239"/>
      <c r="AP757" s="239"/>
      <c r="AQ757" s="306"/>
      <c r="AR757" s="239"/>
      <c r="AS757" s="239"/>
      <c r="AT757" s="239"/>
      <c r="AU757" s="239"/>
    </row>
    <row r="758" spans="1:47" x14ac:dyDescent="0.35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306"/>
      <c r="W758" s="239"/>
      <c r="X758" s="239"/>
      <c r="Y758" s="239"/>
      <c r="Z758" s="239"/>
      <c r="AA758" s="239"/>
      <c r="AB758" s="239"/>
      <c r="AC758" s="239"/>
      <c r="AD758" s="245"/>
      <c r="AE758" s="239"/>
      <c r="AF758" s="239"/>
      <c r="AG758" s="239"/>
      <c r="AH758" s="239"/>
      <c r="AI758" s="239"/>
      <c r="AJ758" s="239"/>
      <c r="AK758" s="239"/>
      <c r="AL758" s="239"/>
      <c r="AM758" s="245"/>
      <c r="AN758" s="239"/>
      <c r="AO758" s="239"/>
      <c r="AP758" s="239"/>
      <c r="AQ758" s="306"/>
      <c r="AR758" s="239"/>
      <c r="AS758" s="239"/>
      <c r="AT758" s="239"/>
      <c r="AU758" s="239"/>
    </row>
    <row r="759" spans="1:47" x14ac:dyDescent="0.35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306"/>
      <c r="W759" s="239"/>
      <c r="X759" s="239"/>
      <c r="Y759" s="239"/>
      <c r="Z759" s="239"/>
      <c r="AA759" s="239"/>
      <c r="AB759" s="239"/>
      <c r="AC759" s="239"/>
      <c r="AD759" s="245"/>
      <c r="AE759" s="239"/>
      <c r="AF759" s="239"/>
      <c r="AG759" s="239"/>
      <c r="AH759" s="239"/>
      <c r="AI759" s="239"/>
      <c r="AJ759" s="239"/>
      <c r="AK759" s="239"/>
      <c r="AL759" s="239"/>
      <c r="AM759" s="245"/>
      <c r="AN759" s="239"/>
      <c r="AO759" s="239"/>
      <c r="AP759" s="239"/>
      <c r="AQ759" s="306"/>
      <c r="AR759" s="239"/>
      <c r="AS759" s="239"/>
      <c r="AT759" s="239"/>
      <c r="AU759" s="239"/>
    </row>
    <row r="760" spans="1:47" x14ac:dyDescent="0.35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306"/>
      <c r="W760" s="239"/>
      <c r="X760" s="239"/>
      <c r="Y760" s="239"/>
      <c r="Z760" s="239"/>
      <c r="AA760" s="239"/>
      <c r="AB760" s="239"/>
      <c r="AC760" s="239"/>
      <c r="AD760" s="245"/>
      <c r="AE760" s="239"/>
      <c r="AF760" s="239"/>
      <c r="AG760" s="239"/>
      <c r="AH760" s="239"/>
      <c r="AI760" s="239"/>
      <c r="AJ760" s="239"/>
      <c r="AK760" s="239"/>
      <c r="AL760" s="239"/>
      <c r="AM760" s="245"/>
      <c r="AN760" s="239"/>
      <c r="AO760" s="239"/>
      <c r="AP760" s="239"/>
      <c r="AQ760" s="306"/>
      <c r="AR760" s="239"/>
      <c r="AS760" s="239"/>
      <c r="AT760" s="239"/>
      <c r="AU760" s="239"/>
    </row>
    <row r="761" spans="1:47" x14ac:dyDescent="0.35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306"/>
      <c r="W761" s="239"/>
      <c r="X761" s="239"/>
      <c r="Y761" s="239"/>
      <c r="Z761" s="239"/>
      <c r="AA761" s="239"/>
      <c r="AB761" s="239"/>
      <c r="AC761" s="239"/>
      <c r="AD761" s="245"/>
      <c r="AE761" s="239"/>
      <c r="AF761" s="239"/>
      <c r="AG761" s="239"/>
      <c r="AH761" s="239"/>
      <c r="AI761" s="239"/>
      <c r="AJ761" s="239"/>
      <c r="AK761" s="239"/>
      <c r="AL761" s="239"/>
      <c r="AM761" s="245"/>
      <c r="AN761" s="239"/>
      <c r="AO761" s="239"/>
      <c r="AP761" s="239"/>
      <c r="AQ761" s="306"/>
      <c r="AR761" s="239"/>
      <c r="AS761" s="239"/>
      <c r="AT761" s="239"/>
      <c r="AU761" s="239"/>
    </row>
    <row r="762" spans="1:47" x14ac:dyDescent="0.35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306"/>
      <c r="W762" s="239"/>
      <c r="X762" s="239"/>
      <c r="Y762" s="239"/>
      <c r="Z762" s="239"/>
      <c r="AA762" s="239"/>
      <c r="AB762" s="239"/>
      <c r="AC762" s="239"/>
      <c r="AD762" s="245"/>
      <c r="AE762" s="239"/>
      <c r="AF762" s="239"/>
      <c r="AG762" s="239"/>
      <c r="AH762" s="239"/>
      <c r="AI762" s="239"/>
      <c r="AJ762" s="239"/>
      <c r="AK762" s="239"/>
      <c r="AL762" s="239"/>
      <c r="AM762" s="245"/>
      <c r="AN762" s="239"/>
      <c r="AO762" s="239"/>
      <c r="AP762" s="239"/>
      <c r="AQ762" s="306"/>
      <c r="AR762" s="239"/>
      <c r="AS762" s="239"/>
      <c r="AT762" s="239"/>
      <c r="AU762" s="239"/>
    </row>
    <row r="763" spans="1:47" x14ac:dyDescent="0.35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306"/>
      <c r="W763" s="239"/>
      <c r="X763" s="239"/>
      <c r="Y763" s="239"/>
      <c r="Z763" s="239"/>
      <c r="AA763" s="239"/>
      <c r="AB763" s="239"/>
      <c r="AC763" s="239"/>
      <c r="AD763" s="245"/>
      <c r="AE763" s="239"/>
      <c r="AF763" s="239"/>
      <c r="AG763" s="239"/>
      <c r="AH763" s="239"/>
      <c r="AI763" s="239"/>
      <c r="AJ763" s="239"/>
      <c r="AK763" s="239"/>
      <c r="AL763" s="239"/>
      <c r="AM763" s="245"/>
      <c r="AN763" s="239"/>
      <c r="AO763" s="239"/>
      <c r="AP763" s="239"/>
      <c r="AQ763" s="306"/>
      <c r="AR763" s="239"/>
      <c r="AS763" s="239"/>
      <c r="AT763" s="239"/>
      <c r="AU763" s="239"/>
    </row>
    <row r="764" spans="1:47" x14ac:dyDescent="0.35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306"/>
      <c r="W764" s="239"/>
      <c r="X764" s="239"/>
      <c r="Y764" s="239"/>
      <c r="Z764" s="239"/>
      <c r="AA764" s="239"/>
      <c r="AB764" s="239"/>
      <c r="AC764" s="239"/>
      <c r="AD764" s="245"/>
      <c r="AE764" s="239"/>
      <c r="AF764" s="239"/>
      <c r="AG764" s="239"/>
      <c r="AH764" s="239"/>
      <c r="AI764" s="239"/>
      <c r="AJ764" s="239"/>
      <c r="AK764" s="239"/>
      <c r="AL764" s="239"/>
      <c r="AM764" s="245"/>
      <c r="AN764" s="239"/>
      <c r="AO764" s="239"/>
      <c r="AP764" s="239"/>
      <c r="AQ764" s="306"/>
      <c r="AR764" s="239"/>
      <c r="AS764" s="239"/>
      <c r="AT764" s="239"/>
      <c r="AU764" s="239"/>
    </row>
    <row r="765" spans="1:47" x14ac:dyDescent="0.35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306"/>
      <c r="W765" s="239"/>
      <c r="X765" s="239"/>
      <c r="Y765" s="239"/>
      <c r="Z765" s="239"/>
      <c r="AA765" s="239"/>
      <c r="AB765" s="239"/>
      <c r="AC765" s="239"/>
      <c r="AD765" s="245"/>
      <c r="AE765" s="239"/>
      <c r="AF765" s="239"/>
      <c r="AG765" s="239"/>
      <c r="AH765" s="239"/>
      <c r="AI765" s="239"/>
      <c r="AJ765" s="239"/>
      <c r="AK765" s="239"/>
      <c r="AL765" s="239"/>
      <c r="AM765" s="245"/>
      <c r="AN765" s="239"/>
      <c r="AO765" s="239"/>
      <c r="AP765" s="239"/>
      <c r="AQ765" s="306"/>
      <c r="AR765" s="239"/>
      <c r="AS765" s="239"/>
      <c r="AT765" s="239"/>
      <c r="AU765" s="239"/>
    </row>
    <row r="766" spans="1:47" x14ac:dyDescent="0.35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306"/>
      <c r="W766" s="239"/>
      <c r="X766" s="239"/>
      <c r="Y766" s="239"/>
      <c r="Z766" s="239"/>
      <c r="AA766" s="239"/>
      <c r="AB766" s="239"/>
      <c r="AC766" s="239"/>
      <c r="AD766" s="245"/>
      <c r="AE766" s="239"/>
      <c r="AF766" s="239"/>
      <c r="AG766" s="239"/>
      <c r="AH766" s="239"/>
      <c r="AI766" s="239"/>
      <c r="AJ766" s="239"/>
      <c r="AK766" s="239"/>
      <c r="AL766" s="239"/>
      <c r="AM766" s="245"/>
      <c r="AN766" s="239"/>
      <c r="AO766" s="239"/>
      <c r="AP766" s="239"/>
      <c r="AQ766" s="306"/>
      <c r="AR766" s="239"/>
      <c r="AS766" s="239"/>
      <c r="AT766" s="239"/>
      <c r="AU766" s="239"/>
    </row>
    <row r="767" spans="1:47" x14ac:dyDescent="0.35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306"/>
      <c r="W767" s="239"/>
      <c r="X767" s="239"/>
      <c r="Y767" s="239"/>
      <c r="Z767" s="239"/>
      <c r="AA767" s="239"/>
      <c r="AB767" s="239"/>
      <c r="AC767" s="239"/>
      <c r="AD767" s="245"/>
      <c r="AE767" s="239"/>
      <c r="AF767" s="239"/>
      <c r="AG767" s="239"/>
      <c r="AH767" s="239"/>
      <c r="AI767" s="239"/>
      <c r="AJ767" s="239"/>
      <c r="AK767" s="239"/>
      <c r="AL767" s="239"/>
      <c r="AM767" s="245"/>
      <c r="AN767" s="239"/>
      <c r="AO767" s="239"/>
      <c r="AP767" s="239"/>
      <c r="AQ767" s="306"/>
      <c r="AR767" s="239"/>
      <c r="AS767" s="239"/>
      <c r="AT767" s="239"/>
      <c r="AU767" s="239"/>
    </row>
    <row r="768" spans="1:47" x14ac:dyDescent="0.35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306"/>
      <c r="W768" s="239"/>
      <c r="X768" s="239"/>
      <c r="Y768" s="239"/>
      <c r="Z768" s="239"/>
      <c r="AA768" s="239"/>
      <c r="AB768" s="239"/>
      <c r="AC768" s="239"/>
      <c r="AD768" s="245"/>
      <c r="AE768" s="239"/>
      <c r="AF768" s="239"/>
      <c r="AG768" s="239"/>
      <c r="AH768" s="239"/>
      <c r="AI768" s="239"/>
      <c r="AJ768" s="239"/>
      <c r="AK768" s="239"/>
      <c r="AL768" s="239"/>
      <c r="AM768" s="245"/>
      <c r="AN768" s="239"/>
      <c r="AO768" s="239"/>
      <c r="AP768" s="239"/>
      <c r="AQ768" s="306"/>
      <c r="AR768" s="239"/>
      <c r="AS768" s="239"/>
      <c r="AT768" s="239"/>
      <c r="AU768" s="239"/>
    </row>
    <row r="769" spans="1:47" x14ac:dyDescent="0.35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306"/>
      <c r="W769" s="239"/>
      <c r="X769" s="239"/>
      <c r="Y769" s="239"/>
      <c r="Z769" s="239"/>
      <c r="AA769" s="239"/>
      <c r="AB769" s="239"/>
      <c r="AC769" s="239"/>
      <c r="AD769" s="245"/>
      <c r="AE769" s="239"/>
      <c r="AF769" s="239"/>
      <c r="AG769" s="239"/>
      <c r="AH769" s="239"/>
      <c r="AI769" s="239"/>
      <c r="AJ769" s="239"/>
      <c r="AK769" s="239"/>
      <c r="AL769" s="239"/>
      <c r="AM769" s="245"/>
      <c r="AN769" s="239"/>
      <c r="AO769" s="239"/>
      <c r="AP769" s="239"/>
      <c r="AQ769" s="306"/>
      <c r="AR769" s="239"/>
      <c r="AS769" s="239"/>
      <c r="AT769" s="239"/>
      <c r="AU769" s="239"/>
    </row>
    <row r="770" spans="1:47" x14ac:dyDescent="0.35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306"/>
      <c r="W770" s="239"/>
      <c r="X770" s="239"/>
      <c r="Y770" s="239"/>
      <c r="Z770" s="239"/>
      <c r="AA770" s="239"/>
      <c r="AB770" s="239"/>
      <c r="AC770" s="239"/>
      <c r="AD770" s="245"/>
      <c r="AE770" s="239"/>
      <c r="AF770" s="239"/>
      <c r="AG770" s="239"/>
      <c r="AH770" s="239"/>
      <c r="AI770" s="239"/>
      <c r="AJ770" s="239"/>
      <c r="AK770" s="239"/>
      <c r="AL770" s="239"/>
      <c r="AM770" s="245"/>
      <c r="AN770" s="239"/>
      <c r="AO770" s="239"/>
      <c r="AP770" s="239"/>
      <c r="AQ770" s="306"/>
      <c r="AR770" s="239"/>
      <c r="AS770" s="239"/>
      <c r="AT770" s="239"/>
      <c r="AU770" s="239"/>
    </row>
    <row r="771" spans="1:47" x14ac:dyDescent="0.35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306"/>
      <c r="W771" s="239"/>
      <c r="X771" s="239"/>
      <c r="Y771" s="239"/>
      <c r="Z771" s="239"/>
      <c r="AA771" s="239"/>
      <c r="AB771" s="239"/>
      <c r="AC771" s="239"/>
      <c r="AD771" s="245"/>
      <c r="AE771" s="239"/>
      <c r="AF771" s="239"/>
      <c r="AG771" s="239"/>
      <c r="AH771" s="239"/>
      <c r="AI771" s="239"/>
      <c r="AJ771" s="239"/>
      <c r="AK771" s="239"/>
      <c r="AL771" s="239"/>
      <c r="AM771" s="245"/>
      <c r="AN771" s="239"/>
      <c r="AO771" s="239"/>
      <c r="AP771" s="239"/>
      <c r="AQ771" s="306"/>
      <c r="AR771" s="239"/>
      <c r="AS771" s="239"/>
      <c r="AT771" s="239"/>
      <c r="AU771" s="239"/>
    </row>
    <row r="772" spans="1:47" x14ac:dyDescent="0.35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306"/>
      <c r="W772" s="239"/>
      <c r="X772" s="239"/>
      <c r="Y772" s="239"/>
      <c r="Z772" s="239"/>
      <c r="AA772" s="239"/>
      <c r="AB772" s="239"/>
      <c r="AC772" s="239"/>
      <c r="AD772" s="245"/>
      <c r="AE772" s="239"/>
      <c r="AF772" s="239"/>
      <c r="AG772" s="239"/>
      <c r="AH772" s="239"/>
      <c r="AI772" s="239"/>
      <c r="AJ772" s="239"/>
      <c r="AK772" s="239"/>
      <c r="AL772" s="239"/>
      <c r="AM772" s="245"/>
      <c r="AN772" s="239"/>
      <c r="AO772" s="239"/>
      <c r="AP772" s="239"/>
      <c r="AQ772" s="306"/>
      <c r="AR772" s="239"/>
      <c r="AS772" s="239"/>
      <c r="AT772" s="239"/>
      <c r="AU772" s="239"/>
    </row>
    <row r="773" spans="1:47" x14ac:dyDescent="0.35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306"/>
      <c r="W773" s="239"/>
      <c r="X773" s="239"/>
      <c r="Y773" s="239"/>
      <c r="Z773" s="239"/>
      <c r="AA773" s="239"/>
      <c r="AB773" s="239"/>
      <c r="AC773" s="239"/>
      <c r="AD773" s="245"/>
      <c r="AE773" s="239"/>
      <c r="AF773" s="239"/>
      <c r="AG773" s="239"/>
      <c r="AH773" s="239"/>
      <c r="AI773" s="239"/>
      <c r="AJ773" s="239"/>
      <c r="AK773" s="239"/>
      <c r="AL773" s="239"/>
      <c r="AM773" s="245"/>
      <c r="AN773" s="239"/>
      <c r="AO773" s="239"/>
      <c r="AP773" s="239"/>
      <c r="AQ773" s="306"/>
      <c r="AR773" s="239"/>
      <c r="AS773" s="239"/>
      <c r="AT773" s="239"/>
      <c r="AU773" s="239"/>
    </row>
    <row r="774" spans="1:47" x14ac:dyDescent="0.35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306"/>
      <c r="W774" s="239"/>
      <c r="X774" s="239"/>
      <c r="Y774" s="239"/>
      <c r="Z774" s="239"/>
      <c r="AA774" s="239"/>
      <c r="AB774" s="239"/>
      <c r="AC774" s="239"/>
      <c r="AD774" s="245"/>
      <c r="AE774" s="239"/>
      <c r="AF774" s="239"/>
      <c r="AG774" s="239"/>
      <c r="AH774" s="239"/>
      <c r="AI774" s="239"/>
      <c r="AJ774" s="239"/>
      <c r="AK774" s="239"/>
      <c r="AL774" s="239"/>
      <c r="AM774" s="245"/>
      <c r="AN774" s="239"/>
      <c r="AO774" s="239"/>
      <c r="AP774" s="239"/>
      <c r="AQ774" s="306"/>
      <c r="AR774" s="239"/>
      <c r="AS774" s="239"/>
      <c r="AT774" s="239"/>
      <c r="AU774" s="239"/>
    </row>
    <row r="775" spans="1:47" x14ac:dyDescent="0.35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306"/>
      <c r="W775" s="239"/>
      <c r="X775" s="239"/>
      <c r="Y775" s="239"/>
      <c r="Z775" s="239"/>
      <c r="AA775" s="239"/>
      <c r="AB775" s="239"/>
      <c r="AC775" s="239"/>
      <c r="AD775" s="245"/>
      <c r="AE775" s="239"/>
      <c r="AF775" s="239"/>
      <c r="AG775" s="239"/>
      <c r="AH775" s="239"/>
      <c r="AI775" s="239"/>
      <c r="AJ775" s="239"/>
      <c r="AK775" s="239"/>
      <c r="AL775" s="239"/>
      <c r="AM775" s="245"/>
      <c r="AN775" s="239"/>
      <c r="AO775" s="239"/>
      <c r="AP775" s="239"/>
      <c r="AQ775" s="306"/>
      <c r="AR775" s="239"/>
      <c r="AS775" s="239"/>
      <c r="AT775" s="239"/>
      <c r="AU775" s="239"/>
    </row>
    <row r="776" spans="1:47" x14ac:dyDescent="0.35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306"/>
      <c r="W776" s="239"/>
      <c r="X776" s="239"/>
      <c r="Y776" s="239"/>
      <c r="Z776" s="239"/>
      <c r="AA776" s="239"/>
      <c r="AB776" s="239"/>
      <c r="AC776" s="239"/>
      <c r="AD776" s="245"/>
      <c r="AE776" s="239"/>
      <c r="AF776" s="239"/>
      <c r="AG776" s="239"/>
      <c r="AH776" s="239"/>
      <c r="AI776" s="239"/>
      <c r="AJ776" s="239"/>
      <c r="AK776" s="239"/>
      <c r="AL776" s="239"/>
      <c r="AM776" s="245"/>
      <c r="AN776" s="239"/>
      <c r="AO776" s="239"/>
      <c r="AP776" s="239"/>
      <c r="AQ776" s="306"/>
      <c r="AR776" s="239"/>
      <c r="AS776" s="239"/>
      <c r="AT776" s="239"/>
      <c r="AU776" s="239"/>
    </row>
    <row r="777" spans="1:47" x14ac:dyDescent="0.35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306"/>
      <c r="W777" s="239"/>
      <c r="X777" s="239"/>
      <c r="Y777" s="239"/>
      <c r="Z777" s="239"/>
      <c r="AA777" s="239"/>
      <c r="AB777" s="239"/>
      <c r="AC777" s="239"/>
      <c r="AD777" s="245"/>
      <c r="AE777" s="239"/>
      <c r="AF777" s="239"/>
      <c r="AG777" s="239"/>
      <c r="AH777" s="239"/>
      <c r="AI777" s="239"/>
      <c r="AJ777" s="239"/>
      <c r="AK777" s="239"/>
      <c r="AL777" s="239"/>
      <c r="AM777" s="245"/>
      <c r="AN777" s="239"/>
      <c r="AO777" s="239"/>
      <c r="AP777" s="239"/>
      <c r="AQ777" s="306"/>
      <c r="AR777" s="239"/>
      <c r="AS777" s="239"/>
      <c r="AT777" s="239"/>
      <c r="AU777" s="239"/>
    </row>
    <row r="778" spans="1:47" x14ac:dyDescent="0.35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306"/>
      <c r="W778" s="239"/>
      <c r="X778" s="239"/>
      <c r="Y778" s="239"/>
      <c r="Z778" s="239"/>
      <c r="AA778" s="239"/>
      <c r="AB778" s="239"/>
      <c r="AC778" s="239"/>
      <c r="AD778" s="245"/>
      <c r="AE778" s="239"/>
      <c r="AF778" s="239"/>
      <c r="AG778" s="239"/>
      <c r="AH778" s="239"/>
      <c r="AI778" s="239"/>
      <c r="AJ778" s="239"/>
      <c r="AK778" s="239"/>
      <c r="AL778" s="239"/>
      <c r="AM778" s="245"/>
      <c r="AN778" s="239"/>
      <c r="AO778" s="239"/>
      <c r="AP778" s="239"/>
      <c r="AQ778" s="306"/>
      <c r="AR778" s="239"/>
      <c r="AS778" s="239"/>
      <c r="AT778" s="239"/>
      <c r="AU778" s="239"/>
    </row>
    <row r="779" spans="1:47" x14ac:dyDescent="0.35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306"/>
      <c r="W779" s="239"/>
      <c r="X779" s="239"/>
      <c r="Y779" s="239"/>
      <c r="Z779" s="239"/>
      <c r="AA779" s="239"/>
      <c r="AB779" s="239"/>
      <c r="AC779" s="239"/>
      <c r="AD779" s="245"/>
      <c r="AE779" s="239"/>
      <c r="AF779" s="239"/>
      <c r="AG779" s="239"/>
      <c r="AH779" s="239"/>
      <c r="AI779" s="239"/>
      <c r="AJ779" s="239"/>
      <c r="AK779" s="239"/>
      <c r="AL779" s="239"/>
      <c r="AM779" s="245"/>
      <c r="AN779" s="239"/>
      <c r="AO779" s="239"/>
      <c r="AP779" s="239"/>
      <c r="AQ779" s="306"/>
      <c r="AR779" s="239"/>
      <c r="AS779" s="239"/>
      <c r="AT779" s="239"/>
      <c r="AU779" s="239"/>
    </row>
    <row r="780" spans="1:47" x14ac:dyDescent="0.35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306"/>
      <c r="W780" s="239"/>
      <c r="X780" s="239"/>
      <c r="Y780" s="239"/>
      <c r="Z780" s="239"/>
      <c r="AA780" s="239"/>
      <c r="AB780" s="239"/>
      <c r="AC780" s="239"/>
      <c r="AD780" s="245"/>
      <c r="AE780" s="239"/>
      <c r="AF780" s="239"/>
      <c r="AG780" s="239"/>
      <c r="AH780" s="239"/>
      <c r="AI780" s="239"/>
      <c r="AJ780" s="239"/>
      <c r="AK780" s="239"/>
      <c r="AL780" s="239"/>
      <c r="AM780" s="245"/>
      <c r="AN780" s="239"/>
      <c r="AO780" s="239"/>
      <c r="AP780" s="239"/>
      <c r="AQ780" s="306"/>
      <c r="AR780" s="239"/>
      <c r="AS780" s="239"/>
      <c r="AT780" s="239"/>
      <c r="AU780" s="239"/>
    </row>
    <row r="781" spans="1:47" x14ac:dyDescent="0.35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306"/>
      <c r="W781" s="239"/>
      <c r="X781" s="239"/>
      <c r="Y781" s="239"/>
      <c r="Z781" s="239"/>
      <c r="AA781" s="239"/>
      <c r="AB781" s="239"/>
      <c r="AC781" s="239"/>
      <c r="AD781" s="245"/>
      <c r="AE781" s="239"/>
      <c r="AF781" s="239"/>
      <c r="AG781" s="239"/>
      <c r="AH781" s="239"/>
      <c r="AI781" s="239"/>
      <c r="AJ781" s="239"/>
      <c r="AK781" s="239"/>
      <c r="AL781" s="239"/>
      <c r="AM781" s="245"/>
      <c r="AN781" s="239"/>
      <c r="AO781" s="239"/>
      <c r="AP781" s="239"/>
      <c r="AQ781" s="306"/>
      <c r="AR781" s="239"/>
      <c r="AS781" s="239"/>
      <c r="AT781" s="239"/>
      <c r="AU781" s="239"/>
    </row>
    <row r="782" spans="1:47" x14ac:dyDescent="0.35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306"/>
      <c r="W782" s="239"/>
      <c r="X782" s="239"/>
      <c r="Y782" s="239"/>
      <c r="Z782" s="239"/>
      <c r="AA782" s="239"/>
      <c r="AB782" s="239"/>
      <c r="AC782" s="239"/>
      <c r="AD782" s="245"/>
      <c r="AE782" s="239"/>
      <c r="AF782" s="239"/>
      <c r="AG782" s="239"/>
      <c r="AH782" s="239"/>
      <c r="AI782" s="239"/>
      <c r="AJ782" s="239"/>
      <c r="AK782" s="239"/>
      <c r="AL782" s="239"/>
      <c r="AM782" s="245"/>
      <c r="AN782" s="239"/>
      <c r="AO782" s="239"/>
      <c r="AP782" s="239"/>
      <c r="AQ782" s="306"/>
      <c r="AR782" s="239"/>
      <c r="AS782" s="239"/>
      <c r="AT782" s="239"/>
      <c r="AU782" s="239"/>
    </row>
    <row r="783" spans="1:47" x14ac:dyDescent="0.35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306"/>
      <c r="W783" s="239"/>
      <c r="X783" s="239"/>
      <c r="Y783" s="239"/>
      <c r="Z783" s="239"/>
      <c r="AA783" s="239"/>
      <c r="AB783" s="239"/>
      <c r="AC783" s="239"/>
      <c r="AD783" s="245"/>
      <c r="AE783" s="239"/>
      <c r="AF783" s="239"/>
      <c r="AG783" s="239"/>
      <c r="AH783" s="239"/>
      <c r="AI783" s="239"/>
      <c r="AJ783" s="239"/>
      <c r="AK783" s="239"/>
      <c r="AL783" s="239"/>
      <c r="AM783" s="245"/>
      <c r="AN783" s="239"/>
      <c r="AO783" s="239"/>
      <c r="AP783" s="239"/>
      <c r="AQ783" s="306"/>
      <c r="AR783" s="239"/>
      <c r="AS783" s="239"/>
      <c r="AT783" s="239"/>
      <c r="AU783" s="239"/>
    </row>
    <row r="784" spans="1:47" x14ac:dyDescent="0.35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306"/>
      <c r="W784" s="239"/>
      <c r="X784" s="239"/>
      <c r="Y784" s="239"/>
      <c r="Z784" s="239"/>
      <c r="AA784" s="239"/>
      <c r="AB784" s="239"/>
      <c r="AC784" s="239"/>
      <c r="AD784" s="245"/>
      <c r="AE784" s="239"/>
      <c r="AF784" s="239"/>
      <c r="AG784" s="239"/>
      <c r="AH784" s="239"/>
      <c r="AI784" s="239"/>
      <c r="AJ784" s="239"/>
      <c r="AK784" s="239"/>
      <c r="AL784" s="239"/>
      <c r="AM784" s="245"/>
      <c r="AN784" s="239"/>
      <c r="AO784" s="239"/>
      <c r="AP784" s="239"/>
      <c r="AQ784" s="306"/>
      <c r="AR784" s="239"/>
      <c r="AS784" s="239"/>
      <c r="AT784" s="239"/>
      <c r="AU784" s="239"/>
    </row>
    <row r="785" spans="1:47" x14ac:dyDescent="0.35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306"/>
      <c r="W785" s="239"/>
      <c r="X785" s="239"/>
      <c r="Y785" s="239"/>
      <c r="Z785" s="239"/>
      <c r="AA785" s="239"/>
      <c r="AB785" s="239"/>
      <c r="AC785" s="239"/>
      <c r="AD785" s="245"/>
      <c r="AE785" s="239"/>
      <c r="AF785" s="239"/>
      <c r="AG785" s="239"/>
      <c r="AH785" s="239"/>
      <c r="AI785" s="239"/>
      <c r="AJ785" s="239"/>
      <c r="AK785" s="239"/>
      <c r="AL785" s="239"/>
      <c r="AM785" s="245"/>
      <c r="AN785" s="239"/>
      <c r="AO785" s="239"/>
      <c r="AP785" s="239"/>
      <c r="AQ785" s="306"/>
      <c r="AR785" s="239"/>
      <c r="AS785" s="239"/>
      <c r="AT785" s="239"/>
      <c r="AU785" s="239"/>
    </row>
    <row r="786" spans="1:47" x14ac:dyDescent="0.35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306"/>
      <c r="W786" s="239"/>
      <c r="X786" s="239"/>
      <c r="Y786" s="239"/>
      <c r="Z786" s="239"/>
      <c r="AA786" s="239"/>
      <c r="AB786" s="239"/>
      <c r="AC786" s="239"/>
      <c r="AD786" s="245"/>
      <c r="AE786" s="239"/>
      <c r="AF786" s="239"/>
      <c r="AG786" s="239"/>
      <c r="AH786" s="239"/>
      <c r="AI786" s="239"/>
      <c r="AJ786" s="239"/>
      <c r="AK786" s="239"/>
      <c r="AL786" s="239"/>
      <c r="AM786" s="245"/>
      <c r="AN786" s="239"/>
      <c r="AO786" s="239"/>
      <c r="AP786" s="239"/>
      <c r="AQ786" s="306"/>
      <c r="AR786" s="239"/>
      <c r="AS786" s="239"/>
      <c r="AT786" s="239"/>
      <c r="AU786" s="239"/>
    </row>
    <row r="787" spans="1:47" x14ac:dyDescent="0.35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306"/>
      <c r="W787" s="239"/>
      <c r="X787" s="239"/>
      <c r="Y787" s="239"/>
      <c r="Z787" s="239"/>
      <c r="AA787" s="239"/>
      <c r="AB787" s="239"/>
      <c r="AC787" s="239"/>
      <c r="AD787" s="245"/>
      <c r="AE787" s="239"/>
      <c r="AF787" s="239"/>
      <c r="AG787" s="239"/>
      <c r="AH787" s="239"/>
      <c r="AI787" s="239"/>
      <c r="AJ787" s="239"/>
      <c r="AK787" s="239"/>
      <c r="AL787" s="239"/>
      <c r="AM787" s="245"/>
      <c r="AN787" s="239"/>
      <c r="AO787" s="239"/>
      <c r="AP787" s="239"/>
      <c r="AQ787" s="306"/>
      <c r="AR787" s="239"/>
      <c r="AS787" s="239"/>
      <c r="AT787" s="239"/>
      <c r="AU787" s="239"/>
    </row>
    <row r="788" spans="1:47" x14ac:dyDescent="0.35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306"/>
      <c r="W788" s="239"/>
      <c r="X788" s="239"/>
      <c r="Y788" s="239"/>
      <c r="Z788" s="239"/>
      <c r="AA788" s="239"/>
      <c r="AB788" s="239"/>
      <c r="AC788" s="239"/>
      <c r="AD788" s="245"/>
      <c r="AE788" s="239"/>
      <c r="AF788" s="239"/>
      <c r="AG788" s="239"/>
      <c r="AH788" s="239"/>
      <c r="AI788" s="239"/>
      <c r="AJ788" s="239"/>
      <c r="AK788" s="239"/>
      <c r="AL788" s="239"/>
      <c r="AM788" s="245"/>
      <c r="AN788" s="239"/>
      <c r="AO788" s="239"/>
      <c r="AP788" s="239"/>
      <c r="AQ788" s="306"/>
      <c r="AR788" s="239"/>
      <c r="AS788" s="239"/>
      <c r="AT788" s="239"/>
      <c r="AU788" s="239"/>
    </row>
    <row r="789" spans="1:47" x14ac:dyDescent="0.35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306"/>
      <c r="W789" s="239"/>
      <c r="X789" s="239"/>
      <c r="Y789" s="239"/>
      <c r="Z789" s="239"/>
      <c r="AA789" s="239"/>
      <c r="AB789" s="239"/>
      <c r="AC789" s="239"/>
      <c r="AD789" s="245"/>
      <c r="AE789" s="239"/>
      <c r="AF789" s="239"/>
      <c r="AG789" s="239"/>
      <c r="AH789" s="239"/>
      <c r="AI789" s="239"/>
      <c r="AJ789" s="239"/>
      <c r="AK789" s="239"/>
      <c r="AL789" s="239"/>
      <c r="AM789" s="245"/>
      <c r="AN789" s="239"/>
      <c r="AO789" s="239"/>
      <c r="AP789" s="239"/>
      <c r="AQ789" s="306"/>
      <c r="AR789" s="239"/>
      <c r="AS789" s="239"/>
      <c r="AT789" s="239"/>
      <c r="AU789" s="239"/>
    </row>
    <row r="790" spans="1:47" x14ac:dyDescent="0.35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306"/>
      <c r="W790" s="239"/>
      <c r="X790" s="239"/>
      <c r="Y790" s="239"/>
      <c r="Z790" s="239"/>
      <c r="AA790" s="239"/>
      <c r="AB790" s="239"/>
      <c r="AC790" s="239"/>
      <c r="AD790" s="245"/>
      <c r="AE790" s="239"/>
      <c r="AF790" s="239"/>
      <c r="AG790" s="239"/>
      <c r="AH790" s="239"/>
      <c r="AI790" s="239"/>
      <c r="AJ790" s="239"/>
      <c r="AK790" s="239"/>
      <c r="AL790" s="239"/>
      <c r="AM790" s="245"/>
      <c r="AN790" s="239"/>
      <c r="AO790" s="239"/>
      <c r="AP790" s="239"/>
      <c r="AQ790" s="306"/>
      <c r="AR790" s="239"/>
      <c r="AS790" s="239"/>
      <c r="AT790" s="239"/>
      <c r="AU790" s="239"/>
    </row>
    <row r="791" spans="1:47" x14ac:dyDescent="0.35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306"/>
      <c r="W791" s="239"/>
      <c r="X791" s="239"/>
      <c r="Y791" s="239"/>
      <c r="Z791" s="239"/>
      <c r="AA791" s="239"/>
      <c r="AB791" s="239"/>
      <c r="AC791" s="239"/>
      <c r="AD791" s="245"/>
      <c r="AE791" s="239"/>
      <c r="AF791" s="239"/>
      <c r="AG791" s="239"/>
      <c r="AH791" s="239"/>
      <c r="AI791" s="239"/>
      <c r="AJ791" s="239"/>
      <c r="AK791" s="239"/>
      <c r="AL791" s="239"/>
      <c r="AM791" s="245"/>
      <c r="AN791" s="239"/>
      <c r="AO791" s="239"/>
      <c r="AP791" s="239"/>
      <c r="AQ791" s="306"/>
      <c r="AR791" s="239"/>
      <c r="AS791" s="239"/>
      <c r="AT791" s="239"/>
      <c r="AU791" s="239"/>
    </row>
    <row r="792" spans="1:47" x14ac:dyDescent="0.35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306"/>
      <c r="W792" s="239"/>
      <c r="X792" s="239"/>
      <c r="Y792" s="239"/>
      <c r="Z792" s="239"/>
      <c r="AA792" s="239"/>
      <c r="AB792" s="239"/>
      <c r="AC792" s="239"/>
      <c r="AD792" s="245"/>
      <c r="AE792" s="239"/>
      <c r="AF792" s="239"/>
      <c r="AG792" s="239"/>
      <c r="AH792" s="239"/>
      <c r="AI792" s="239"/>
      <c r="AJ792" s="239"/>
      <c r="AK792" s="239"/>
      <c r="AL792" s="239"/>
      <c r="AM792" s="245"/>
      <c r="AN792" s="239"/>
      <c r="AO792" s="239"/>
      <c r="AP792" s="239"/>
      <c r="AQ792" s="306"/>
      <c r="AR792" s="239"/>
      <c r="AS792" s="239"/>
      <c r="AT792" s="239"/>
      <c r="AU792" s="239"/>
    </row>
    <row r="793" spans="1:47" x14ac:dyDescent="0.35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306"/>
      <c r="W793" s="239"/>
      <c r="X793" s="239"/>
      <c r="Y793" s="239"/>
      <c r="Z793" s="239"/>
      <c r="AA793" s="239"/>
      <c r="AB793" s="239"/>
      <c r="AC793" s="239"/>
      <c r="AD793" s="245"/>
      <c r="AE793" s="239"/>
      <c r="AF793" s="239"/>
      <c r="AG793" s="239"/>
      <c r="AH793" s="239"/>
      <c r="AI793" s="239"/>
      <c r="AJ793" s="239"/>
      <c r="AK793" s="239"/>
      <c r="AL793" s="239"/>
      <c r="AM793" s="245"/>
      <c r="AN793" s="239"/>
      <c r="AO793" s="239"/>
      <c r="AP793" s="239"/>
      <c r="AQ793" s="306"/>
      <c r="AR793" s="239"/>
      <c r="AS793" s="239"/>
      <c r="AT793" s="239"/>
      <c r="AU793" s="239"/>
    </row>
    <row r="794" spans="1:47" x14ac:dyDescent="0.35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306"/>
      <c r="W794" s="239"/>
      <c r="X794" s="239"/>
      <c r="Y794" s="239"/>
      <c r="Z794" s="239"/>
      <c r="AA794" s="239"/>
      <c r="AB794" s="239"/>
      <c r="AC794" s="239"/>
      <c r="AD794" s="245"/>
      <c r="AE794" s="239"/>
      <c r="AF794" s="239"/>
      <c r="AG794" s="239"/>
      <c r="AH794" s="239"/>
      <c r="AI794" s="239"/>
      <c r="AJ794" s="239"/>
      <c r="AK794" s="239"/>
      <c r="AL794" s="239"/>
      <c r="AM794" s="245"/>
      <c r="AN794" s="239"/>
      <c r="AO794" s="239"/>
      <c r="AP794" s="239"/>
      <c r="AQ794" s="306"/>
      <c r="AR794" s="239"/>
      <c r="AS794" s="239"/>
      <c r="AT794" s="239"/>
      <c r="AU794" s="239"/>
    </row>
    <row r="795" spans="1:47" x14ac:dyDescent="0.35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306"/>
      <c r="W795" s="239"/>
      <c r="X795" s="239"/>
      <c r="Y795" s="239"/>
      <c r="Z795" s="239"/>
      <c r="AA795" s="239"/>
      <c r="AB795" s="239"/>
      <c r="AC795" s="239"/>
      <c r="AD795" s="245"/>
      <c r="AE795" s="239"/>
      <c r="AF795" s="239"/>
      <c r="AG795" s="239"/>
      <c r="AH795" s="239"/>
      <c r="AI795" s="239"/>
      <c r="AJ795" s="239"/>
      <c r="AK795" s="239"/>
      <c r="AL795" s="239"/>
      <c r="AM795" s="245"/>
      <c r="AN795" s="239"/>
      <c r="AO795" s="239"/>
      <c r="AP795" s="239"/>
      <c r="AQ795" s="306"/>
      <c r="AR795" s="239"/>
      <c r="AS795" s="239"/>
      <c r="AT795" s="239"/>
      <c r="AU795" s="239"/>
    </row>
    <row r="796" spans="1:47" x14ac:dyDescent="0.35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306"/>
      <c r="W796" s="239"/>
      <c r="X796" s="239"/>
      <c r="Y796" s="239"/>
      <c r="Z796" s="239"/>
      <c r="AA796" s="239"/>
      <c r="AB796" s="239"/>
      <c r="AC796" s="239"/>
      <c r="AD796" s="245"/>
      <c r="AE796" s="239"/>
      <c r="AF796" s="239"/>
      <c r="AG796" s="239"/>
      <c r="AH796" s="239"/>
      <c r="AI796" s="239"/>
      <c r="AJ796" s="239"/>
      <c r="AK796" s="239"/>
      <c r="AL796" s="239"/>
      <c r="AM796" s="245"/>
      <c r="AN796" s="239"/>
      <c r="AO796" s="239"/>
      <c r="AP796" s="239"/>
      <c r="AQ796" s="306"/>
      <c r="AR796" s="239"/>
      <c r="AS796" s="239"/>
      <c r="AT796" s="239"/>
      <c r="AU796" s="239"/>
    </row>
    <row r="797" spans="1:47" x14ac:dyDescent="0.35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306"/>
      <c r="W797" s="239"/>
      <c r="X797" s="239"/>
      <c r="Y797" s="239"/>
      <c r="Z797" s="239"/>
      <c r="AA797" s="239"/>
      <c r="AB797" s="239"/>
      <c r="AC797" s="239"/>
      <c r="AD797" s="245"/>
      <c r="AE797" s="239"/>
      <c r="AF797" s="239"/>
      <c r="AG797" s="239"/>
      <c r="AH797" s="239"/>
      <c r="AI797" s="239"/>
      <c r="AJ797" s="239"/>
      <c r="AK797" s="239"/>
      <c r="AL797" s="239"/>
      <c r="AM797" s="245"/>
      <c r="AN797" s="239"/>
      <c r="AO797" s="239"/>
      <c r="AP797" s="239"/>
      <c r="AQ797" s="306"/>
      <c r="AR797" s="239"/>
      <c r="AS797" s="239"/>
      <c r="AT797" s="239"/>
      <c r="AU797" s="239"/>
    </row>
    <row r="798" spans="1:47" x14ac:dyDescent="0.35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306"/>
      <c r="W798" s="239"/>
      <c r="X798" s="239"/>
      <c r="Y798" s="239"/>
      <c r="Z798" s="239"/>
      <c r="AA798" s="239"/>
      <c r="AB798" s="239"/>
      <c r="AC798" s="239"/>
      <c r="AD798" s="245"/>
      <c r="AE798" s="239"/>
      <c r="AF798" s="239"/>
      <c r="AG798" s="239"/>
      <c r="AH798" s="239"/>
      <c r="AI798" s="239"/>
      <c r="AJ798" s="239"/>
      <c r="AK798" s="239"/>
      <c r="AL798" s="239"/>
      <c r="AM798" s="245"/>
      <c r="AN798" s="239"/>
      <c r="AO798" s="239"/>
      <c r="AP798" s="239"/>
      <c r="AQ798" s="306"/>
      <c r="AR798" s="239"/>
      <c r="AS798" s="239"/>
      <c r="AT798" s="239"/>
      <c r="AU798" s="239"/>
    </row>
    <row r="799" spans="1:47" x14ac:dyDescent="0.35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306"/>
      <c r="W799" s="239"/>
      <c r="X799" s="239"/>
      <c r="Y799" s="239"/>
      <c r="Z799" s="239"/>
      <c r="AA799" s="239"/>
      <c r="AB799" s="239"/>
      <c r="AC799" s="239"/>
      <c r="AD799" s="245"/>
      <c r="AE799" s="239"/>
      <c r="AF799" s="239"/>
      <c r="AG799" s="239"/>
      <c r="AH799" s="239"/>
      <c r="AI799" s="239"/>
      <c r="AJ799" s="239"/>
      <c r="AK799" s="239"/>
      <c r="AL799" s="239"/>
      <c r="AM799" s="245"/>
      <c r="AN799" s="239"/>
      <c r="AO799" s="239"/>
      <c r="AP799" s="239"/>
      <c r="AQ799" s="306"/>
      <c r="AR799" s="239"/>
      <c r="AS799" s="239"/>
      <c r="AT799" s="239"/>
      <c r="AU799" s="239"/>
    </row>
    <row r="800" spans="1:47" x14ac:dyDescent="0.35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306"/>
      <c r="W800" s="239"/>
      <c r="X800" s="239"/>
      <c r="Y800" s="239"/>
      <c r="Z800" s="239"/>
      <c r="AA800" s="239"/>
      <c r="AB800" s="239"/>
      <c r="AC800" s="239"/>
      <c r="AD800" s="245"/>
      <c r="AE800" s="239"/>
      <c r="AF800" s="239"/>
      <c r="AG800" s="239"/>
      <c r="AH800" s="239"/>
      <c r="AI800" s="239"/>
      <c r="AJ800" s="239"/>
      <c r="AK800" s="239"/>
      <c r="AL800" s="239"/>
      <c r="AM800" s="245"/>
      <c r="AN800" s="239"/>
      <c r="AO800" s="239"/>
      <c r="AP800" s="239"/>
      <c r="AQ800" s="306"/>
      <c r="AR800" s="239"/>
      <c r="AS800" s="239"/>
      <c r="AT800" s="239"/>
      <c r="AU800" s="239"/>
    </row>
    <row r="801" spans="1:47" x14ac:dyDescent="0.35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306"/>
      <c r="W801" s="239"/>
      <c r="X801" s="239"/>
      <c r="Y801" s="239"/>
      <c r="Z801" s="239"/>
      <c r="AA801" s="239"/>
      <c r="AB801" s="239"/>
      <c r="AC801" s="239"/>
      <c r="AD801" s="245"/>
      <c r="AE801" s="239"/>
      <c r="AF801" s="239"/>
      <c r="AG801" s="239"/>
      <c r="AH801" s="239"/>
      <c r="AI801" s="239"/>
      <c r="AJ801" s="239"/>
      <c r="AK801" s="239"/>
      <c r="AL801" s="239"/>
      <c r="AM801" s="245"/>
      <c r="AN801" s="239"/>
      <c r="AO801" s="239"/>
      <c r="AP801" s="239"/>
      <c r="AQ801" s="306"/>
      <c r="AR801" s="239"/>
      <c r="AS801" s="239"/>
      <c r="AT801" s="239"/>
      <c r="AU801" s="239"/>
    </row>
    <row r="802" spans="1:47" x14ac:dyDescent="0.35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306"/>
      <c r="W802" s="239"/>
      <c r="X802" s="239"/>
      <c r="Y802" s="239"/>
      <c r="Z802" s="239"/>
      <c r="AA802" s="239"/>
      <c r="AB802" s="239"/>
      <c r="AC802" s="239"/>
      <c r="AD802" s="245"/>
      <c r="AE802" s="239"/>
      <c r="AF802" s="239"/>
      <c r="AG802" s="239"/>
      <c r="AH802" s="239"/>
      <c r="AI802" s="239"/>
      <c r="AJ802" s="239"/>
      <c r="AK802" s="239"/>
      <c r="AL802" s="239"/>
      <c r="AM802" s="245"/>
      <c r="AN802" s="239"/>
      <c r="AO802" s="239"/>
      <c r="AP802" s="239"/>
      <c r="AQ802" s="306"/>
      <c r="AR802" s="239"/>
      <c r="AS802" s="239"/>
      <c r="AT802" s="239"/>
      <c r="AU802" s="239"/>
    </row>
    <row r="803" spans="1:47" x14ac:dyDescent="0.35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306"/>
      <c r="W803" s="239"/>
      <c r="X803" s="239"/>
      <c r="Y803" s="239"/>
      <c r="Z803" s="239"/>
      <c r="AA803" s="239"/>
      <c r="AB803" s="239"/>
      <c r="AC803" s="239"/>
      <c r="AD803" s="245"/>
      <c r="AE803" s="239"/>
      <c r="AF803" s="239"/>
      <c r="AG803" s="239"/>
      <c r="AH803" s="239"/>
      <c r="AI803" s="239"/>
      <c r="AJ803" s="239"/>
      <c r="AK803" s="239"/>
      <c r="AL803" s="239"/>
      <c r="AM803" s="245"/>
      <c r="AN803" s="239"/>
      <c r="AO803" s="239"/>
      <c r="AP803" s="239"/>
      <c r="AQ803" s="306"/>
      <c r="AR803" s="239"/>
      <c r="AS803" s="239"/>
      <c r="AT803" s="239"/>
      <c r="AU803" s="239"/>
    </row>
    <row r="804" spans="1:47" x14ac:dyDescent="0.35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306"/>
      <c r="W804" s="239"/>
      <c r="X804" s="239"/>
      <c r="Y804" s="239"/>
      <c r="Z804" s="239"/>
      <c r="AA804" s="239"/>
      <c r="AB804" s="239"/>
      <c r="AC804" s="239"/>
      <c r="AD804" s="245"/>
      <c r="AE804" s="239"/>
      <c r="AF804" s="239"/>
      <c r="AG804" s="239"/>
      <c r="AH804" s="239"/>
      <c r="AI804" s="239"/>
      <c r="AJ804" s="239"/>
      <c r="AK804" s="239"/>
      <c r="AL804" s="239"/>
      <c r="AM804" s="245"/>
      <c r="AN804" s="239"/>
      <c r="AO804" s="239"/>
      <c r="AP804" s="239"/>
      <c r="AQ804" s="306"/>
      <c r="AR804" s="239"/>
      <c r="AS804" s="239"/>
      <c r="AT804" s="239"/>
      <c r="AU804" s="239"/>
    </row>
    <row r="805" spans="1:47" x14ac:dyDescent="0.35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306"/>
      <c r="W805" s="239"/>
      <c r="X805" s="239"/>
      <c r="Y805" s="239"/>
      <c r="Z805" s="239"/>
      <c r="AA805" s="239"/>
      <c r="AB805" s="239"/>
      <c r="AC805" s="239"/>
      <c r="AD805" s="245"/>
      <c r="AE805" s="239"/>
      <c r="AF805" s="239"/>
      <c r="AG805" s="239"/>
      <c r="AH805" s="239"/>
      <c r="AI805" s="239"/>
      <c r="AJ805" s="239"/>
      <c r="AK805" s="239"/>
      <c r="AL805" s="239"/>
      <c r="AM805" s="245"/>
      <c r="AN805" s="239"/>
      <c r="AO805" s="239"/>
      <c r="AP805" s="239"/>
      <c r="AQ805" s="306"/>
      <c r="AR805" s="239"/>
      <c r="AS805" s="239"/>
      <c r="AT805" s="239"/>
      <c r="AU805" s="239"/>
    </row>
    <row r="806" spans="1:47" x14ac:dyDescent="0.35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306"/>
      <c r="W806" s="239"/>
      <c r="X806" s="239"/>
      <c r="Y806" s="239"/>
      <c r="Z806" s="239"/>
      <c r="AA806" s="239"/>
      <c r="AB806" s="239"/>
      <c r="AC806" s="239"/>
      <c r="AD806" s="245"/>
      <c r="AE806" s="239"/>
      <c r="AF806" s="239"/>
      <c r="AG806" s="239"/>
      <c r="AH806" s="239"/>
      <c r="AI806" s="239"/>
      <c r="AJ806" s="239"/>
      <c r="AK806" s="239"/>
      <c r="AL806" s="239"/>
      <c r="AM806" s="245"/>
      <c r="AN806" s="239"/>
      <c r="AO806" s="239"/>
      <c r="AP806" s="239"/>
      <c r="AQ806" s="306"/>
      <c r="AR806" s="239"/>
      <c r="AS806" s="239"/>
      <c r="AT806" s="239"/>
      <c r="AU806" s="239"/>
    </row>
    <row r="807" spans="1:47" x14ac:dyDescent="0.35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306"/>
      <c r="W807" s="239"/>
      <c r="X807" s="239"/>
      <c r="Y807" s="239"/>
      <c r="Z807" s="239"/>
      <c r="AA807" s="239"/>
      <c r="AB807" s="239"/>
      <c r="AC807" s="239"/>
      <c r="AD807" s="245"/>
      <c r="AE807" s="239"/>
      <c r="AF807" s="239"/>
      <c r="AG807" s="239"/>
      <c r="AH807" s="239"/>
      <c r="AI807" s="239"/>
      <c r="AJ807" s="239"/>
      <c r="AK807" s="239"/>
      <c r="AL807" s="239"/>
      <c r="AM807" s="245"/>
      <c r="AN807" s="239"/>
      <c r="AO807" s="239"/>
      <c r="AP807" s="239"/>
      <c r="AQ807" s="306"/>
      <c r="AR807" s="239"/>
      <c r="AS807" s="239"/>
      <c r="AT807" s="239"/>
      <c r="AU807" s="239"/>
    </row>
    <row r="808" spans="1:47" x14ac:dyDescent="0.35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306"/>
      <c r="W808" s="239"/>
      <c r="X808" s="239"/>
      <c r="Y808" s="239"/>
      <c r="Z808" s="239"/>
      <c r="AA808" s="239"/>
      <c r="AB808" s="239"/>
      <c r="AC808" s="239"/>
      <c r="AD808" s="245"/>
      <c r="AE808" s="239"/>
      <c r="AF808" s="239"/>
      <c r="AG808" s="239"/>
      <c r="AH808" s="239"/>
      <c r="AI808" s="239"/>
      <c r="AJ808" s="239"/>
      <c r="AK808" s="239"/>
      <c r="AL808" s="239"/>
      <c r="AM808" s="245"/>
      <c r="AN808" s="239"/>
      <c r="AO808" s="239"/>
      <c r="AP808" s="239"/>
      <c r="AQ808" s="306"/>
      <c r="AR808" s="239"/>
      <c r="AS808" s="239"/>
      <c r="AT808" s="239"/>
      <c r="AU808" s="239"/>
    </row>
    <row r="809" spans="1:47" x14ac:dyDescent="0.35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306"/>
      <c r="W809" s="239"/>
      <c r="X809" s="239"/>
      <c r="Y809" s="239"/>
      <c r="Z809" s="239"/>
      <c r="AA809" s="239"/>
      <c r="AB809" s="239"/>
      <c r="AC809" s="239"/>
      <c r="AD809" s="245"/>
      <c r="AE809" s="239"/>
      <c r="AF809" s="239"/>
      <c r="AG809" s="239"/>
      <c r="AH809" s="239"/>
      <c r="AI809" s="239"/>
      <c r="AJ809" s="239"/>
      <c r="AK809" s="239"/>
      <c r="AL809" s="239"/>
      <c r="AM809" s="245"/>
      <c r="AN809" s="239"/>
      <c r="AO809" s="239"/>
      <c r="AP809" s="239"/>
      <c r="AQ809" s="306"/>
      <c r="AR809" s="239"/>
      <c r="AS809" s="239"/>
      <c r="AT809" s="239"/>
      <c r="AU809" s="239"/>
    </row>
    <row r="810" spans="1:47" x14ac:dyDescent="0.35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306"/>
      <c r="W810" s="239"/>
      <c r="X810" s="239"/>
      <c r="Y810" s="239"/>
      <c r="Z810" s="239"/>
      <c r="AA810" s="239"/>
      <c r="AB810" s="239"/>
      <c r="AC810" s="239"/>
      <c r="AD810" s="245"/>
      <c r="AE810" s="239"/>
      <c r="AF810" s="239"/>
      <c r="AG810" s="239"/>
      <c r="AH810" s="239"/>
      <c r="AI810" s="239"/>
      <c r="AJ810" s="239"/>
      <c r="AK810" s="239"/>
      <c r="AL810" s="239"/>
      <c r="AM810" s="245"/>
      <c r="AN810" s="239"/>
      <c r="AO810" s="239"/>
      <c r="AP810" s="239"/>
      <c r="AQ810" s="306"/>
      <c r="AR810" s="239"/>
      <c r="AS810" s="239"/>
      <c r="AT810" s="239"/>
      <c r="AU810" s="239"/>
    </row>
    <row r="811" spans="1:47" x14ac:dyDescent="0.35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306"/>
      <c r="W811" s="239"/>
      <c r="X811" s="239"/>
      <c r="Y811" s="239"/>
      <c r="Z811" s="239"/>
      <c r="AA811" s="239"/>
      <c r="AB811" s="239"/>
      <c r="AC811" s="239"/>
      <c r="AD811" s="245"/>
      <c r="AE811" s="239"/>
      <c r="AF811" s="239"/>
      <c r="AG811" s="239"/>
      <c r="AH811" s="239"/>
      <c r="AI811" s="239"/>
      <c r="AJ811" s="239"/>
      <c r="AK811" s="239"/>
      <c r="AL811" s="239"/>
      <c r="AM811" s="245"/>
      <c r="AN811" s="239"/>
      <c r="AO811" s="239"/>
      <c r="AP811" s="239"/>
      <c r="AQ811" s="306"/>
      <c r="AR811" s="239"/>
      <c r="AS811" s="239"/>
      <c r="AT811" s="239"/>
      <c r="AU811" s="239"/>
    </row>
    <row r="812" spans="1:47" x14ac:dyDescent="0.35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306"/>
      <c r="W812" s="239"/>
      <c r="X812" s="239"/>
      <c r="Y812" s="239"/>
      <c r="Z812" s="239"/>
      <c r="AA812" s="239"/>
      <c r="AB812" s="239"/>
      <c r="AC812" s="239"/>
      <c r="AD812" s="245"/>
      <c r="AE812" s="239"/>
      <c r="AF812" s="239"/>
      <c r="AG812" s="239"/>
      <c r="AH812" s="239"/>
      <c r="AI812" s="239"/>
      <c r="AJ812" s="239"/>
      <c r="AK812" s="239"/>
      <c r="AL812" s="239"/>
      <c r="AM812" s="245"/>
      <c r="AN812" s="239"/>
      <c r="AO812" s="239"/>
      <c r="AP812" s="239"/>
      <c r="AQ812" s="306"/>
      <c r="AR812" s="239"/>
      <c r="AS812" s="239"/>
      <c r="AT812" s="239"/>
      <c r="AU812" s="239"/>
    </row>
    <row r="813" spans="1:47" x14ac:dyDescent="0.35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306"/>
      <c r="W813" s="239"/>
      <c r="X813" s="239"/>
      <c r="Y813" s="239"/>
      <c r="Z813" s="239"/>
      <c r="AA813" s="239"/>
      <c r="AB813" s="239"/>
      <c r="AC813" s="239"/>
      <c r="AD813" s="245"/>
      <c r="AE813" s="239"/>
      <c r="AF813" s="239"/>
      <c r="AG813" s="239"/>
      <c r="AH813" s="239"/>
      <c r="AI813" s="239"/>
      <c r="AJ813" s="239"/>
      <c r="AK813" s="239"/>
      <c r="AL813" s="239"/>
      <c r="AM813" s="245"/>
      <c r="AN813" s="239"/>
      <c r="AO813" s="239"/>
      <c r="AP813" s="239"/>
      <c r="AQ813" s="306"/>
      <c r="AR813" s="239"/>
      <c r="AS813" s="239"/>
      <c r="AT813" s="239"/>
      <c r="AU813" s="239"/>
    </row>
    <row r="814" spans="1:47" x14ac:dyDescent="0.35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306"/>
      <c r="W814" s="239"/>
      <c r="X814" s="239"/>
      <c r="Y814" s="239"/>
      <c r="Z814" s="239"/>
      <c r="AA814" s="239"/>
      <c r="AB814" s="239"/>
      <c r="AC814" s="239"/>
      <c r="AD814" s="245"/>
      <c r="AE814" s="239"/>
      <c r="AF814" s="239"/>
      <c r="AG814" s="239"/>
      <c r="AH814" s="239"/>
      <c r="AI814" s="239"/>
      <c r="AJ814" s="239"/>
      <c r="AK814" s="239"/>
      <c r="AL814" s="239"/>
      <c r="AM814" s="245"/>
      <c r="AN814" s="239"/>
      <c r="AO814" s="239"/>
      <c r="AP814" s="239"/>
      <c r="AQ814" s="306"/>
      <c r="AR814" s="239"/>
      <c r="AS814" s="239"/>
      <c r="AT814" s="239"/>
      <c r="AU814" s="239"/>
    </row>
    <row r="815" spans="1:47" x14ac:dyDescent="0.35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306"/>
      <c r="W815" s="239"/>
      <c r="X815" s="239"/>
      <c r="Y815" s="239"/>
      <c r="Z815" s="239"/>
      <c r="AA815" s="239"/>
      <c r="AB815" s="239"/>
      <c r="AC815" s="239"/>
      <c r="AD815" s="245"/>
      <c r="AE815" s="239"/>
      <c r="AF815" s="239"/>
      <c r="AG815" s="239"/>
      <c r="AH815" s="239"/>
      <c r="AI815" s="239"/>
      <c r="AJ815" s="239"/>
      <c r="AK815" s="239"/>
      <c r="AL815" s="239"/>
      <c r="AM815" s="245"/>
      <c r="AN815" s="239"/>
      <c r="AO815" s="239"/>
      <c r="AP815" s="239"/>
      <c r="AQ815" s="306"/>
      <c r="AR815" s="239"/>
      <c r="AS815" s="239"/>
      <c r="AT815" s="239"/>
      <c r="AU815" s="239"/>
    </row>
    <row r="816" spans="1:47" x14ac:dyDescent="0.35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306"/>
      <c r="W816" s="239"/>
      <c r="X816" s="239"/>
      <c r="Y816" s="239"/>
      <c r="Z816" s="239"/>
      <c r="AA816" s="239"/>
      <c r="AB816" s="239"/>
      <c r="AC816" s="239"/>
      <c r="AD816" s="245"/>
      <c r="AE816" s="239"/>
      <c r="AF816" s="239"/>
      <c r="AG816" s="239"/>
      <c r="AH816" s="239"/>
      <c r="AI816" s="239"/>
      <c r="AJ816" s="239"/>
      <c r="AK816" s="239"/>
      <c r="AL816" s="239"/>
      <c r="AM816" s="245"/>
      <c r="AN816" s="239"/>
      <c r="AO816" s="239"/>
      <c r="AP816" s="239"/>
      <c r="AQ816" s="306"/>
      <c r="AR816" s="239"/>
      <c r="AS816" s="239"/>
      <c r="AT816" s="239"/>
      <c r="AU816" s="239"/>
    </row>
    <row r="817" spans="1:47" x14ac:dyDescent="0.35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306"/>
      <c r="W817" s="239"/>
      <c r="X817" s="239"/>
      <c r="Y817" s="239"/>
      <c r="Z817" s="239"/>
      <c r="AA817" s="239"/>
      <c r="AB817" s="239"/>
      <c r="AC817" s="239"/>
      <c r="AD817" s="245"/>
      <c r="AE817" s="239"/>
      <c r="AF817" s="239"/>
      <c r="AG817" s="239"/>
      <c r="AH817" s="239"/>
      <c r="AI817" s="239"/>
      <c r="AJ817" s="239"/>
      <c r="AK817" s="239"/>
      <c r="AL817" s="239"/>
      <c r="AM817" s="245"/>
      <c r="AN817" s="239"/>
      <c r="AO817" s="239"/>
      <c r="AP817" s="239"/>
      <c r="AQ817" s="306"/>
      <c r="AR817" s="239"/>
      <c r="AS817" s="239"/>
      <c r="AT817" s="239"/>
      <c r="AU817" s="239"/>
    </row>
    <row r="818" spans="1:47" x14ac:dyDescent="0.35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306"/>
      <c r="W818" s="239"/>
      <c r="X818" s="239"/>
      <c r="Y818" s="239"/>
      <c r="Z818" s="239"/>
      <c r="AA818" s="239"/>
      <c r="AB818" s="239"/>
      <c r="AC818" s="239"/>
      <c r="AD818" s="245"/>
      <c r="AE818" s="239"/>
      <c r="AF818" s="239"/>
      <c r="AG818" s="239"/>
      <c r="AH818" s="239"/>
      <c r="AI818" s="239"/>
      <c r="AJ818" s="239"/>
      <c r="AK818" s="239"/>
      <c r="AL818" s="239"/>
      <c r="AM818" s="245"/>
      <c r="AN818" s="239"/>
      <c r="AO818" s="239"/>
      <c r="AP818" s="239"/>
      <c r="AQ818" s="306"/>
      <c r="AR818" s="239"/>
      <c r="AS818" s="239"/>
      <c r="AT818" s="239"/>
      <c r="AU818" s="239"/>
    </row>
    <row r="819" spans="1:47" x14ac:dyDescent="0.35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306"/>
      <c r="W819" s="239"/>
      <c r="X819" s="239"/>
      <c r="Y819" s="239"/>
      <c r="Z819" s="239"/>
      <c r="AA819" s="239"/>
      <c r="AB819" s="239"/>
      <c r="AC819" s="239"/>
      <c r="AD819" s="245"/>
      <c r="AE819" s="239"/>
      <c r="AF819" s="239"/>
      <c r="AG819" s="239"/>
      <c r="AH819" s="239"/>
      <c r="AI819" s="239"/>
      <c r="AJ819" s="239"/>
      <c r="AK819" s="239"/>
      <c r="AL819" s="239"/>
      <c r="AM819" s="245"/>
      <c r="AN819" s="239"/>
      <c r="AO819" s="239"/>
      <c r="AP819" s="239"/>
      <c r="AQ819" s="306"/>
      <c r="AR819" s="239"/>
      <c r="AS819" s="239"/>
      <c r="AT819" s="239"/>
      <c r="AU819" s="239"/>
    </row>
    <row r="820" spans="1:47" x14ac:dyDescent="0.35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306"/>
      <c r="W820" s="239"/>
      <c r="X820" s="239"/>
      <c r="Y820" s="239"/>
      <c r="Z820" s="239"/>
      <c r="AA820" s="239"/>
      <c r="AB820" s="239"/>
      <c r="AC820" s="239"/>
      <c r="AD820" s="245"/>
      <c r="AE820" s="239"/>
      <c r="AF820" s="239"/>
      <c r="AG820" s="239"/>
      <c r="AH820" s="239"/>
      <c r="AI820" s="239"/>
      <c r="AJ820" s="239"/>
      <c r="AK820" s="239"/>
      <c r="AL820" s="239"/>
      <c r="AM820" s="245"/>
      <c r="AN820" s="239"/>
      <c r="AO820" s="239"/>
      <c r="AP820" s="239"/>
      <c r="AQ820" s="306"/>
      <c r="AR820" s="239"/>
      <c r="AS820" s="239"/>
      <c r="AT820" s="239"/>
      <c r="AU820" s="239"/>
    </row>
    <row r="821" spans="1:47" x14ac:dyDescent="0.35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306"/>
      <c r="W821" s="239"/>
      <c r="X821" s="239"/>
      <c r="Y821" s="239"/>
      <c r="Z821" s="239"/>
      <c r="AA821" s="239"/>
      <c r="AB821" s="239"/>
      <c r="AC821" s="239"/>
      <c r="AD821" s="245"/>
      <c r="AE821" s="239"/>
      <c r="AF821" s="239"/>
      <c r="AG821" s="239"/>
      <c r="AH821" s="239"/>
      <c r="AI821" s="239"/>
      <c r="AJ821" s="239"/>
      <c r="AK821" s="239"/>
      <c r="AL821" s="239"/>
      <c r="AM821" s="245"/>
      <c r="AN821" s="239"/>
      <c r="AO821" s="239"/>
      <c r="AP821" s="239"/>
      <c r="AQ821" s="306"/>
      <c r="AR821" s="239"/>
      <c r="AS821" s="239"/>
      <c r="AT821" s="239"/>
      <c r="AU821" s="239"/>
    </row>
    <row r="822" spans="1:47" x14ac:dyDescent="0.35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306"/>
      <c r="W822" s="239"/>
      <c r="X822" s="239"/>
      <c r="Y822" s="239"/>
      <c r="Z822" s="239"/>
      <c r="AA822" s="239"/>
      <c r="AB822" s="239"/>
      <c r="AC822" s="239"/>
      <c r="AD822" s="245"/>
      <c r="AE822" s="239"/>
      <c r="AF822" s="239"/>
      <c r="AG822" s="239"/>
      <c r="AH822" s="239"/>
      <c r="AI822" s="239"/>
      <c r="AJ822" s="239"/>
      <c r="AK822" s="239"/>
      <c r="AL822" s="239"/>
      <c r="AM822" s="245"/>
      <c r="AN822" s="239"/>
      <c r="AO822" s="239"/>
      <c r="AP822" s="239"/>
      <c r="AQ822" s="306"/>
      <c r="AR822" s="239"/>
      <c r="AS822" s="239"/>
      <c r="AT822" s="239"/>
      <c r="AU822" s="239"/>
    </row>
    <row r="823" spans="1:47" x14ac:dyDescent="0.35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306"/>
      <c r="W823" s="239"/>
      <c r="X823" s="239"/>
      <c r="Y823" s="239"/>
      <c r="Z823" s="239"/>
      <c r="AA823" s="239"/>
      <c r="AB823" s="239"/>
      <c r="AC823" s="239"/>
      <c r="AD823" s="245"/>
      <c r="AE823" s="239"/>
      <c r="AF823" s="239"/>
      <c r="AG823" s="239"/>
      <c r="AH823" s="239"/>
      <c r="AI823" s="239"/>
      <c r="AJ823" s="239"/>
      <c r="AK823" s="239"/>
      <c r="AL823" s="239"/>
      <c r="AM823" s="245"/>
      <c r="AN823" s="239"/>
      <c r="AO823" s="239"/>
      <c r="AP823" s="239"/>
      <c r="AQ823" s="306"/>
      <c r="AR823" s="239"/>
      <c r="AS823" s="239"/>
      <c r="AT823" s="239"/>
      <c r="AU823" s="239"/>
    </row>
    <row r="824" spans="1:47" x14ac:dyDescent="0.35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306"/>
      <c r="W824" s="239"/>
      <c r="X824" s="239"/>
      <c r="Y824" s="239"/>
      <c r="Z824" s="239"/>
      <c r="AA824" s="239"/>
      <c r="AB824" s="239"/>
      <c r="AC824" s="239"/>
      <c r="AD824" s="245"/>
      <c r="AE824" s="239"/>
      <c r="AF824" s="239"/>
      <c r="AG824" s="239"/>
      <c r="AH824" s="239"/>
      <c r="AI824" s="239"/>
      <c r="AJ824" s="239"/>
      <c r="AK824" s="239"/>
      <c r="AL824" s="239"/>
      <c r="AM824" s="245"/>
      <c r="AN824" s="239"/>
      <c r="AO824" s="239"/>
      <c r="AP824" s="239"/>
      <c r="AQ824" s="306"/>
      <c r="AR824" s="239"/>
      <c r="AS824" s="239"/>
      <c r="AT824" s="239"/>
      <c r="AU824" s="239"/>
    </row>
    <row r="825" spans="1:47" x14ac:dyDescent="0.35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306"/>
      <c r="W825" s="239"/>
      <c r="X825" s="239"/>
      <c r="Y825" s="239"/>
      <c r="Z825" s="239"/>
      <c r="AA825" s="239"/>
      <c r="AB825" s="239"/>
      <c r="AC825" s="239"/>
      <c r="AD825" s="245"/>
      <c r="AE825" s="239"/>
      <c r="AF825" s="239"/>
      <c r="AG825" s="239"/>
      <c r="AH825" s="239"/>
      <c r="AI825" s="239"/>
      <c r="AJ825" s="239"/>
      <c r="AK825" s="239"/>
      <c r="AL825" s="239"/>
      <c r="AM825" s="245"/>
      <c r="AN825" s="239"/>
      <c r="AO825" s="239"/>
      <c r="AP825" s="239"/>
      <c r="AQ825" s="306"/>
      <c r="AR825" s="239"/>
      <c r="AS825" s="239"/>
      <c r="AT825" s="239"/>
      <c r="AU825" s="239"/>
    </row>
    <row r="826" spans="1:47" x14ac:dyDescent="0.35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306"/>
      <c r="W826" s="239"/>
      <c r="X826" s="239"/>
      <c r="Y826" s="239"/>
      <c r="Z826" s="239"/>
      <c r="AA826" s="239"/>
      <c r="AB826" s="239"/>
      <c r="AC826" s="239"/>
      <c r="AD826" s="245"/>
      <c r="AE826" s="239"/>
      <c r="AF826" s="239"/>
      <c r="AG826" s="239"/>
      <c r="AH826" s="239"/>
      <c r="AI826" s="239"/>
      <c r="AJ826" s="239"/>
      <c r="AK826" s="239"/>
      <c r="AL826" s="239"/>
      <c r="AM826" s="245"/>
      <c r="AN826" s="239"/>
      <c r="AO826" s="239"/>
      <c r="AP826" s="239"/>
      <c r="AQ826" s="306"/>
      <c r="AR826" s="239"/>
      <c r="AS826" s="239"/>
      <c r="AT826" s="239"/>
      <c r="AU826" s="239"/>
    </row>
    <row r="827" spans="1:47" x14ac:dyDescent="0.35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306"/>
      <c r="W827" s="239"/>
      <c r="X827" s="239"/>
      <c r="Y827" s="239"/>
      <c r="Z827" s="239"/>
      <c r="AA827" s="239"/>
      <c r="AB827" s="239"/>
      <c r="AC827" s="239"/>
      <c r="AD827" s="245"/>
      <c r="AE827" s="239"/>
      <c r="AF827" s="239"/>
      <c r="AG827" s="239"/>
      <c r="AH827" s="239"/>
      <c r="AI827" s="239"/>
      <c r="AJ827" s="239"/>
      <c r="AK827" s="239"/>
      <c r="AL827" s="239"/>
      <c r="AM827" s="245"/>
      <c r="AN827" s="239"/>
      <c r="AO827" s="239"/>
      <c r="AP827" s="239"/>
      <c r="AQ827" s="306"/>
      <c r="AR827" s="239"/>
      <c r="AS827" s="239"/>
      <c r="AT827" s="239"/>
      <c r="AU827" s="239"/>
    </row>
    <row r="828" spans="1:47" x14ac:dyDescent="0.35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306"/>
      <c r="W828" s="239"/>
      <c r="X828" s="239"/>
      <c r="Y828" s="239"/>
      <c r="Z828" s="239"/>
      <c r="AA828" s="239"/>
      <c r="AB828" s="239"/>
      <c r="AC828" s="239"/>
      <c r="AD828" s="245"/>
      <c r="AE828" s="239"/>
      <c r="AF828" s="239"/>
      <c r="AG828" s="239"/>
      <c r="AH828" s="239"/>
      <c r="AI828" s="239"/>
      <c r="AJ828" s="239"/>
      <c r="AK828" s="239"/>
      <c r="AL828" s="239"/>
      <c r="AM828" s="245"/>
      <c r="AN828" s="239"/>
      <c r="AO828" s="239"/>
      <c r="AP828" s="239"/>
      <c r="AQ828" s="306"/>
      <c r="AR828" s="239"/>
      <c r="AS828" s="239"/>
      <c r="AT828" s="239"/>
      <c r="AU828" s="239"/>
    </row>
    <row r="829" spans="1:47" x14ac:dyDescent="0.35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306"/>
      <c r="W829" s="239"/>
      <c r="X829" s="239"/>
      <c r="Y829" s="239"/>
      <c r="Z829" s="239"/>
      <c r="AA829" s="239"/>
      <c r="AB829" s="239"/>
      <c r="AC829" s="239"/>
      <c r="AD829" s="245"/>
      <c r="AE829" s="239"/>
      <c r="AF829" s="239"/>
      <c r="AG829" s="239"/>
      <c r="AH829" s="239"/>
      <c r="AI829" s="239"/>
      <c r="AJ829" s="239"/>
      <c r="AK829" s="239"/>
      <c r="AL829" s="239"/>
      <c r="AM829" s="245"/>
      <c r="AN829" s="239"/>
      <c r="AO829" s="239"/>
      <c r="AP829" s="239"/>
      <c r="AQ829" s="306"/>
      <c r="AR829" s="239"/>
      <c r="AS829" s="239"/>
      <c r="AT829" s="239"/>
      <c r="AU829" s="239"/>
    </row>
    <row r="830" spans="1:47" x14ac:dyDescent="0.35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306"/>
      <c r="W830" s="239"/>
      <c r="X830" s="239"/>
      <c r="Y830" s="239"/>
      <c r="Z830" s="239"/>
      <c r="AA830" s="239"/>
      <c r="AB830" s="239"/>
      <c r="AC830" s="239"/>
      <c r="AD830" s="245"/>
      <c r="AE830" s="239"/>
      <c r="AF830" s="239"/>
      <c r="AG830" s="239"/>
      <c r="AH830" s="239"/>
      <c r="AI830" s="239"/>
      <c r="AJ830" s="239"/>
      <c r="AK830" s="239"/>
      <c r="AL830" s="239"/>
      <c r="AM830" s="245"/>
      <c r="AN830" s="239"/>
      <c r="AO830" s="239"/>
      <c r="AP830" s="239"/>
      <c r="AQ830" s="306"/>
      <c r="AR830" s="239"/>
      <c r="AS830" s="239"/>
      <c r="AT830" s="239"/>
      <c r="AU830" s="239"/>
    </row>
    <row r="831" spans="1:47" x14ac:dyDescent="0.35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306"/>
      <c r="W831" s="239"/>
      <c r="X831" s="239"/>
      <c r="Y831" s="239"/>
      <c r="Z831" s="239"/>
      <c r="AA831" s="239"/>
      <c r="AB831" s="239"/>
      <c r="AC831" s="239"/>
      <c r="AD831" s="245"/>
      <c r="AE831" s="239"/>
      <c r="AF831" s="239"/>
      <c r="AG831" s="239"/>
      <c r="AH831" s="239"/>
      <c r="AI831" s="239"/>
      <c r="AJ831" s="239"/>
      <c r="AK831" s="239"/>
      <c r="AL831" s="239"/>
      <c r="AM831" s="245"/>
      <c r="AN831" s="239"/>
      <c r="AO831" s="239"/>
      <c r="AP831" s="239"/>
      <c r="AQ831" s="306"/>
      <c r="AR831" s="239"/>
      <c r="AS831" s="239"/>
      <c r="AT831" s="239"/>
      <c r="AU831" s="239"/>
    </row>
    <row r="832" spans="1:47" x14ac:dyDescent="0.35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306"/>
      <c r="W832" s="239"/>
      <c r="X832" s="239"/>
      <c r="Y832" s="239"/>
      <c r="Z832" s="239"/>
      <c r="AA832" s="239"/>
      <c r="AB832" s="239"/>
      <c r="AC832" s="239"/>
      <c r="AD832" s="245"/>
      <c r="AE832" s="239"/>
      <c r="AF832" s="239"/>
      <c r="AG832" s="239"/>
      <c r="AH832" s="239"/>
      <c r="AI832" s="239"/>
      <c r="AJ832" s="239"/>
      <c r="AK832" s="239"/>
      <c r="AL832" s="239"/>
      <c r="AM832" s="245"/>
      <c r="AN832" s="239"/>
      <c r="AO832" s="239"/>
      <c r="AP832" s="239"/>
      <c r="AQ832" s="306"/>
      <c r="AR832" s="239"/>
      <c r="AS832" s="239"/>
      <c r="AT832" s="239"/>
      <c r="AU832" s="239"/>
    </row>
    <row r="833" spans="1:47" x14ac:dyDescent="0.35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306"/>
      <c r="W833" s="239"/>
      <c r="X833" s="239"/>
      <c r="Y833" s="239"/>
      <c r="Z833" s="239"/>
      <c r="AA833" s="239"/>
      <c r="AB833" s="239"/>
      <c r="AC833" s="239"/>
      <c r="AD833" s="245"/>
      <c r="AE833" s="239"/>
      <c r="AF833" s="239"/>
      <c r="AG833" s="239"/>
      <c r="AH833" s="239"/>
      <c r="AI833" s="239"/>
      <c r="AJ833" s="239"/>
      <c r="AK833" s="239"/>
      <c r="AL833" s="239"/>
      <c r="AM833" s="245"/>
      <c r="AN833" s="239"/>
      <c r="AO833" s="239"/>
      <c r="AP833" s="239"/>
      <c r="AQ833" s="306"/>
      <c r="AR833" s="239"/>
      <c r="AS833" s="239"/>
      <c r="AT833" s="239"/>
      <c r="AU833" s="239"/>
    </row>
    <row r="834" spans="1:47" x14ac:dyDescent="0.35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306"/>
      <c r="W834" s="239"/>
      <c r="X834" s="239"/>
      <c r="Y834" s="239"/>
      <c r="Z834" s="239"/>
      <c r="AA834" s="239"/>
      <c r="AB834" s="239"/>
      <c r="AC834" s="239"/>
      <c r="AD834" s="245"/>
      <c r="AE834" s="239"/>
      <c r="AF834" s="239"/>
      <c r="AG834" s="239"/>
      <c r="AH834" s="239"/>
      <c r="AI834" s="239"/>
      <c r="AJ834" s="239"/>
      <c r="AK834" s="239"/>
      <c r="AL834" s="239"/>
      <c r="AM834" s="245"/>
      <c r="AN834" s="239"/>
      <c r="AO834" s="239"/>
      <c r="AP834" s="239"/>
      <c r="AQ834" s="306"/>
      <c r="AR834" s="239"/>
      <c r="AS834" s="239"/>
      <c r="AT834" s="239"/>
      <c r="AU834" s="239"/>
    </row>
    <row r="835" spans="1:47" x14ac:dyDescent="0.35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306"/>
      <c r="W835" s="239"/>
      <c r="X835" s="239"/>
      <c r="Y835" s="239"/>
      <c r="Z835" s="239"/>
      <c r="AA835" s="239"/>
      <c r="AB835" s="239"/>
      <c r="AC835" s="239"/>
      <c r="AD835" s="245"/>
      <c r="AE835" s="239"/>
      <c r="AF835" s="239"/>
      <c r="AG835" s="239"/>
      <c r="AH835" s="239"/>
      <c r="AI835" s="239"/>
      <c r="AJ835" s="239"/>
      <c r="AK835" s="239"/>
      <c r="AL835" s="239"/>
      <c r="AM835" s="245"/>
      <c r="AN835" s="239"/>
      <c r="AO835" s="239"/>
      <c r="AP835" s="239"/>
      <c r="AQ835" s="306"/>
      <c r="AR835" s="239"/>
      <c r="AS835" s="239"/>
      <c r="AT835" s="239"/>
      <c r="AU835" s="239"/>
    </row>
    <row r="836" spans="1:47" x14ac:dyDescent="0.35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306"/>
      <c r="W836" s="239"/>
      <c r="X836" s="239"/>
      <c r="Y836" s="239"/>
      <c r="Z836" s="239"/>
      <c r="AA836" s="239"/>
      <c r="AB836" s="239"/>
      <c r="AC836" s="239"/>
      <c r="AD836" s="245"/>
      <c r="AE836" s="239"/>
      <c r="AF836" s="239"/>
      <c r="AG836" s="239"/>
      <c r="AH836" s="239"/>
      <c r="AI836" s="239"/>
      <c r="AJ836" s="239"/>
      <c r="AK836" s="239"/>
      <c r="AL836" s="239"/>
      <c r="AM836" s="245"/>
      <c r="AN836" s="239"/>
      <c r="AO836" s="239"/>
      <c r="AP836" s="239"/>
      <c r="AQ836" s="306"/>
      <c r="AR836" s="239"/>
      <c r="AS836" s="239"/>
      <c r="AT836" s="239"/>
      <c r="AU836" s="239"/>
    </row>
    <row r="837" spans="1:47" x14ac:dyDescent="0.35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306"/>
      <c r="W837" s="239"/>
      <c r="X837" s="239"/>
      <c r="Y837" s="239"/>
      <c r="Z837" s="239"/>
      <c r="AA837" s="239"/>
      <c r="AB837" s="239"/>
      <c r="AC837" s="239"/>
      <c r="AD837" s="245"/>
      <c r="AE837" s="239"/>
      <c r="AF837" s="239"/>
      <c r="AG837" s="239"/>
      <c r="AH837" s="239"/>
      <c r="AI837" s="239"/>
      <c r="AJ837" s="239"/>
      <c r="AK837" s="239"/>
      <c r="AL837" s="239"/>
      <c r="AM837" s="245"/>
      <c r="AN837" s="239"/>
      <c r="AO837" s="239"/>
      <c r="AP837" s="239"/>
      <c r="AQ837" s="306"/>
      <c r="AR837" s="239"/>
      <c r="AS837" s="239"/>
      <c r="AT837" s="239"/>
      <c r="AU837" s="239"/>
    </row>
    <row r="838" spans="1:47" x14ac:dyDescent="0.35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306"/>
      <c r="W838" s="239"/>
      <c r="X838" s="239"/>
      <c r="Y838" s="239"/>
      <c r="Z838" s="239"/>
      <c r="AA838" s="239"/>
      <c r="AB838" s="239"/>
      <c r="AC838" s="239"/>
      <c r="AD838" s="245"/>
      <c r="AE838" s="239"/>
      <c r="AF838" s="239"/>
      <c r="AG838" s="239"/>
      <c r="AH838" s="239"/>
      <c r="AI838" s="239"/>
      <c r="AJ838" s="239"/>
      <c r="AK838" s="239"/>
      <c r="AL838" s="239"/>
      <c r="AM838" s="245"/>
      <c r="AN838" s="239"/>
      <c r="AO838" s="239"/>
      <c r="AP838" s="239"/>
      <c r="AQ838" s="306"/>
      <c r="AR838" s="239"/>
      <c r="AS838" s="239"/>
      <c r="AT838" s="239"/>
      <c r="AU838" s="239"/>
    </row>
    <row r="839" spans="1:47" x14ac:dyDescent="0.35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306"/>
      <c r="W839" s="239"/>
      <c r="X839" s="239"/>
      <c r="Y839" s="239"/>
      <c r="Z839" s="239"/>
      <c r="AA839" s="239"/>
      <c r="AB839" s="239"/>
      <c r="AC839" s="239"/>
      <c r="AD839" s="245"/>
      <c r="AE839" s="239"/>
      <c r="AF839" s="239"/>
      <c r="AG839" s="239"/>
      <c r="AH839" s="239"/>
      <c r="AI839" s="239"/>
      <c r="AJ839" s="239"/>
      <c r="AK839" s="239"/>
      <c r="AL839" s="239"/>
      <c r="AM839" s="245"/>
      <c r="AN839" s="239"/>
      <c r="AO839" s="239"/>
      <c r="AP839" s="239"/>
      <c r="AQ839" s="306"/>
      <c r="AR839" s="239"/>
      <c r="AS839" s="239"/>
      <c r="AT839" s="239"/>
      <c r="AU839" s="239"/>
    </row>
    <row r="840" spans="1:47" x14ac:dyDescent="0.35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306"/>
      <c r="W840" s="239"/>
      <c r="X840" s="239"/>
      <c r="Y840" s="239"/>
      <c r="Z840" s="239"/>
      <c r="AA840" s="239"/>
      <c r="AB840" s="239"/>
      <c r="AC840" s="239"/>
      <c r="AD840" s="245"/>
      <c r="AE840" s="239"/>
      <c r="AF840" s="239"/>
      <c r="AG840" s="239"/>
      <c r="AH840" s="239"/>
      <c r="AI840" s="239"/>
      <c r="AJ840" s="239"/>
      <c r="AK840" s="239"/>
      <c r="AL840" s="239"/>
      <c r="AM840" s="245"/>
      <c r="AN840" s="239"/>
      <c r="AO840" s="239"/>
      <c r="AP840" s="239"/>
      <c r="AQ840" s="306"/>
      <c r="AR840" s="239"/>
      <c r="AS840" s="239"/>
      <c r="AT840" s="239"/>
      <c r="AU840" s="239"/>
    </row>
    <row r="841" spans="1:47" x14ac:dyDescent="0.35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306"/>
      <c r="W841" s="239"/>
      <c r="X841" s="239"/>
      <c r="Y841" s="239"/>
      <c r="Z841" s="239"/>
      <c r="AA841" s="239"/>
      <c r="AB841" s="239"/>
      <c r="AC841" s="239"/>
      <c r="AD841" s="245"/>
      <c r="AE841" s="239"/>
      <c r="AF841" s="239"/>
      <c r="AG841" s="239"/>
      <c r="AH841" s="239"/>
      <c r="AI841" s="239"/>
      <c r="AJ841" s="239"/>
      <c r="AK841" s="239"/>
      <c r="AL841" s="239"/>
      <c r="AM841" s="245"/>
      <c r="AN841" s="239"/>
      <c r="AO841" s="239"/>
      <c r="AP841" s="239"/>
      <c r="AQ841" s="306"/>
      <c r="AR841" s="239"/>
      <c r="AS841" s="239"/>
      <c r="AT841" s="239"/>
      <c r="AU841" s="239"/>
    </row>
    <row r="842" spans="1:47" x14ac:dyDescent="0.35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306"/>
      <c r="W842" s="239"/>
      <c r="X842" s="239"/>
      <c r="Y842" s="239"/>
      <c r="Z842" s="239"/>
      <c r="AA842" s="239"/>
      <c r="AB842" s="239"/>
      <c r="AC842" s="239"/>
      <c r="AD842" s="245"/>
      <c r="AE842" s="239"/>
      <c r="AF842" s="239"/>
      <c r="AG842" s="239"/>
      <c r="AH842" s="239"/>
      <c r="AI842" s="239"/>
      <c r="AJ842" s="239"/>
      <c r="AK842" s="239"/>
      <c r="AL842" s="239"/>
      <c r="AM842" s="245"/>
      <c r="AN842" s="239"/>
      <c r="AO842" s="239"/>
      <c r="AP842" s="239"/>
      <c r="AQ842" s="306"/>
      <c r="AR842" s="239"/>
      <c r="AS842" s="239"/>
      <c r="AT842" s="239"/>
      <c r="AU842" s="239"/>
    </row>
    <row r="843" spans="1:47" x14ac:dyDescent="0.35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306"/>
      <c r="W843" s="239"/>
      <c r="X843" s="239"/>
      <c r="Y843" s="239"/>
      <c r="Z843" s="239"/>
      <c r="AA843" s="239"/>
      <c r="AB843" s="239"/>
      <c r="AC843" s="239"/>
      <c r="AD843" s="245"/>
      <c r="AE843" s="239"/>
      <c r="AF843" s="239"/>
      <c r="AG843" s="239"/>
      <c r="AH843" s="239"/>
      <c r="AI843" s="239"/>
      <c r="AJ843" s="239"/>
      <c r="AK843" s="239"/>
      <c r="AL843" s="239"/>
      <c r="AM843" s="245"/>
      <c r="AN843" s="239"/>
      <c r="AO843" s="239"/>
      <c r="AP843" s="239"/>
      <c r="AQ843" s="306"/>
      <c r="AR843" s="239"/>
      <c r="AS843" s="239"/>
      <c r="AT843" s="239"/>
      <c r="AU843" s="239"/>
    </row>
    <row r="844" spans="1:47" x14ac:dyDescent="0.35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306"/>
      <c r="W844" s="239"/>
      <c r="X844" s="239"/>
      <c r="Y844" s="239"/>
      <c r="Z844" s="239"/>
      <c r="AA844" s="239"/>
      <c r="AB844" s="239"/>
      <c r="AC844" s="239"/>
      <c r="AD844" s="245"/>
      <c r="AE844" s="239"/>
      <c r="AF844" s="239"/>
      <c r="AG844" s="239"/>
      <c r="AH844" s="239"/>
      <c r="AI844" s="239"/>
      <c r="AJ844" s="239"/>
      <c r="AK844" s="239"/>
      <c r="AL844" s="239"/>
      <c r="AM844" s="245"/>
      <c r="AN844" s="239"/>
      <c r="AO844" s="239"/>
      <c r="AP844" s="239"/>
      <c r="AQ844" s="306"/>
      <c r="AR844" s="239"/>
      <c r="AS844" s="239"/>
      <c r="AT844" s="239"/>
      <c r="AU844" s="239"/>
    </row>
    <row r="845" spans="1:47" x14ac:dyDescent="0.35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306"/>
      <c r="W845" s="239"/>
      <c r="X845" s="239"/>
      <c r="Y845" s="239"/>
      <c r="Z845" s="239"/>
      <c r="AA845" s="239"/>
      <c r="AB845" s="239"/>
      <c r="AC845" s="239"/>
      <c r="AD845" s="245"/>
      <c r="AE845" s="239"/>
      <c r="AF845" s="239"/>
      <c r="AG845" s="239"/>
      <c r="AH845" s="239"/>
      <c r="AI845" s="239"/>
      <c r="AJ845" s="239"/>
      <c r="AK845" s="239"/>
      <c r="AL845" s="239"/>
      <c r="AM845" s="245"/>
      <c r="AN845" s="239"/>
      <c r="AO845" s="239"/>
      <c r="AP845" s="239"/>
      <c r="AQ845" s="306"/>
      <c r="AR845" s="239"/>
      <c r="AS845" s="239"/>
      <c r="AT845" s="239"/>
      <c r="AU845" s="239"/>
    </row>
    <row r="846" spans="1:47" x14ac:dyDescent="0.35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306"/>
      <c r="W846" s="239"/>
      <c r="X846" s="239"/>
      <c r="Y846" s="239"/>
      <c r="Z846" s="239"/>
      <c r="AA846" s="239"/>
      <c r="AB846" s="239"/>
      <c r="AC846" s="239"/>
      <c r="AD846" s="245"/>
      <c r="AE846" s="239"/>
      <c r="AF846" s="239"/>
      <c r="AG846" s="239"/>
      <c r="AH846" s="239"/>
      <c r="AI846" s="239"/>
      <c r="AJ846" s="239"/>
      <c r="AK846" s="239"/>
      <c r="AL846" s="239"/>
      <c r="AM846" s="245"/>
      <c r="AN846" s="239"/>
      <c r="AO846" s="239"/>
      <c r="AP846" s="239"/>
      <c r="AQ846" s="306"/>
      <c r="AR846" s="239"/>
      <c r="AS846" s="239"/>
      <c r="AT846" s="239"/>
      <c r="AU846" s="239"/>
    </row>
    <row r="847" spans="1:47" x14ac:dyDescent="0.35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306"/>
      <c r="W847" s="239"/>
      <c r="X847" s="239"/>
      <c r="Y847" s="239"/>
      <c r="Z847" s="239"/>
      <c r="AA847" s="239"/>
      <c r="AB847" s="239"/>
      <c r="AC847" s="239"/>
      <c r="AD847" s="245"/>
      <c r="AE847" s="239"/>
      <c r="AF847" s="239"/>
      <c r="AG847" s="239"/>
      <c r="AH847" s="239"/>
      <c r="AI847" s="239"/>
      <c r="AJ847" s="239"/>
      <c r="AK847" s="239"/>
      <c r="AL847" s="239"/>
      <c r="AM847" s="245"/>
      <c r="AN847" s="239"/>
      <c r="AO847" s="239"/>
      <c r="AP847" s="239"/>
      <c r="AQ847" s="306"/>
      <c r="AR847" s="239"/>
      <c r="AS847" s="239"/>
      <c r="AT847" s="239"/>
      <c r="AU847" s="239"/>
    </row>
    <row r="848" spans="1:47" x14ac:dyDescent="0.35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306"/>
      <c r="W848" s="239"/>
      <c r="X848" s="239"/>
      <c r="Y848" s="239"/>
      <c r="Z848" s="239"/>
      <c r="AA848" s="239"/>
      <c r="AB848" s="239"/>
      <c r="AC848" s="239"/>
      <c r="AD848" s="245"/>
      <c r="AE848" s="239"/>
      <c r="AF848" s="239"/>
      <c r="AG848" s="239"/>
      <c r="AH848" s="239"/>
      <c r="AI848" s="239"/>
      <c r="AJ848" s="239"/>
      <c r="AK848" s="239"/>
      <c r="AL848" s="239"/>
      <c r="AM848" s="245"/>
      <c r="AN848" s="239"/>
      <c r="AO848" s="239"/>
      <c r="AP848" s="239"/>
      <c r="AQ848" s="306"/>
      <c r="AR848" s="239"/>
      <c r="AS848" s="239"/>
      <c r="AT848" s="239"/>
      <c r="AU848" s="239"/>
    </row>
    <row r="849" spans="1:47" x14ac:dyDescent="0.35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306"/>
      <c r="W849" s="239"/>
      <c r="X849" s="239"/>
      <c r="Y849" s="239"/>
      <c r="Z849" s="239"/>
      <c r="AA849" s="239"/>
      <c r="AB849" s="239"/>
      <c r="AC849" s="239"/>
      <c r="AD849" s="245"/>
      <c r="AE849" s="239"/>
      <c r="AF849" s="239"/>
      <c r="AG849" s="239"/>
      <c r="AH849" s="239"/>
      <c r="AI849" s="239"/>
      <c r="AJ849" s="239"/>
      <c r="AK849" s="239"/>
      <c r="AL849" s="239"/>
      <c r="AM849" s="245"/>
      <c r="AN849" s="239"/>
      <c r="AO849" s="239"/>
      <c r="AP849" s="239"/>
      <c r="AQ849" s="306"/>
      <c r="AR849" s="239"/>
      <c r="AS849" s="239"/>
      <c r="AT849" s="239"/>
      <c r="AU849" s="239"/>
    </row>
    <row r="850" spans="1:47" x14ac:dyDescent="0.35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306"/>
      <c r="W850" s="239"/>
      <c r="X850" s="239"/>
      <c r="Y850" s="239"/>
      <c r="Z850" s="239"/>
      <c r="AA850" s="239"/>
      <c r="AB850" s="239"/>
      <c r="AC850" s="239"/>
      <c r="AD850" s="245"/>
      <c r="AE850" s="239"/>
      <c r="AF850" s="239"/>
      <c r="AG850" s="239"/>
      <c r="AH850" s="239"/>
      <c r="AI850" s="239"/>
      <c r="AJ850" s="239"/>
      <c r="AK850" s="239"/>
      <c r="AL850" s="239"/>
      <c r="AM850" s="245"/>
      <c r="AN850" s="239"/>
      <c r="AO850" s="239"/>
      <c r="AP850" s="239"/>
      <c r="AQ850" s="306"/>
      <c r="AR850" s="239"/>
      <c r="AS850" s="239"/>
      <c r="AT850" s="239"/>
      <c r="AU850" s="239"/>
    </row>
    <row r="851" spans="1:47" x14ac:dyDescent="0.35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306"/>
      <c r="W851" s="239"/>
      <c r="X851" s="239"/>
      <c r="Y851" s="239"/>
      <c r="Z851" s="239"/>
      <c r="AA851" s="239"/>
      <c r="AB851" s="239"/>
      <c r="AC851" s="239"/>
      <c r="AD851" s="245"/>
      <c r="AE851" s="239"/>
      <c r="AF851" s="239"/>
      <c r="AG851" s="239"/>
      <c r="AH851" s="239"/>
      <c r="AI851" s="239"/>
      <c r="AJ851" s="239"/>
      <c r="AK851" s="239"/>
      <c r="AL851" s="239"/>
      <c r="AM851" s="245"/>
      <c r="AN851" s="239"/>
      <c r="AO851" s="239"/>
      <c r="AP851" s="239"/>
      <c r="AQ851" s="306"/>
      <c r="AR851" s="239"/>
      <c r="AS851" s="239"/>
      <c r="AT851" s="239"/>
      <c r="AU851" s="239"/>
    </row>
    <row r="852" spans="1:47" x14ac:dyDescent="0.35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306"/>
      <c r="W852" s="239"/>
      <c r="X852" s="239"/>
      <c r="Y852" s="239"/>
      <c r="Z852" s="239"/>
      <c r="AA852" s="239"/>
      <c r="AB852" s="239"/>
      <c r="AC852" s="239"/>
      <c r="AD852" s="245"/>
      <c r="AE852" s="239"/>
      <c r="AF852" s="239"/>
      <c r="AG852" s="239"/>
      <c r="AH852" s="239"/>
      <c r="AI852" s="239"/>
      <c r="AJ852" s="239"/>
      <c r="AK852" s="239"/>
      <c r="AL852" s="239"/>
      <c r="AM852" s="245"/>
      <c r="AN852" s="239"/>
      <c r="AO852" s="239"/>
      <c r="AP852" s="239"/>
      <c r="AQ852" s="306"/>
      <c r="AR852" s="239"/>
      <c r="AS852" s="239"/>
      <c r="AT852" s="239"/>
      <c r="AU852" s="239"/>
    </row>
    <row r="853" spans="1:47" x14ac:dyDescent="0.35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306"/>
      <c r="W853" s="239"/>
      <c r="X853" s="239"/>
      <c r="Y853" s="239"/>
      <c r="Z853" s="239"/>
      <c r="AA853" s="239"/>
      <c r="AB853" s="239"/>
      <c r="AC853" s="239"/>
      <c r="AD853" s="245"/>
      <c r="AE853" s="239"/>
      <c r="AF853" s="239"/>
      <c r="AG853" s="239"/>
      <c r="AH853" s="239"/>
      <c r="AI853" s="239"/>
      <c r="AJ853" s="239"/>
      <c r="AK853" s="239"/>
      <c r="AL853" s="239"/>
      <c r="AM853" s="245"/>
      <c r="AN853" s="239"/>
      <c r="AO853" s="239"/>
      <c r="AP853" s="239"/>
      <c r="AQ853" s="306"/>
      <c r="AR853" s="239"/>
      <c r="AS853" s="239"/>
      <c r="AT853" s="239"/>
      <c r="AU853" s="239"/>
    </row>
    <row r="854" spans="1:47" x14ac:dyDescent="0.35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306"/>
      <c r="W854" s="239"/>
      <c r="X854" s="239"/>
      <c r="Y854" s="239"/>
      <c r="Z854" s="239"/>
      <c r="AA854" s="239"/>
      <c r="AB854" s="239"/>
      <c r="AC854" s="239"/>
      <c r="AD854" s="245"/>
      <c r="AE854" s="239"/>
      <c r="AF854" s="239"/>
      <c r="AG854" s="239"/>
      <c r="AH854" s="239"/>
      <c r="AI854" s="239"/>
      <c r="AJ854" s="239"/>
      <c r="AK854" s="239"/>
      <c r="AL854" s="239"/>
      <c r="AM854" s="245"/>
      <c r="AN854" s="239"/>
      <c r="AO854" s="239"/>
      <c r="AP854" s="239"/>
      <c r="AQ854" s="306"/>
      <c r="AR854" s="239"/>
      <c r="AS854" s="239"/>
      <c r="AT854" s="239"/>
      <c r="AU854" s="239"/>
    </row>
    <row r="855" spans="1:47" x14ac:dyDescent="0.35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306"/>
      <c r="W855" s="239"/>
      <c r="X855" s="239"/>
      <c r="Y855" s="239"/>
      <c r="Z855" s="239"/>
      <c r="AA855" s="239"/>
      <c r="AB855" s="239"/>
      <c r="AC855" s="239"/>
      <c r="AD855" s="245"/>
      <c r="AE855" s="239"/>
      <c r="AF855" s="239"/>
      <c r="AG855" s="239"/>
      <c r="AH855" s="239"/>
      <c r="AI855" s="239"/>
      <c r="AJ855" s="239"/>
      <c r="AK855" s="239"/>
      <c r="AL855" s="239"/>
      <c r="AM855" s="245"/>
      <c r="AN855" s="239"/>
      <c r="AO855" s="239"/>
      <c r="AP855" s="239"/>
      <c r="AQ855" s="306"/>
      <c r="AR855" s="239"/>
      <c r="AS855" s="239"/>
      <c r="AT855" s="239"/>
      <c r="AU855" s="239"/>
    </row>
    <row r="856" spans="1:47" x14ac:dyDescent="0.35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306"/>
      <c r="W856" s="239"/>
      <c r="X856" s="239"/>
      <c r="Y856" s="239"/>
      <c r="Z856" s="239"/>
      <c r="AA856" s="239"/>
      <c r="AB856" s="239"/>
      <c r="AC856" s="239"/>
      <c r="AD856" s="245"/>
      <c r="AE856" s="239"/>
      <c r="AF856" s="239"/>
      <c r="AG856" s="239"/>
      <c r="AH856" s="239"/>
      <c r="AI856" s="239"/>
      <c r="AJ856" s="239"/>
      <c r="AK856" s="239"/>
      <c r="AL856" s="239"/>
      <c r="AM856" s="245"/>
      <c r="AN856" s="239"/>
      <c r="AO856" s="239"/>
      <c r="AP856" s="239"/>
      <c r="AQ856" s="306"/>
      <c r="AR856" s="239"/>
      <c r="AS856" s="239"/>
      <c r="AT856" s="239"/>
      <c r="AU856" s="239"/>
    </row>
    <row r="857" spans="1:47" x14ac:dyDescent="0.35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306"/>
      <c r="W857" s="239"/>
      <c r="X857" s="239"/>
      <c r="Y857" s="239"/>
      <c r="Z857" s="239"/>
      <c r="AA857" s="239"/>
      <c r="AB857" s="239"/>
      <c r="AC857" s="239"/>
      <c r="AD857" s="245"/>
      <c r="AE857" s="239"/>
      <c r="AF857" s="239"/>
      <c r="AG857" s="239"/>
      <c r="AH857" s="239"/>
      <c r="AI857" s="239"/>
      <c r="AJ857" s="239"/>
      <c r="AK857" s="239"/>
      <c r="AL857" s="239"/>
      <c r="AM857" s="245"/>
      <c r="AN857" s="239"/>
      <c r="AO857" s="239"/>
      <c r="AP857" s="239"/>
      <c r="AQ857" s="306"/>
      <c r="AR857" s="239"/>
      <c r="AS857" s="239"/>
      <c r="AT857" s="239"/>
      <c r="AU857" s="239"/>
    </row>
    <row r="858" spans="1:47" x14ac:dyDescent="0.35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306"/>
      <c r="W858" s="239"/>
      <c r="X858" s="239"/>
      <c r="Y858" s="239"/>
      <c r="Z858" s="239"/>
      <c r="AA858" s="239"/>
      <c r="AB858" s="239"/>
      <c r="AC858" s="239"/>
      <c r="AD858" s="245"/>
      <c r="AE858" s="239"/>
      <c r="AF858" s="239"/>
      <c r="AG858" s="239"/>
      <c r="AH858" s="239"/>
      <c r="AI858" s="239"/>
      <c r="AJ858" s="239"/>
      <c r="AK858" s="239"/>
      <c r="AL858" s="239"/>
      <c r="AM858" s="245"/>
      <c r="AN858" s="239"/>
      <c r="AO858" s="239"/>
      <c r="AP858" s="239"/>
      <c r="AQ858" s="306"/>
      <c r="AR858" s="239"/>
      <c r="AS858" s="239"/>
      <c r="AT858" s="239"/>
      <c r="AU858" s="239"/>
    </row>
    <row r="859" spans="1:47" x14ac:dyDescent="0.35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306"/>
      <c r="W859" s="239"/>
      <c r="X859" s="239"/>
      <c r="Y859" s="239"/>
      <c r="Z859" s="239"/>
      <c r="AA859" s="239"/>
      <c r="AB859" s="239"/>
      <c r="AC859" s="239"/>
      <c r="AD859" s="245"/>
      <c r="AE859" s="239"/>
      <c r="AF859" s="239"/>
      <c r="AG859" s="239"/>
      <c r="AH859" s="239"/>
      <c r="AI859" s="239"/>
      <c r="AJ859" s="239"/>
      <c r="AK859" s="239"/>
      <c r="AL859" s="239"/>
      <c r="AM859" s="245"/>
      <c r="AN859" s="239"/>
      <c r="AO859" s="239"/>
      <c r="AP859" s="239"/>
      <c r="AQ859" s="306"/>
      <c r="AR859" s="239"/>
      <c r="AS859" s="239"/>
      <c r="AT859" s="239"/>
      <c r="AU859" s="239"/>
    </row>
    <row r="860" spans="1:47" x14ac:dyDescent="0.35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306"/>
      <c r="W860" s="239"/>
      <c r="X860" s="239"/>
      <c r="Y860" s="239"/>
      <c r="Z860" s="239"/>
      <c r="AA860" s="239"/>
      <c r="AB860" s="239"/>
      <c r="AC860" s="239"/>
      <c r="AD860" s="245"/>
      <c r="AE860" s="239"/>
      <c r="AF860" s="239"/>
      <c r="AG860" s="239"/>
      <c r="AH860" s="239"/>
      <c r="AI860" s="239"/>
      <c r="AJ860" s="239"/>
      <c r="AK860" s="239"/>
      <c r="AL860" s="239"/>
      <c r="AM860" s="245"/>
      <c r="AN860" s="239"/>
      <c r="AO860" s="239"/>
      <c r="AP860" s="239"/>
      <c r="AQ860" s="306"/>
      <c r="AR860" s="239"/>
      <c r="AS860" s="239"/>
      <c r="AT860" s="239"/>
      <c r="AU860" s="239"/>
    </row>
    <row r="861" spans="1:47" x14ac:dyDescent="0.35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306"/>
      <c r="W861" s="239"/>
      <c r="X861" s="239"/>
      <c r="Y861" s="239"/>
      <c r="Z861" s="239"/>
      <c r="AA861" s="239"/>
      <c r="AB861" s="239"/>
      <c r="AC861" s="239"/>
      <c r="AD861" s="245"/>
      <c r="AE861" s="239"/>
      <c r="AF861" s="239"/>
      <c r="AG861" s="239"/>
      <c r="AH861" s="239"/>
      <c r="AI861" s="239"/>
      <c r="AJ861" s="239"/>
      <c r="AK861" s="239"/>
      <c r="AL861" s="239"/>
      <c r="AM861" s="245"/>
      <c r="AN861" s="239"/>
      <c r="AO861" s="239"/>
      <c r="AP861" s="239"/>
      <c r="AQ861" s="306"/>
      <c r="AR861" s="239"/>
      <c r="AS861" s="239"/>
      <c r="AT861" s="239"/>
      <c r="AU861" s="239"/>
    </row>
    <row r="862" spans="1:47" x14ac:dyDescent="0.35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306"/>
      <c r="W862" s="239"/>
      <c r="X862" s="239"/>
      <c r="Y862" s="239"/>
      <c r="Z862" s="239"/>
      <c r="AA862" s="239"/>
      <c r="AB862" s="239"/>
      <c r="AC862" s="239"/>
      <c r="AD862" s="245"/>
      <c r="AE862" s="239"/>
      <c r="AF862" s="239"/>
      <c r="AG862" s="239"/>
      <c r="AH862" s="239"/>
      <c r="AI862" s="239"/>
      <c r="AJ862" s="239"/>
      <c r="AK862" s="239"/>
      <c r="AL862" s="239"/>
      <c r="AM862" s="245"/>
      <c r="AN862" s="239"/>
      <c r="AO862" s="239"/>
      <c r="AP862" s="239"/>
      <c r="AQ862" s="306"/>
      <c r="AR862" s="239"/>
      <c r="AS862" s="239"/>
      <c r="AT862" s="239"/>
      <c r="AU862" s="239"/>
    </row>
    <row r="863" spans="1:47" x14ac:dyDescent="0.35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306"/>
      <c r="W863" s="239"/>
      <c r="X863" s="239"/>
      <c r="Y863" s="239"/>
      <c r="Z863" s="239"/>
      <c r="AA863" s="239"/>
      <c r="AB863" s="239"/>
      <c r="AC863" s="239"/>
      <c r="AD863" s="245"/>
      <c r="AE863" s="239"/>
      <c r="AF863" s="239"/>
      <c r="AG863" s="239"/>
      <c r="AH863" s="239"/>
      <c r="AI863" s="239"/>
      <c r="AJ863" s="239"/>
      <c r="AK863" s="239"/>
      <c r="AL863" s="239"/>
      <c r="AM863" s="245"/>
      <c r="AN863" s="239"/>
      <c r="AO863" s="239"/>
      <c r="AP863" s="239"/>
      <c r="AQ863" s="306"/>
      <c r="AR863" s="239"/>
      <c r="AS863" s="239"/>
      <c r="AT863" s="239"/>
      <c r="AU863" s="239"/>
    </row>
    <row r="864" spans="1:47" x14ac:dyDescent="0.35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306"/>
      <c r="W864" s="239"/>
      <c r="X864" s="239"/>
      <c r="Y864" s="239"/>
      <c r="Z864" s="239"/>
      <c r="AA864" s="239"/>
      <c r="AB864" s="239"/>
      <c r="AC864" s="239"/>
      <c r="AD864" s="245"/>
      <c r="AE864" s="239"/>
      <c r="AF864" s="239"/>
      <c r="AG864" s="239"/>
      <c r="AH864" s="239"/>
      <c r="AI864" s="239"/>
      <c r="AJ864" s="239"/>
      <c r="AK864" s="239"/>
      <c r="AL864" s="239"/>
      <c r="AM864" s="245"/>
      <c r="AN864" s="239"/>
      <c r="AO864" s="239"/>
      <c r="AP864" s="239"/>
      <c r="AQ864" s="306"/>
      <c r="AR864" s="239"/>
      <c r="AS864" s="239"/>
      <c r="AT864" s="239"/>
      <c r="AU864" s="239"/>
    </row>
    <row r="865" spans="1:47" x14ac:dyDescent="0.35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306"/>
      <c r="W865" s="239"/>
      <c r="X865" s="239"/>
      <c r="Y865" s="239"/>
      <c r="Z865" s="239"/>
      <c r="AA865" s="239"/>
      <c r="AB865" s="239"/>
      <c r="AC865" s="239"/>
      <c r="AD865" s="245"/>
      <c r="AE865" s="239"/>
      <c r="AF865" s="239"/>
      <c r="AG865" s="239"/>
      <c r="AH865" s="239"/>
      <c r="AI865" s="239"/>
      <c r="AJ865" s="239"/>
      <c r="AK865" s="239"/>
      <c r="AL865" s="239"/>
      <c r="AM865" s="245"/>
      <c r="AN865" s="239"/>
      <c r="AO865" s="239"/>
      <c r="AP865" s="239"/>
      <c r="AQ865" s="306"/>
      <c r="AR865" s="239"/>
      <c r="AS865" s="239"/>
      <c r="AT865" s="239"/>
      <c r="AU865" s="239"/>
    </row>
    <row r="866" spans="1:47" x14ac:dyDescent="0.35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306"/>
      <c r="W866" s="239"/>
      <c r="X866" s="239"/>
      <c r="Y866" s="239"/>
      <c r="Z866" s="239"/>
      <c r="AA866" s="239"/>
      <c r="AB866" s="239"/>
      <c r="AC866" s="239"/>
      <c r="AD866" s="245"/>
      <c r="AE866" s="239"/>
      <c r="AF866" s="239"/>
      <c r="AG866" s="239"/>
      <c r="AH866" s="239"/>
      <c r="AI866" s="239"/>
      <c r="AJ866" s="239"/>
      <c r="AK866" s="239"/>
      <c r="AL866" s="239"/>
      <c r="AM866" s="245"/>
      <c r="AN866" s="239"/>
      <c r="AO866" s="239"/>
      <c r="AP866" s="239"/>
      <c r="AQ866" s="306"/>
      <c r="AR866" s="239"/>
      <c r="AS866" s="239"/>
      <c r="AT866" s="239"/>
      <c r="AU866" s="239"/>
    </row>
    <row r="867" spans="1:47" x14ac:dyDescent="0.35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306"/>
      <c r="W867" s="239"/>
      <c r="X867" s="239"/>
      <c r="Y867" s="239"/>
      <c r="Z867" s="239"/>
      <c r="AA867" s="239"/>
      <c r="AB867" s="239"/>
      <c r="AC867" s="239"/>
      <c r="AD867" s="245"/>
      <c r="AE867" s="239"/>
      <c r="AF867" s="239"/>
      <c r="AG867" s="239"/>
      <c r="AH867" s="239"/>
      <c r="AI867" s="239"/>
      <c r="AJ867" s="239"/>
      <c r="AK867" s="239"/>
      <c r="AL867" s="239"/>
      <c r="AM867" s="245"/>
      <c r="AN867" s="239"/>
      <c r="AO867" s="239"/>
      <c r="AP867" s="239"/>
      <c r="AQ867" s="306"/>
      <c r="AR867" s="239"/>
      <c r="AS867" s="239"/>
      <c r="AT867" s="239"/>
      <c r="AU867" s="239"/>
    </row>
    <row r="868" spans="1:47" x14ac:dyDescent="0.35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306"/>
      <c r="W868" s="239"/>
      <c r="X868" s="239"/>
      <c r="Y868" s="239"/>
      <c r="Z868" s="239"/>
      <c r="AA868" s="239"/>
      <c r="AB868" s="239"/>
      <c r="AC868" s="239"/>
      <c r="AD868" s="245"/>
      <c r="AE868" s="239"/>
      <c r="AF868" s="239"/>
      <c r="AG868" s="239"/>
      <c r="AH868" s="239"/>
      <c r="AI868" s="239"/>
      <c r="AJ868" s="239"/>
      <c r="AK868" s="239"/>
      <c r="AL868" s="239"/>
      <c r="AM868" s="245"/>
      <c r="AN868" s="239"/>
      <c r="AO868" s="239"/>
      <c r="AP868" s="239"/>
      <c r="AQ868" s="306"/>
      <c r="AR868" s="239"/>
      <c r="AS868" s="239"/>
      <c r="AT868" s="239"/>
      <c r="AU868" s="239"/>
    </row>
    <row r="869" spans="1:47" x14ac:dyDescent="0.35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306"/>
      <c r="W869" s="239"/>
      <c r="X869" s="239"/>
      <c r="Y869" s="239"/>
      <c r="Z869" s="239"/>
      <c r="AA869" s="239"/>
      <c r="AB869" s="239"/>
      <c r="AC869" s="239"/>
      <c r="AD869" s="245"/>
      <c r="AE869" s="239"/>
      <c r="AF869" s="239"/>
      <c r="AG869" s="239"/>
      <c r="AH869" s="239"/>
      <c r="AI869" s="239"/>
      <c r="AJ869" s="239"/>
      <c r="AK869" s="239"/>
      <c r="AL869" s="239"/>
      <c r="AM869" s="245"/>
      <c r="AN869" s="239"/>
      <c r="AO869" s="239"/>
      <c r="AP869" s="239"/>
      <c r="AQ869" s="306"/>
      <c r="AR869" s="239"/>
      <c r="AS869" s="239"/>
      <c r="AT869" s="239"/>
      <c r="AU869" s="239"/>
    </row>
    <row r="870" spans="1:47" x14ac:dyDescent="0.35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306"/>
      <c r="W870" s="239"/>
      <c r="X870" s="239"/>
      <c r="Y870" s="239"/>
      <c r="Z870" s="239"/>
      <c r="AA870" s="239"/>
      <c r="AB870" s="239"/>
      <c r="AC870" s="239"/>
      <c r="AD870" s="245"/>
      <c r="AE870" s="239"/>
      <c r="AF870" s="239"/>
      <c r="AG870" s="239"/>
      <c r="AH870" s="239"/>
      <c r="AI870" s="239"/>
      <c r="AJ870" s="239"/>
      <c r="AK870" s="239"/>
      <c r="AL870" s="239"/>
      <c r="AM870" s="245"/>
      <c r="AN870" s="239"/>
      <c r="AO870" s="239"/>
      <c r="AP870" s="239"/>
      <c r="AQ870" s="306"/>
      <c r="AR870" s="239"/>
      <c r="AS870" s="239"/>
      <c r="AT870" s="239"/>
      <c r="AU870" s="239"/>
    </row>
    <row r="871" spans="1:47" x14ac:dyDescent="0.35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306"/>
      <c r="W871" s="239"/>
      <c r="X871" s="239"/>
      <c r="Y871" s="239"/>
      <c r="Z871" s="239"/>
      <c r="AA871" s="239"/>
      <c r="AB871" s="239"/>
      <c r="AC871" s="239"/>
      <c r="AD871" s="245"/>
      <c r="AE871" s="239"/>
      <c r="AF871" s="239"/>
      <c r="AG871" s="239"/>
      <c r="AH871" s="239"/>
      <c r="AI871" s="239"/>
      <c r="AJ871" s="239"/>
      <c r="AK871" s="239"/>
      <c r="AL871" s="239"/>
      <c r="AM871" s="245"/>
      <c r="AN871" s="239"/>
      <c r="AO871" s="239"/>
      <c r="AP871" s="239"/>
      <c r="AQ871" s="306"/>
      <c r="AR871" s="239"/>
      <c r="AS871" s="239"/>
      <c r="AT871" s="239"/>
      <c r="AU871" s="239"/>
    </row>
    <row r="872" spans="1:47" x14ac:dyDescent="0.35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306"/>
      <c r="W872" s="239"/>
      <c r="X872" s="239"/>
      <c r="Y872" s="239"/>
      <c r="Z872" s="239"/>
      <c r="AA872" s="239"/>
      <c r="AB872" s="239"/>
      <c r="AC872" s="239"/>
      <c r="AD872" s="245"/>
      <c r="AE872" s="239"/>
      <c r="AF872" s="239"/>
      <c r="AG872" s="239"/>
      <c r="AH872" s="239"/>
      <c r="AI872" s="239"/>
      <c r="AJ872" s="239"/>
      <c r="AK872" s="239"/>
      <c r="AL872" s="239"/>
      <c r="AM872" s="245"/>
      <c r="AN872" s="239"/>
      <c r="AO872" s="239"/>
      <c r="AP872" s="239"/>
      <c r="AQ872" s="306"/>
      <c r="AR872" s="239"/>
      <c r="AS872" s="239"/>
      <c r="AT872" s="239"/>
      <c r="AU872" s="239"/>
    </row>
    <row r="873" spans="1:47" x14ac:dyDescent="0.35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306"/>
      <c r="W873" s="239"/>
      <c r="X873" s="239"/>
      <c r="Y873" s="239"/>
      <c r="Z873" s="239"/>
      <c r="AA873" s="239"/>
      <c r="AB873" s="239"/>
      <c r="AC873" s="239"/>
      <c r="AD873" s="245"/>
      <c r="AE873" s="239"/>
      <c r="AF873" s="239"/>
      <c r="AG873" s="239"/>
      <c r="AH873" s="239"/>
      <c r="AI873" s="239"/>
      <c r="AJ873" s="239"/>
      <c r="AK873" s="239"/>
      <c r="AL873" s="239"/>
      <c r="AM873" s="245"/>
      <c r="AN873" s="239"/>
      <c r="AO873" s="239"/>
      <c r="AP873" s="239"/>
      <c r="AQ873" s="306"/>
      <c r="AR873" s="239"/>
      <c r="AS873" s="239"/>
      <c r="AT873" s="239"/>
      <c r="AU873" s="239"/>
    </row>
    <row r="874" spans="1:47" x14ac:dyDescent="0.35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306"/>
      <c r="W874" s="239"/>
      <c r="X874" s="239"/>
      <c r="Y874" s="239"/>
      <c r="Z874" s="239"/>
      <c r="AA874" s="239"/>
      <c r="AB874" s="239"/>
      <c r="AC874" s="239"/>
      <c r="AD874" s="245"/>
      <c r="AE874" s="239"/>
      <c r="AF874" s="239"/>
      <c r="AG874" s="239"/>
      <c r="AH874" s="239"/>
      <c r="AI874" s="239"/>
      <c r="AJ874" s="239"/>
      <c r="AK874" s="239"/>
      <c r="AL874" s="239"/>
      <c r="AM874" s="245"/>
      <c r="AN874" s="239"/>
      <c r="AO874" s="239"/>
      <c r="AP874" s="239"/>
      <c r="AQ874" s="306"/>
      <c r="AR874" s="239"/>
      <c r="AS874" s="239"/>
      <c r="AT874" s="239"/>
      <c r="AU874" s="239"/>
    </row>
    <row r="875" spans="1:47" x14ac:dyDescent="0.35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306"/>
      <c r="W875" s="239"/>
      <c r="X875" s="239"/>
      <c r="Y875" s="239"/>
      <c r="Z875" s="239"/>
      <c r="AA875" s="239"/>
      <c r="AB875" s="239"/>
      <c r="AC875" s="239"/>
      <c r="AD875" s="245"/>
      <c r="AE875" s="239"/>
      <c r="AF875" s="239"/>
      <c r="AG875" s="239"/>
      <c r="AH875" s="239"/>
      <c r="AI875" s="239"/>
      <c r="AJ875" s="239"/>
      <c r="AK875" s="239"/>
      <c r="AL875" s="239"/>
      <c r="AM875" s="245"/>
      <c r="AN875" s="239"/>
      <c r="AO875" s="239"/>
      <c r="AP875" s="239"/>
      <c r="AQ875" s="306"/>
      <c r="AR875" s="239"/>
      <c r="AS875" s="239"/>
      <c r="AT875" s="239"/>
      <c r="AU875" s="239"/>
    </row>
    <row r="876" spans="1:47" x14ac:dyDescent="0.35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306"/>
      <c r="W876" s="239"/>
      <c r="X876" s="239"/>
      <c r="Y876" s="239"/>
      <c r="Z876" s="239"/>
      <c r="AA876" s="239"/>
      <c r="AB876" s="239"/>
      <c r="AC876" s="239"/>
      <c r="AD876" s="245"/>
      <c r="AE876" s="239"/>
      <c r="AF876" s="239"/>
      <c r="AG876" s="239"/>
      <c r="AH876" s="239"/>
      <c r="AI876" s="239"/>
      <c r="AJ876" s="239"/>
      <c r="AK876" s="239"/>
      <c r="AL876" s="239"/>
      <c r="AM876" s="245"/>
      <c r="AN876" s="239"/>
      <c r="AO876" s="239"/>
      <c r="AP876" s="239"/>
      <c r="AQ876" s="306"/>
      <c r="AR876" s="239"/>
      <c r="AS876" s="239"/>
      <c r="AT876" s="239"/>
      <c r="AU876" s="239"/>
    </row>
    <row r="877" spans="1:47" x14ac:dyDescent="0.35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306"/>
      <c r="W877" s="239"/>
      <c r="X877" s="239"/>
      <c r="Y877" s="239"/>
      <c r="Z877" s="239"/>
      <c r="AA877" s="239"/>
      <c r="AB877" s="239"/>
      <c r="AC877" s="239"/>
      <c r="AD877" s="245"/>
      <c r="AE877" s="239"/>
      <c r="AF877" s="239"/>
      <c r="AG877" s="239"/>
      <c r="AH877" s="239"/>
      <c r="AI877" s="239"/>
      <c r="AJ877" s="239"/>
      <c r="AK877" s="239"/>
      <c r="AL877" s="239"/>
      <c r="AM877" s="245"/>
      <c r="AN877" s="239"/>
      <c r="AO877" s="239"/>
      <c r="AP877" s="239"/>
      <c r="AQ877" s="306"/>
      <c r="AR877" s="239"/>
      <c r="AS877" s="239"/>
      <c r="AT877" s="239"/>
      <c r="AU877" s="239"/>
    </row>
    <row r="878" spans="1:47" x14ac:dyDescent="0.35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306"/>
      <c r="W878" s="239"/>
      <c r="X878" s="239"/>
      <c r="Y878" s="239"/>
      <c r="Z878" s="239"/>
      <c r="AA878" s="239"/>
      <c r="AB878" s="239"/>
      <c r="AC878" s="239"/>
      <c r="AD878" s="245"/>
      <c r="AE878" s="239"/>
      <c r="AF878" s="239"/>
      <c r="AG878" s="239"/>
      <c r="AH878" s="239"/>
      <c r="AI878" s="239"/>
      <c r="AJ878" s="239"/>
      <c r="AK878" s="239"/>
      <c r="AL878" s="239"/>
      <c r="AM878" s="245"/>
      <c r="AN878" s="239"/>
      <c r="AO878" s="239"/>
      <c r="AP878" s="239"/>
      <c r="AQ878" s="306"/>
      <c r="AR878" s="239"/>
      <c r="AS878" s="239"/>
      <c r="AT878" s="239"/>
      <c r="AU878" s="239"/>
    </row>
    <row r="879" spans="1:47" x14ac:dyDescent="0.35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306"/>
      <c r="W879" s="239"/>
      <c r="X879" s="239"/>
      <c r="Y879" s="239"/>
      <c r="Z879" s="239"/>
      <c r="AA879" s="239"/>
      <c r="AB879" s="239"/>
      <c r="AC879" s="239"/>
      <c r="AD879" s="245"/>
      <c r="AE879" s="239"/>
      <c r="AF879" s="239"/>
      <c r="AG879" s="239"/>
      <c r="AH879" s="239"/>
      <c r="AI879" s="239"/>
      <c r="AJ879" s="239"/>
      <c r="AK879" s="239"/>
      <c r="AL879" s="239"/>
      <c r="AM879" s="245"/>
      <c r="AN879" s="239"/>
      <c r="AO879" s="239"/>
      <c r="AP879" s="239"/>
      <c r="AQ879" s="306"/>
      <c r="AR879" s="239"/>
      <c r="AS879" s="239"/>
      <c r="AT879" s="239"/>
      <c r="AU879" s="239"/>
    </row>
    <row r="880" spans="1:47" x14ac:dyDescent="0.35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306"/>
      <c r="W880" s="239"/>
      <c r="X880" s="239"/>
      <c r="Y880" s="239"/>
      <c r="Z880" s="239"/>
      <c r="AA880" s="239"/>
      <c r="AB880" s="239"/>
      <c r="AC880" s="239"/>
      <c r="AD880" s="245"/>
      <c r="AE880" s="239"/>
      <c r="AF880" s="239"/>
      <c r="AG880" s="239"/>
      <c r="AH880" s="239"/>
      <c r="AI880" s="239"/>
      <c r="AJ880" s="239"/>
      <c r="AK880" s="239"/>
      <c r="AL880" s="239"/>
      <c r="AM880" s="245"/>
      <c r="AN880" s="239"/>
      <c r="AO880" s="239"/>
      <c r="AP880" s="239"/>
      <c r="AQ880" s="306"/>
      <c r="AR880" s="239"/>
      <c r="AS880" s="239"/>
      <c r="AT880" s="239"/>
      <c r="AU880" s="239"/>
    </row>
    <row r="881" spans="1:47" x14ac:dyDescent="0.35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306"/>
      <c r="W881" s="239"/>
      <c r="X881" s="239"/>
      <c r="Y881" s="239"/>
      <c r="Z881" s="239"/>
      <c r="AA881" s="239"/>
      <c r="AB881" s="239"/>
      <c r="AC881" s="239"/>
      <c r="AD881" s="245"/>
      <c r="AE881" s="239"/>
      <c r="AF881" s="239"/>
      <c r="AG881" s="239"/>
      <c r="AH881" s="239"/>
      <c r="AI881" s="239"/>
      <c r="AJ881" s="239"/>
      <c r="AK881" s="239"/>
      <c r="AL881" s="239"/>
      <c r="AM881" s="245"/>
      <c r="AN881" s="239"/>
      <c r="AO881" s="239"/>
      <c r="AP881" s="239"/>
      <c r="AQ881" s="306"/>
      <c r="AR881" s="239"/>
      <c r="AS881" s="239"/>
      <c r="AT881" s="239"/>
      <c r="AU881" s="239"/>
    </row>
    <row r="882" spans="1:47" x14ac:dyDescent="0.35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306"/>
      <c r="W882" s="239"/>
      <c r="X882" s="239"/>
      <c r="Y882" s="239"/>
      <c r="Z882" s="239"/>
      <c r="AA882" s="239"/>
      <c r="AB882" s="239"/>
      <c r="AC882" s="239"/>
      <c r="AD882" s="245"/>
      <c r="AE882" s="239"/>
      <c r="AF882" s="239"/>
      <c r="AG882" s="239"/>
      <c r="AH882" s="239"/>
      <c r="AI882" s="239"/>
      <c r="AJ882" s="239"/>
      <c r="AK882" s="239"/>
      <c r="AL882" s="239"/>
      <c r="AM882" s="245"/>
      <c r="AN882" s="239"/>
      <c r="AO882" s="239"/>
      <c r="AP882" s="239"/>
      <c r="AQ882" s="306"/>
      <c r="AR882" s="239"/>
      <c r="AS882" s="239"/>
      <c r="AT882" s="239"/>
      <c r="AU882" s="239"/>
    </row>
    <row r="883" spans="1:47" x14ac:dyDescent="0.35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306"/>
      <c r="W883" s="239"/>
      <c r="X883" s="239"/>
      <c r="Y883" s="239"/>
      <c r="Z883" s="239"/>
      <c r="AA883" s="239"/>
      <c r="AB883" s="239"/>
      <c r="AC883" s="239"/>
      <c r="AD883" s="245"/>
      <c r="AE883" s="239"/>
      <c r="AF883" s="239"/>
      <c r="AG883" s="239"/>
      <c r="AH883" s="239"/>
      <c r="AI883" s="239"/>
      <c r="AJ883" s="239"/>
      <c r="AK883" s="239"/>
      <c r="AL883" s="239"/>
      <c r="AM883" s="245"/>
      <c r="AN883" s="239"/>
      <c r="AO883" s="239"/>
      <c r="AP883" s="239"/>
      <c r="AQ883" s="306"/>
      <c r="AR883" s="239"/>
      <c r="AS883" s="239"/>
      <c r="AT883" s="239"/>
      <c r="AU883" s="239"/>
    </row>
    <row r="884" spans="1:47" x14ac:dyDescent="0.35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306"/>
      <c r="W884" s="239"/>
      <c r="X884" s="239"/>
      <c r="Y884" s="239"/>
      <c r="Z884" s="239"/>
      <c r="AA884" s="239"/>
      <c r="AB884" s="239"/>
      <c r="AC884" s="239"/>
      <c r="AD884" s="245"/>
      <c r="AE884" s="239"/>
      <c r="AF884" s="239"/>
      <c r="AG884" s="239"/>
      <c r="AH884" s="239"/>
      <c r="AI884" s="239"/>
      <c r="AJ884" s="239"/>
      <c r="AK884" s="239"/>
      <c r="AL884" s="239"/>
      <c r="AM884" s="245"/>
      <c r="AN884" s="239"/>
      <c r="AO884" s="239"/>
      <c r="AP884" s="239"/>
      <c r="AQ884" s="306"/>
      <c r="AR884" s="239"/>
      <c r="AS884" s="239"/>
      <c r="AT884" s="239"/>
      <c r="AU884" s="239"/>
    </row>
    <row r="885" spans="1:47" x14ac:dyDescent="0.35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306"/>
      <c r="W885" s="239"/>
      <c r="X885" s="239"/>
      <c r="Y885" s="239"/>
      <c r="Z885" s="239"/>
      <c r="AA885" s="239"/>
      <c r="AB885" s="239"/>
      <c r="AC885" s="239"/>
      <c r="AD885" s="245"/>
      <c r="AE885" s="239"/>
      <c r="AF885" s="239"/>
      <c r="AG885" s="239"/>
      <c r="AH885" s="239"/>
      <c r="AI885" s="239"/>
      <c r="AJ885" s="239"/>
      <c r="AK885" s="239"/>
      <c r="AL885" s="239"/>
      <c r="AM885" s="245"/>
      <c r="AN885" s="239"/>
      <c r="AO885" s="239"/>
      <c r="AP885" s="239"/>
      <c r="AQ885" s="306"/>
      <c r="AR885" s="239"/>
      <c r="AS885" s="239"/>
      <c r="AT885" s="239"/>
      <c r="AU885" s="239"/>
    </row>
    <row r="886" spans="1:47" x14ac:dyDescent="0.35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306"/>
      <c r="W886" s="239"/>
      <c r="X886" s="239"/>
      <c r="Y886" s="239"/>
      <c r="Z886" s="239"/>
      <c r="AA886" s="239"/>
      <c r="AB886" s="239"/>
      <c r="AC886" s="239"/>
      <c r="AD886" s="245"/>
      <c r="AE886" s="239"/>
      <c r="AF886" s="239"/>
      <c r="AG886" s="239"/>
      <c r="AH886" s="239"/>
      <c r="AI886" s="239"/>
      <c r="AJ886" s="239"/>
      <c r="AK886" s="239"/>
      <c r="AL886" s="239"/>
      <c r="AM886" s="245"/>
      <c r="AN886" s="239"/>
      <c r="AO886" s="239"/>
      <c r="AP886" s="239"/>
      <c r="AQ886" s="306"/>
      <c r="AR886" s="239"/>
      <c r="AS886" s="239"/>
      <c r="AT886" s="239"/>
      <c r="AU886" s="239"/>
    </row>
    <row r="887" spans="1:47" x14ac:dyDescent="0.35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306"/>
      <c r="W887" s="239"/>
      <c r="X887" s="239"/>
      <c r="Y887" s="239"/>
      <c r="Z887" s="239"/>
      <c r="AA887" s="239"/>
      <c r="AB887" s="239"/>
      <c r="AC887" s="239"/>
      <c r="AD887" s="245"/>
      <c r="AE887" s="239"/>
      <c r="AF887" s="239"/>
      <c r="AG887" s="239"/>
      <c r="AH887" s="239"/>
      <c r="AI887" s="239"/>
      <c r="AJ887" s="239"/>
      <c r="AK887" s="239"/>
      <c r="AL887" s="239"/>
      <c r="AM887" s="245"/>
      <c r="AN887" s="239"/>
      <c r="AO887" s="239"/>
      <c r="AP887" s="239"/>
      <c r="AQ887" s="306"/>
      <c r="AR887" s="239"/>
      <c r="AS887" s="239"/>
      <c r="AT887" s="239"/>
      <c r="AU887" s="239"/>
    </row>
    <row r="888" spans="1:47" x14ac:dyDescent="0.35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306"/>
      <c r="W888" s="239"/>
      <c r="X888" s="239"/>
      <c r="Y888" s="239"/>
      <c r="Z888" s="239"/>
      <c r="AA888" s="239"/>
      <c r="AB888" s="239"/>
      <c r="AC888" s="239"/>
      <c r="AD888" s="245"/>
      <c r="AE888" s="239"/>
      <c r="AF888" s="239"/>
      <c r="AG888" s="239"/>
      <c r="AH888" s="239"/>
      <c r="AI888" s="239"/>
      <c r="AJ888" s="239"/>
      <c r="AK888" s="239"/>
      <c r="AL888" s="239"/>
      <c r="AM888" s="245"/>
      <c r="AN888" s="239"/>
      <c r="AO888" s="239"/>
      <c r="AP888" s="239"/>
      <c r="AQ888" s="306"/>
      <c r="AR888" s="239"/>
      <c r="AS888" s="239"/>
      <c r="AT888" s="239"/>
      <c r="AU888" s="239"/>
    </row>
    <row r="889" spans="1:47" x14ac:dyDescent="0.35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306"/>
      <c r="W889" s="239"/>
      <c r="X889" s="239"/>
      <c r="Y889" s="239"/>
      <c r="Z889" s="239"/>
      <c r="AA889" s="239"/>
      <c r="AB889" s="239"/>
      <c r="AC889" s="239"/>
      <c r="AD889" s="245"/>
      <c r="AE889" s="239"/>
      <c r="AF889" s="239"/>
      <c r="AG889" s="239"/>
      <c r="AH889" s="239"/>
      <c r="AI889" s="239"/>
      <c r="AJ889" s="239"/>
      <c r="AK889" s="239"/>
      <c r="AL889" s="239"/>
      <c r="AM889" s="245"/>
      <c r="AN889" s="239"/>
      <c r="AO889" s="239"/>
      <c r="AP889" s="239"/>
      <c r="AQ889" s="306"/>
      <c r="AR889" s="239"/>
      <c r="AS889" s="239"/>
      <c r="AT889" s="239"/>
      <c r="AU889" s="239"/>
    </row>
    <row r="890" spans="1:47" x14ac:dyDescent="0.35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306"/>
      <c r="W890" s="239"/>
      <c r="X890" s="239"/>
      <c r="Y890" s="239"/>
      <c r="Z890" s="239"/>
      <c r="AA890" s="239"/>
      <c r="AB890" s="239"/>
      <c r="AC890" s="239"/>
      <c r="AD890" s="245"/>
      <c r="AE890" s="239"/>
      <c r="AF890" s="239"/>
      <c r="AG890" s="239"/>
      <c r="AH890" s="239"/>
      <c r="AI890" s="239"/>
      <c r="AJ890" s="239"/>
      <c r="AK890" s="239"/>
      <c r="AL890" s="239"/>
      <c r="AM890" s="245"/>
      <c r="AN890" s="239"/>
      <c r="AO890" s="239"/>
      <c r="AP890" s="239"/>
      <c r="AQ890" s="306"/>
      <c r="AR890" s="239"/>
      <c r="AS890" s="239"/>
      <c r="AT890" s="239"/>
      <c r="AU890" s="239"/>
    </row>
    <row r="891" spans="1:47" x14ac:dyDescent="0.35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306"/>
      <c r="W891" s="239"/>
      <c r="X891" s="239"/>
      <c r="Y891" s="239"/>
      <c r="Z891" s="239"/>
      <c r="AA891" s="239"/>
      <c r="AB891" s="239"/>
      <c r="AC891" s="239"/>
      <c r="AD891" s="245"/>
      <c r="AE891" s="239"/>
      <c r="AF891" s="239"/>
      <c r="AG891" s="239"/>
      <c r="AH891" s="239"/>
      <c r="AI891" s="239"/>
      <c r="AJ891" s="239"/>
      <c r="AK891" s="239"/>
      <c r="AL891" s="239"/>
      <c r="AM891" s="245"/>
      <c r="AN891" s="239"/>
      <c r="AO891" s="239"/>
      <c r="AP891" s="239"/>
      <c r="AQ891" s="306"/>
      <c r="AR891" s="239"/>
      <c r="AS891" s="239"/>
      <c r="AT891" s="239"/>
      <c r="AU891" s="239"/>
    </row>
    <row r="892" spans="1:47" x14ac:dyDescent="0.35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306"/>
      <c r="W892" s="239"/>
      <c r="X892" s="239"/>
      <c r="Y892" s="239"/>
      <c r="Z892" s="239"/>
      <c r="AA892" s="239"/>
      <c r="AB892" s="239"/>
      <c r="AC892" s="239"/>
      <c r="AD892" s="245"/>
      <c r="AE892" s="239"/>
      <c r="AF892" s="239"/>
      <c r="AG892" s="239"/>
      <c r="AH892" s="239"/>
      <c r="AI892" s="239"/>
      <c r="AJ892" s="239"/>
      <c r="AK892" s="239"/>
      <c r="AL892" s="239"/>
      <c r="AM892" s="245"/>
      <c r="AN892" s="239"/>
      <c r="AO892" s="239"/>
      <c r="AP892" s="239"/>
      <c r="AQ892" s="306"/>
      <c r="AR892" s="239"/>
      <c r="AS892" s="239"/>
      <c r="AT892" s="239"/>
      <c r="AU892" s="239"/>
    </row>
    <row r="893" spans="1:47" x14ac:dyDescent="0.35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306"/>
      <c r="W893" s="239"/>
      <c r="X893" s="239"/>
      <c r="Y893" s="239"/>
      <c r="Z893" s="239"/>
      <c r="AA893" s="239"/>
      <c r="AB893" s="239"/>
      <c r="AC893" s="239"/>
      <c r="AD893" s="245"/>
      <c r="AE893" s="239"/>
      <c r="AF893" s="239"/>
      <c r="AG893" s="239"/>
      <c r="AH893" s="239"/>
      <c r="AI893" s="239"/>
      <c r="AJ893" s="239"/>
      <c r="AK893" s="239"/>
      <c r="AL893" s="239"/>
      <c r="AM893" s="245"/>
      <c r="AN893" s="239"/>
      <c r="AO893" s="239"/>
      <c r="AP893" s="239"/>
      <c r="AQ893" s="306"/>
      <c r="AR893" s="239"/>
      <c r="AS893" s="239"/>
      <c r="AT893" s="239"/>
      <c r="AU893" s="239"/>
    </row>
    <row r="894" spans="1:47" x14ac:dyDescent="0.35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306"/>
      <c r="W894" s="239"/>
      <c r="X894" s="239"/>
      <c r="Y894" s="239"/>
      <c r="Z894" s="239"/>
      <c r="AA894" s="239"/>
      <c r="AB894" s="239"/>
      <c r="AC894" s="239"/>
      <c r="AD894" s="245"/>
      <c r="AE894" s="239"/>
      <c r="AF894" s="239"/>
      <c r="AG894" s="239"/>
      <c r="AH894" s="239"/>
      <c r="AI894" s="239"/>
      <c r="AJ894" s="239"/>
      <c r="AK894" s="239"/>
      <c r="AL894" s="239"/>
      <c r="AM894" s="245"/>
      <c r="AN894" s="239"/>
      <c r="AO894" s="239"/>
      <c r="AP894" s="239"/>
      <c r="AQ894" s="306"/>
      <c r="AR894" s="239"/>
      <c r="AS894" s="239"/>
      <c r="AT894" s="239"/>
      <c r="AU894" s="239"/>
    </row>
    <row r="895" spans="1:47" x14ac:dyDescent="0.35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306"/>
      <c r="W895" s="239"/>
      <c r="X895" s="239"/>
      <c r="Y895" s="239"/>
      <c r="Z895" s="239"/>
      <c r="AA895" s="239"/>
      <c r="AB895" s="239"/>
      <c r="AC895" s="239"/>
      <c r="AD895" s="245"/>
      <c r="AE895" s="239"/>
      <c r="AF895" s="239"/>
      <c r="AG895" s="239"/>
      <c r="AH895" s="239"/>
      <c r="AI895" s="239"/>
      <c r="AJ895" s="239"/>
      <c r="AK895" s="239"/>
      <c r="AL895" s="239"/>
      <c r="AM895" s="245"/>
      <c r="AN895" s="239"/>
      <c r="AO895" s="239"/>
      <c r="AP895" s="239"/>
      <c r="AQ895" s="306"/>
      <c r="AR895" s="239"/>
      <c r="AS895" s="239"/>
      <c r="AT895" s="239"/>
      <c r="AU895" s="239"/>
    </row>
    <row r="896" spans="1:47" x14ac:dyDescent="0.35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306"/>
      <c r="W896" s="239"/>
      <c r="X896" s="239"/>
      <c r="Y896" s="239"/>
      <c r="Z896" s="239"/>
      <c r="AA896" s="239"/>
      <c r="AB896" s="239"/>
      <c r="AC896" s="239"/>
      <c r="AD896" s="245"/>
      <c r="AE896" s="239"/>
      <c r="AF896" s="239"/>
      <c r="AG896" s="239"/>
      <c r="AH896" s="239"/>
      <c r="AI896" s="239"/>
      <c r="AJ896" s="239"/>
      <c r="AK896" s="239"/>
      <c r="AL896" s="239"/>
      <c r="AM896" s="245"/>
      <c r="AN896" s="239"/>
      <c r="AO896" s="239"/>
      <c r="AP896" s="239"/>
      <c r="AQ896" s="306"/>
      <c r="AR896" s="239"/>
      <c r="AS896" s="239"/>
      <c r="AT896" s="239"/>
      <c r="AU896" s="239"/>
    </row>
    <row r="897" spans="1:47" x14ac:dyDescent="0.35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306"/>
      <c r="W897" s="239"/>
      <c r="X897" s="239"/>
      <c r="Y897" s="239"/>
      <c r="Z897" s="239"/>
      <c r="AA897" s="239"/>
      <c r="AB897" s="239"/>
      <c r="AC897" s="239"/>
      <c r="AD897" s="245"/>
      <c r="AE897" s="239"/>
      <c r="AF897" s="239"/>
      <c r="AG897" s="239"/>
      <c r="AH897" s="239"/>
      <c r="AI897" s="239"/>
      <c r="AJ897" s="239"/>
      <c r="AK897" s="239"/>
      <c r="AL897" s="239"/>
      <c r="AM897" s="245"/>
      <c r="AN897" s="239"/>
      <c r="AO897" s="239"/>
      <c r="AP897" s="239"/>
      <c r="AQ897" s="306"/>
      <c r="AR897" s="239"/>
      <c r="AS897" s="239"/>
      <c r="AT897" s="239"/>
      <c r="AU897" s="239"/>
    </row>
    <row r="898" spans="1:47" x14ac:dyDescent="0.35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306"/>
      <c r="W898" s="239"/>
      <c r="X898" s="239"/>
      <c r="Y898" s="239"/>
      <c r="Z898" s="239"/>
      <c r="AA898" s="239"/>
      <c r="AB898" s="239"/>
      <c r="AC898" s="239"/>
      <c r="AD898" s="245"/>
      <c r="AE898" s="239"/>
      <c r="AF898" s="239"/>
      <c r="AG898" s="239"/>
      <c r="AH898" s="239"/>
      <c r="AI898" s="239"/>
      <c r="AJ898" s="239"/>
      <c r="AK898" s="239"/>
      <c r="AL898" s="239"/>
      <c r="AM898" s="245"/>
      <c r="AN898" s="239"/>
      <c r="AO898" s="239"/>
      <c r="AP898" s="239"/>
      <c r="AQ898" s="306"/>
      <c r="AR898" s="239"/>
      <c r="AS898" s="239"/>
      <c r="AT898" s="239"/>
      <c r="AU898" s="239"/>
    </row>
    <row r="899" spans="1:47" x14ac:dyDescent="0.35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306"/>
      <c r="W899" s="239"/>
      <c r="X899" s="239"/>
      <c r="Y899" s="239"/>
      <c r="Z899" s="239"/>
      <c r="AA899" s="239"/>
      <c r="AB899" s="239"/>
      <c r="AC899" s="239"/>
      <c r="AD899" s="245"/>
      <c r="AE899" s="239"/>
      <c r="AF899" s="239"/>
      <c r="AG899" s="239"/>
      <c r="AH899" s="239"/>
      <c r="AI899" s="239"/>
      <c r="AJ899" s="239"/>
      <c r="AK899" s="239"/>
      <c r="AL899" s="239"/>
      <c r="AM899" s="245"/>
      <c r="AN899" s="239"/>
      <c r="AO899" s="239"/>
      <c r="AP899" s="239"/>
      <c r="AQ899" s="306"/>
      <c r="AR899" s="239"/>
      <c r="AS899" s="239"/>
      <c r="AT899" s="239"/>
      <c r="AU899" s="239"/>
    </row>
    <row r="900" spans="1:47" x14ac:dyDescent="0.35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306"/>
      <c r="W900" s="239"/>
      <c r="X900" s="239"/>
      <c r="Y900" s="239"/>
      <c r="Z900" s="239"/>
      <c r="AA900" s="239"/>
      <c r="AB900" s="239"/>
      <c r="AC900" s="239"/>
      <c r="AD900" s="245"/>
      <c r="AE900" s="239"/>
      <c r="AF900" s="239"/>
      <c r="AG900" s="239"/>
      <c r="AH900" s="239"/>
      <c r="AI900" s="239"/>
      <c r="AJ900" s="239"/>
      <c r="AK900" s="239"/>
      <c r="AL900" s="239"/>
      <c r="AM900" s="245"/>
      <c r="AN900" s="239"/>
      <c r="AO900" s="239"/>
      <c r="AP900" s="239"/>
      <c r="AQ900" s="306"/>
      <c r="AR900" s="239"/>
      <c r="AS900" s="239"/>
      <c r="AT900" s="239"/>
      <c r="AU900" s="239"/>
    </row>
    <row r="901" spans="1:47" x14ac:dyDescent="0.35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306"/>
      <c r="W901" s="239"/>
      <c r="X901" s="239"/>
      <c r="Y901" s="239"/>
      <c r="Z901" s="239"/>
      <c r="AA901" s="239"/>
      <c r="AB901" s="239"/>
      <c r="AC901" s="239"/>
      <c r="AD901" s="245"/>
      <c r="AE901" s="239"/>
      <c r="AF901" s="239"/>
      <c r="AG901" s="239"/>
      <c r="AH901" s="239"/>
      <c r="AI901" s="239"/>
      <c r="AJ901" s="239"/>
      <c r="AK901" s="239"/>
      <c r="AL901" s="239"/>
      <c r="AM901" s="245"/>
      <c r="AN901" s="239"/>
      <c r="AO901" s="239"/>
      <c r="AP901" s="239"/>
      <c r="AQ901" s="306"/>
      <c r="AR901" s="239"/>
      <c r="AS901" s="239"/>
      <c r="AT901" s="239"/>
      <c r="AU901" s="239"/>
    </row>
    <row r="902" spans="1:47" x14ac:dyDescent="0.35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306"/>
      <c r="W902" s="239"/>
      <c r="X902" s="239"/>
      <c r="Y902" s="239"/>
      <c r="Z902" s="239"/>
      <c r="AA902" s="239"/>
      <c r="AB902" s="239"/>
      <c r="AC902" s="239"/>
      <c r="AD902" s="245"/>
      <c r="AE902" s="239"/>
      <c r="AF902" s="239"/>
      <c r="AG902" s="239"/>
      <c r="AH902" s="239"/>
      <c r="AI902" s="239"/>
      <c r="AJ902" s="239"/>
      <c r="AK902" s="239"/>
      <c r="AL902" s="239"/>
      <c r="AM902" s="245"/>
      <c r="AN902" s="239"/>
      <c r="AO902" s="239"/>
      <c r="AP902" s="239"/>
      <c r="AQ902" s="306"/>
      <c r="AR902" s="239"/>
      <c r="AS902" s="239"/>
      <c r="AT902" s="239"/>
      <c r="AU902" s="239"/>
    </row>
    <row r="903" spans="1:47" x14ac:dyDescent="0.35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306"/>
      <c r="W903" s="239"/>
      <c r="X903" s="239"/>
      <c r="Y903" s="239"/>
      <c r="Z903" s="239"/>
      <c r="AA903" s="239"/>
      <c r="AB903" s="239"/>
      <c r="AC903" s="239"/>
      <c r="AD903" s="245"/>
      <c r="AE903" s="239"/>
      <c r="AF903" s="239"/>
      <c r="AG903" s="239"/>
      <c r="AH903" s="239"/>
      <c r="AI903" s="239"/>
      <c r="AJ903" s="239"/>
      <c r="AK903" s="239"/>
      <c r="AL903" s="239"/>
      <c r="AM903" s="245"/>
      <c r="AN903" s="239"/>
      <c r="AO903" s="239"/>
      <c r="AP903" s="239"/>
      <c r="AQ903" s="306"/>
      <c r="AR903" s="239"/>
      <c r="AS903" s="239"/>
      <c r="AT903" s="239"/>
      <c r="AU903" s="239"/>
    </row>
    <row r="904" spans="1:47" x14ac:dyDescent="0.35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306"/>
      <c r="W904" s="239"/>
      <c r="X904" s="239"/>
      <c r="Y904" s="239"/>
      <c r="Z904" s="239"/>
      <c r="AA904" s="239"/>
      <c r="AB904" s="239"/>
      <c r="AC904" s="239"/>
      <c r="AD904" s="245"/>
      <c r="AE904" s="239"/>
      <c r="AF904" s="239"/>
      <c r="AG904" s="239"/>
      <c r="AH904" s="239"/>
      <c r="AI904" s="239"/>
      <c r="AJ904" s="239"/>
      <c r="AK904" s="239"/>
      <c r="AL904" s="239"/>
      <c r="AM904" s="245"/>
      <c r="AN904" s="239"/>
      <c r="AO904" s="239"/>
      <c r="AP904" s="239"/>
      <c r="AQ904" s="306"/>
      <c r="AR904" s="239"/>
      <c r="AS904" s="239"/>
      <c r="AT904" s="239"/>
      <c r="AU904" s="239"/>
    </row>
    <row r="905" spans="1:47" x14ac:dyDescent="0.35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306"/>
      <c r="W905" s="239"/>
      <c r="X905" s="239"/>
      <c r="Y905" s="239"/>
      <c r="Z905" s="239"/>
      <c r="AA905" s="239"/>
      <c r="AB905" s="239"/>
      <c r="AC905" s="239"/>
      <c r="AD905" s="245"/>
      <c r="AE905" s="239"/>
      <c r="AF905" s="239"/>
      <c r="AG905" s="239"/>
      <c r="AH905" s="239"/>
      <c r="AI905" s="239"/>
      <c r="AJ905" s="239"/>
      <c r="AK905" s="239"/>
      <c r="AL905" s="239"/>
      <c r="AM905" s="245"/>
      <c r="AN905" s="239"/>
      <c r="AO905" s="239"/>
      <c r="AP905" s="239"/>
      <c r="AQ905" s="306"/>
      <c r="AR905" s="239"/>
      <c r="AS905" s="239"/>
      <c r="AT905" s="239"/>
      <c r="AU905" s="239"/>
    </row>
    <row r="906" spans="1:47" x14ac:dyDescent="0.35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306"/>
      <c r="W906" s="239"/>
      <c r="X906" s="239"/>
      <c r="Y906" s="239"/>
      <c r="Z906" s="239"/>
      <c r="AA906" s="239"/>
      <c r="AB906" s="239"/>
      <c r="AC906" s="239"/>
      <c r="AD906" s="245"/>
      <c r="AE906" s="239"/>
      <c r="AF906" s="239"/>
      <c r="AG906" s="239"/>
      <c r="AH906" s="239"/>
      <c r="AI906" s="239"/>
      <c r="AJ906" s="239"/>
      <c r="AK906" s="239"/>
      <c r="AL906" s="239"/>
      <c r="AM906" s="245"/>
      <c r="AN906" s="239"/>
      <c r="AO906" s="239"/>
      <c r="AP906" s="239"/>
      <c r="AQ906" s="306"/>
      <c r="AR906" s="239"/>
      <c r="AS906" s="239"/>
      <c r="AT906" s="239"/>
      <c r="AU906" s="239"/>
    </row>
    <row r="907" spans="1:47" x14ac:dyDescent="0.35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306"/>
      <c r="W907" s="239"/>
      <c r="X907" s="239"/>
      <c r="Y907" s="239"/>
      <c r="Z907" s="239"/>
      <c r="AA907" s="239"/>
      <c r="AB907" s="239"/>
      <c r="AC907" s="239"/>
      <c r="AD907" s="245"/>
      <c r="AE907" s="239"/>
      <c r="AF907" s="239"/>
      <c r="AG907" s="239"/>
      <c r="AH907" s="239"/>
      <c r="AI907" s="239"/>
      <c r="AJ907" s="239"/>
      <c r="AK907" s="239"/>
      <c r="AL907" s="239"/>
      <c r="AM907" s="245"/>
      <c r="AN907" s="239"/>
      <c r="AO907" s="239"/>
      <c r="AP907" s="239"/>
      <c r="AQ907" s="306"/>
      <c r="AR907" s="239"/>
      <c r="AS907" s="239"/>
      <c r="AT907" s="239"/>
      <c r="AU907" s="239"/>
    </row>
    <row r="908" spans="1:47" x14ac:dyDescent="0.35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306"/>
      <c r="W908" s="239"/>
      <c r="X908" s="239"/>
      <c r="Y908" s="239"/>
      <c r="Z908" s="239"/>
      <c r="AA908" s="239"/>
      <c r="AB908" s="239"/>
      <c r="AC908" s="239"/>
      <c r="AD908" s="245"/>
      <c r="AE908" s="239"/>
      <c r="AF908" s="239"/>
      <c r="AG908" s="239"/>
      <c r="AH908" s="239"/>
      <c r="AI908" s="239"/>
      <c r="AJ908" s="239"/>
      <c r="AK908" s="239"/>
      <c r="AL908" s="239"/>
      <c r="AM908" s="245"/>
      <c r="AN908" s="239"/>
      <c r="AO908" s="239"/>
      <c r="AP908" s="239"/>
      <c r="AQ908" s="306"/>
      <c r="AR908" s="239"/>
      <c r="AS908" s="239"/>
      <c r="AT908" s="239"/>
      <c r="AU908" s="239"/>
    </row>
    <row r="909" spans="1:47" x14ac:dyDescent="0.35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306"/>
      <c r="W909" s="239"/>
      <c r="X909" s="239"/>
      <c r="Y909" s="239"/>
      <c r="Z909" s="239"/>
      <c r="AA909" s="239"/>
      <c r="AB909" s="239"/>
      <c r="AC909" s="239"/>
      <c r="AD909" s="245"/>
      <c r="AE909" s="239"/>
      <c r="AF909" s="239"/>
      <c r="AG909" s="239"/>
      <c r="AH909" s="239"/>
      <c r="AI909" s="239"/>
      <c r="AJ909" s="239"/>
      <c r="AK909" s="239"/>
      <c r="AL909" s="239"/>
      <c r="AM909" s="245"/>
      <c r="AN909" s="239"/>
      <c r="AO909" s="239"/>
      <c r="AP909" s="239"/>
      <c r="AQ909" s="306"/>
      <c r="AR909" s="239"/>
      <c r="AS909" s="239"/>
      <c r="AT909" s="239"/>
      <c r="AU909" s="239"/>
    </row>
    <row r="910" spans="1:47" x14ac:dyDescent="0.35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306"/>
      <c r="W910" s="239"/>
      <c r="X910" s="239"/>
      <c r="Y910" s="239"/>
      <c r="Z910" s="239"/>
      <c r="AA910" s="239"/>
      <c r="AB910" s="239"/>
      <c r="AC910" s="239"/>
      <c r="AD910" s="245"/>
      <c r="AE910" s="239"/>
      <c r="AF910" s="239"/>
      <c r="AG910" s="239"/>
      <c r="AH910" s="239"/>
      <c r="AI910" s="239"/>
      <c r="AJ910" s="239"/>
      <c r="AK910" s="239"/>
      <c r="AL910" s="239"/>
      <c r="AM910" s="245"/>
      <c r="AN910" s="239"/>
      <c r="AO910" s="239"/>
      <c r="AP910" s="239"/>
      <c r="AQ910" s="306"/>
      <c r="AR910" s="239"/>
      <c r="AS910" s="239"/>
      <c r="AT910" s="239"/>
      <c r="AU910" s="239"/>
    </row>
    <row r="911" spans="1:47" x14ac:dyDescent="0.35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306"/>
      <c r="W911" s="239"/>
      <c r="X911" s="239"/>
      <c r="Y911" s="239"/>
      <c r="Z911" s="239"/>
      <c r="AA911" s="239"/>
      <c r="AB911" s="239"/>
      <c r="AC911" s="239"/>
      <c r="AD911" s="245"/>
      <c r="AE911" s="239"/>
      <c r="AF911" s="239"/>
      <c r="AG911" s="239"/>
      <c r="AH911" s="239"/>
      <c r="AI911" s="239"/>
      <c r="AJ911" s="239"/>
      <c r="AK911" s="239"/>
      <c r="AL911" s="239"/>
      <c r="AM911" s="245"/>
      <c r="AN911" s="239"/>
      <c r="AO911" s="239"/>
      <c r="AP911" s="239"/>
      <c r="AQ911" s="306"/>
      <c r="AR911" s="239"/>
      <c r="AS911" s="239"/>
      <c r="AT911" s="239"/>
      <c r="AU911" s="239"/>
    </row>
    <row r="912" spans="1:47" x14ac:dyDescent="0.35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306"/>
      <c r="W912" s="239"/>
      <c r="X912" s="239"/>
      <c r="Y912" s="239"/>
      <c r="Z912" s="239"/>
      <c r="AA912" s="239"/>
      <c r="AB912" s="239"/>
      <c r="AC912" s="239"/>
      <c r="AD912" s="245"/>
      <c r="AE912" s="239"/>
      <c r="AF912" s="239"/>
      <c r="AG912" s="239"/>
      <c r="AH912" s="239"/>
      <c r="AI912" s="239"/>
      <c r="AJ912" s="239"/>
      <c r="AK912" s="239"/>
      <c r="AL912" s="239"/>
      <c r="AM912" s="245"/>
      <c r="AN912" s="239"/>
      <c r="AO912" s="239"/>
      <c r="AP912" s="239"/>
      <c r="AQ912" s="306"/>
      <c r="AR912" s="239"/>
      <c r="AS912" s="239"/>
      <c r="AT912" s="239"/>
      <c r="AU912" s="239"/>
    </row>
    <row r="913" spans="1:47" x14ac:dyDescent="0.35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306"/>
      <c r="W913" s="239"/>
      <c r="X913" s="239"/>
      <c r="Y913" s="239"/>
      <c r="Z913" s="239"/>
      <c r="AA913" s="239"/>
      <c r="AB913" s="239"/>
      <c r="AC913" s="239"/>
      <c r="AD913" s="245"/>
      <c r="AE913" s="239"/>
      <c r="AF913" s="239"/>
      <c r="AG913" s="239"/>
      <c r="AH913" s="239"/>
      <c r="AI913" s="239"/>
      <c r="AJ913" s="239"/>
      <c r="AK913" s="239"/>
      <c r="AL913" s="239"/>
      <c r="AM913" s="245"/>
      <c r="AN913" s="239"/>
      <c r="AO913" s="239"/>
      <c r="AP913" s="239"/>
      <c r="AQ913" s="306"/>
      <c r="AR913" s="239"/>
      <c r="AS913" s="239"/>
      <c r="AT913" s="239"/>
      <c r="AU913" s="239"/>
    </row>
    <row r="914" spans="1:47" x14ac:dyDescent="0.35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306"/>
      <c r="W914" s="239"/>
      <c r="X914" s="239"/>
      <c r="Y914" s="239"/>
      <c r="Z914" s="239"/>
      <c r="AA914" s="239"/>
      <c r="AB914" s="239"/>
      <c r="AC914" s="239"/>
      <c r="AD914" s="245"/>
      <c r="AE914" s="239"/>
      <c r="AF914" s="239"/>
      <c r="AG914" s="239"/>
      <c r="AH914" s="239"/>
      <c r="AI914" s="239"/>
      <c r="AJ914" s="239"/>
      <c r="AK914" s="239"/>
      <c r="AL914" s="239"/>
      <c r="AM914" s="245"/>
      <c r="AN914" s="239"/>
      <c r="AO914" s="239"/>
      <c r="AP914" s="239"/>
      <c r="AQ914" s="306"/>
      <c r="AR914" s="239"/>
      <c r="AS914" s="239"/>
      <c r="AT914" s="239"/>
      <c r="AU914" s="239"/>
    </row>
    <row r="915" spans="1:47" x14ac:dyDescent="0.35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306"/>
      <c r="W915" s="239"/>
      <c r="X915" s="239"/>
      <c r="Y915" s="239"/>
      <c r="Z915" s="239"/>
      <c r="AA915" s="239"/>
      <c r="AB915" s="239"/>
      <c r="AC915" s="239"/>
      <c r="AD915" s="245"/>
      <c r="AE915" s="239"/>
      <c r="AF915" s="239"/>
      <c r="AG915" s="239"/>
      <c r="AH915" s="239"/>
      <c r="AI915" s="239"/>
      <c r="AJ915" s="239"/>
      <c r="AK915" s="239"/>
      <c r="AL915" s="239"/>
      <c r="AM915" s="245"/>
      <c r="AN915" s="239"/>
      <c r="AO915" s="239"/>
      <c r="AP915" s="239"/>
      <c r="AQ915" s="306"/>
      <c r="AR915" s="239"/>
      <c r="AS915" s="239"/>
      <c r="AT915" s="239"/>
      <c r="AU915" s="239"/>
    </row>
    <row r="916" spans="1:47" x14ac:dyDescent="0.35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306"/>
      <c r="W916" s="239"/>
      <c r="X916" s="239"/>
      <c r="Y916" s="239"/>
      <c r="Z916" s="239"/>
      <c r="AA916" s="239"/>
      <c r="AB916" s="239"/>
      <c r="AC916" s="239"/>
      <c r="AD916" s="245"/>
      <c r="AE916" s="239"/>
      <c r="AF916" s="239"/>
      <c r="AG916" s="239"/>
      <c r="AH916" s="239"/>
      <c r="AI916" s="239"/>
      <c r="AJ916" s="239"/>
      <c r="AK916" s="239"/>
      <c r="AL916" s="239"/>
      <c r="AM916" s="245"/>
      <c r="AN916" s="239"/>
      <c r="AO916" s="239"/>
      <c r="AP916" s="239"/>
      <c r="AQ916" s="306"/>
      <c r="AR916" s="239"/>
      <c r="AS916" s="239"/>
      <c r="AT916" s="239"/>
      <c r="AU916" s="239"/>
    </row>
    <row r="917" spans="1:47" x14ac:dyDescent="0.35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306"/>
      <c r="W917" s="239"/>
      <c r="X917" s="239"/>
      <c r="Y917" s="239"/>
      <c r="Z917" s="239"/>
      <c r="AA917" s="239"/>
      <c r="AB917" s="239"/>
      <c r="AC917" s="239"/>
      <c r="AD917" s="245"/>
      <c r="AE917" s="239"/>
      <c r="AF917" s="239"/>
      <c r="AG917" s="239"/>
      <c r="AH917" s="239"/>
      <c r="AI917" s="239"/>
      <c r="AJ917" s="239"/>
      <c r="AK917" s="239"/>
      <c r="AL917" s="239"/>
      <c r="AM917" s="245"/>
      <c r="AN917" s="239"/>
      <c r="AO917" s="239"/>
      <c r="AP917" s="239"/>
      <c r="AQ917" s="306"/>
      <c r="AR917" s="239"/>
      <c r="AS917" s="239"/>
      <c r="AT917" s="239"/>
      <c r="AU917" s="239"/>
    </row>
    <row r="918" spans="1:47" x14ac:dyDescent="0.35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306"/>
      <c r="W918" s="239"/>
      <c r="X918" s="239"/>
      <c r="Y918" s="239"/>
      <c r="Z918" s="239"/>
      <c r="AA918" s="239"/>
      <c r="AB918" s="239"/>
      <c r="AC918" s="239"/>
      <c r="AD918" s="245"/>
      <c r="AE918" s="239"/>
      <c r="AF918" s="239"/>
      <c r="AG918" s="239"/>
      <c r="AH918" s="239"/>
      <c r="AI918" s="239"/>
      <c r="AJ918" s="239"/>
      <c r="AK918" s="239"/>
      <c r="AL918" s="239"/>
      <c r="AM918" s="245"/>
      <c r="AN918" s="239"/>
      <c r="AO918" s="239"/>
      <c r="AP918" s="239"/>
      <c r="AQ918" s="306"/>
      <c r="AR918" s="239"/>
      <c r="AS918" s="239"/>
      <c r="AT918" s="239"/>
      <c r="AU918" s="239"/>
    </row>
    <row r="919" spans="1:47" x14ac:dyDescent="0.35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306"/>
      <c r="W919" s="239"/>
      <c r="X919" s="239"/>
      <c r="Y919" s="239"/>
      <c r="Z919" s="239"/>
      <c r="AA919" s="239"/>
      <c r="AB919" s="239"/>
      <c r="AC919" s="239"/>
      <c r="AD919" s="245"/>
      <c r="AE919" s="239"/>
      <c r="AF919" s="239"/>
      <c r="AG919" s="239"/>
      <c r="AH919" s="239"/>
      <c r="AI919" s="239"/>
      <c r="AJ919" s="239"/>
      <c r="AK919" s="239"/>
      <c r="AL919" s="239"/>
      <c r="AM919" s="245"/>
      <c r="AN919" s="239"/>
      <c r="AO919" s="239"/>
      <c r="AP919" s="239"/>
      <c r="AQ919" s="306"/>
      <c r="AR919" s="239"/>
      <c r="AS919" s="239"/>
      <c r="AT919" s="239"/>
      <c r="AU919" s="239"/>
    </row>
    <row r="920" spans="1:47" x14ac:dyDescent="0.35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306"/>
      <c r="W920" s="239"/>
      <c r="X920" s="239"/>
      <c r="Y920" s="239"/>
      <c r="Z920" s="239"/>
      <c r="AA920" s="239"/>
      <c r="AB920" s="239"/>
      <c r="AC920" s="239"/>
      <c r="AD920" s="245"/>
      <c r="AE920" s="239"/>
      <c r="AF920" s="239"/>
      <c r="AG920" s="239"/>
      <c r="AH920" s="239"/>
      <c r="AI920" s="239"/>
      <c r="AJ920" s="239"/>
      <c r="AK920" s="239"/>
      <c r="AL920" s="239"/>
      <c r="AM920" s="245"/>
      <c r="AN920" s="239"/>
      <c r="AO920" s="239"/>
      <c r="AP920" s="239"/>
      <c r="AQ920" s="306"/>
      <c r="AR920" s="239"/>
      <c r="AS920" s="239"/>
      <c r="AT920" s="239"/>
      <c r="AU920" s="239"/>
    </row>
    <row r="921" spans="1:47" x14ac:dyDescent="0.35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306"/>
      <c r="W921" s="239"/>
      <c r="X921" s="239"/>
      <c r="Y921" s="239"/>
      <c r="Z921" s="239"/>
      <c r="AA921" s="239"/>
      <c r="AB921" s="239"/>
      <c r="AC921" s="239"/>
      <c r="AD921" s="245"/>
      <c r="AE921" s="239"/>
      <c r="AF921" s="239"/>
      <c r="AG921" s="239"/>
      <c r="AH921" s="239"/>
      <c r="AI921" s="239"/>
      <c r="AJ921" s="239"/>
      <c r="AK921" s="239"/>
      <c r="AL921" s="239"/>
      <c r="AM921" s="245"/>
      <c r="AN921" s="239"/>
      <c r="AO921" s="239"/>
      <c r="AP921" s="239"/>
      <c r="AQ921" s="306"/>
      <c r="AR921" s="239"/>
      <c r="AS921" s="239"/>
      <c r="AT921" s="239"/>
      <c r="AU921" s="239"/>
    </row>
    <row r="922" spans="1:47" x14ac:dyDescent="0.35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306"/>
      <c r="W922" s="239"/>
      <c r="X922" s="239"/>
      <c r="Y922" s="239"/>
      <c r="Z922" s="239"/>
      <c r="AA922" s="239"/>
      <c r="AB922" s="239"/>
      <c r="AC922" s="239"/>
      <c r="AD922" s="245"/>
      <c r="AE922" s="239"/>
      <c r="AF922" s="239"/>
      <c r="AG922" s="239"/>
      <c r="AH922" s="239"/>
      <c r="AI922" s="239"/>
      <c r="AJ922" s="239"/>
      <c r="AK922" s="239"/>
      <c r="AL922" s="239"/>
      <c r="AM922" s="245"/>
      <c r="AN922" s="239"/>
      <c r="AO922" s="239"/>
      <c r="AP922" s="239"/>
      <c r="AQ922" s="306"/>
      <c r="AR922" s="239"/>
      <c r="AS922" s="239"/>
      <c r="AT922" s="239"/>
      <c r="AU922" s="239"/>
    </row>
    <row r="923" spans="1:47" x14ac:dyDescent="0.35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306"/>
      <c r="W923" s="239"/>
      <c r="X923" s="239"/>
      <c r="Y923" s="239"/>
      <c r="Z923" s="239"/>
      <c r="AA923" s="239"/>
      <c r="AB923" s="239"/>
      <c r="AC923" s="239"/>
      <c r="AD923" s="245"/>
      <c r="AE923" s="239"/>
      <c r="AF923" s="239"/>
      <c r="AG923" s="239"/>
      <c r="AH923" s="239"/>
      <c r="AI923" s="239"/>
      <c r="AJ923" s="239"/>
      <c r="AK923" s="239"/>
      <c r="AL923" s="239"/>
      <c r="AM923" s="245"/>
      <c r="AN923" s="239"/>
      <c r="AO923" s="239"/>
      <c r="AP923" s="239"/>
      <c r="AQ923" s="306"/>
      <c r="AR923" s="239"/>
      <c r="AS923" s="239"/>
      <c r="AT923" s="239"/>
      <c r="AU923" s="239"/>
    </row>
    <row r="924" spans="1:47" x14ac:dyDescent="0.35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306"/>
      <c r="W924" s="239"/>
      <c r="X924" s="239"/>
      <c r="Y924" s="239"/>
      <c r="Z924" s="239"/>
      <c r="AA924" s="239"/>
      <c r="AB924" s="239"/>
      <c r="AC924" s="239"/>
      <c r="AD924" s="245"/>
      <c r="AE924" s="239"/>
      <c r="AF924" s="239"/>
      <c r="AG924" s="239"/>
      <c r="AH924" s="239"/>
      <c r="AI924" s="239"/>
      <c r="AJ924" s="239"/>
      <c r="AK924" s="239"/>
      <c r="AL924" s="239"/>
      <c r="AM924" s="245"/>
      <c r="AN924" s="239"/>
      <c r="AO924" s="239"/>
      <c r="AP924" s="239"/>
      <c r="AQ924" s="306"/>
      <c r="AR924" s="239"/>
      <c r="AS924" s="239"/>
      <c r="AT924" s="239"/>
      <c r="AU924" s="239"/>
    </row>
    <row r="925" spans="1:47" x14ac:dyDescent="0.35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306"/>
      <c r="W925" s="239"/>
      <c r="X925" s="239"/>
      <c r="Y925" s="239"/>
      <c r="Z925" s="239"/>
      <c r="AA925" s="239"/>
      <c r="AB925" s="239"/>
      <c r="AC925" s="239"/>
      <c r="AD925" s="245"/>
      <c r="AE925" s="239"/>
      <c r="AF925" s="239"/>
      <c r="AG925" s="239"/>
      <c r="AH925" s="239"/>
      <c r="AI925" s="239"/>
      <c r="AJ925" s="239"/>
      <c r="AK925" s="239"/>
      <c r="AL925" s="239"/>
      <c r="AM925" s="245"/>
      <c r="AN925" s="239"/>
      <c r="AO925" s="239"/>
      <c r="AP925" s="239"/>
      <c r="AQ925" s="306"/>
      <c r="AR925" s="239"/>
      <c r="AS925" s="239"/>
      <c r="AT925" s="239"/>
      <c r="AU925" s="239"/>
    </row>
    <row r="926" spans="1:47" x14ac:dyDescent="0.35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306"/>
      <c r="W926" s="239"/>
      <c r="X926" s="239"/>
      <c r="Y926" s="239"/>
      <c r="Z926" s="239"/>
      <c r="AA926" s="239"/>
      <c r="AB926" s="239"/>
      <c r="AC926" s="239"/>
      <c r="AD926" s="245"/>
      <c r="AE926" s="239"/>
      <c r="AF926" s="239"/>
      <c r="AG926" s="239"/>
      <c r="AH926" s="239"/>
      <c r="AI926" s="239"/>
      <c r="AJ926" s="239"/>
      <c r="AK926" s="239"/>
      <c r="AL926" s="239"/>
      <c r="AM926" s="245"/>
      <c r="AN926" s="239"/>
      <c r="AO926" s="239"/>
      <c r="AP926" s="239"/>
      <c r="AQ926" s="306"/>
      <c r="AR926" s="239"/>
      <c r="AS926" s="239"/>
      <c r="AT926" s="239"/>
      <c r="AU926" s="239"/>
    </row>
    <row r="927" spans="1:47" x14ac:dyDescent="0.35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306"/>
      <c r="W927" s="239"/>
      <c r="X927" s="239"/>
      <c r="Y927" s="239"/>
      <c r="Z927" s="239"/>
      <c r="AA927" s="239"/>
      <c r="AB927" s="239"/>
      <c r="AC927" s="239"/>
      <c r="AD927" s="245"/>
      <c r="AE927" s="239"/>
      <c r="AF927" s="239"/>
      <c r="AG927" s="239"/>
      <c r="AH927" s="239"/>
      <c r="AI927" s="239"/>
      <c r="AJ927" s="239"/>
      <c r="AK927" s="239"/>
      <c r="AL927" s="239"/>
      <c r="AM927" s="245"/>
      <c r="AN927" s="239"/>
      <c r="AO927" s="239"/>
      <c r="AP927" s="239"/>
      <c r="AQ927" s="306"/>
      <c r="AR927" s="239"/>
      <c r="AS927" s="239"/>
      <c r="AT927" s="239"/>
      <c r="AU927" s="239"/>
    </row>
    <row r="928" spans="1:47" x14ac:dyDescent="0.35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306"/>
      <c r="W928" s="239"/>
      <c r="X928" s="239"/>
      <c r="Y928" s="239"/>
      <c r="Z928" s="239"/>
      <c r="AA928" s="239"/>
      <c r="AB928" s="239"/>
      <c r="AC928" s="239"/>
      <c r="AD928" s="245"/>
      <c r="AE928" s="239"/>
      <c r="AF928" s="239"/>
      <c r="AG928" s="239"/>
      <c r="AH928" s="239"/>
      <c r="AI928" s="239"/>
      <c r="AJ928" s="239"/>
      <c r="AK928" s="239"/>
      <c r="AL928" s="239"/>
      <c r="AM928" s="245"/>
      <c r="AN928" s="239"/>
      <c r="AO928" s="239"/>
      <c r="AP928" s="239"/>
      <c r="AQ928" s="306"/>
      <c r="AR928" s="239"/>
      <c r="AS928" s="239"/>
      <c r="AT928" s="239"/>
      <c r="AU928" s="239"/>
    </row>
    <row r="929" spans="1:47" x14ac:dyDescent="0.35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306"/>
      <c r="W929" s="239"/>
      <c r="X929" s="239"/>
      <c r="Y929" s="239"/>
      <c r="Z929" s="239"/>
      <c r="AA929" s="239"/>
      <c r="AB929" s="239"/>
      <c r="AC929" s="239"/>
      <c r="AD929" s="245"/>
      <c r="AE929" s="239"/>
      <c r="AF929" s="239"/>
      <c r="AG929" s="239"/>
      <c r="AH929" s="239"/>
      <c r="AI929" s="239"/>
      <c r="AJ929" s="239"/>
      <c r="AK929" s="239"/>
      <c r="AL929" s="239"/>
      <c r="AM929" s="245"/>
      <c r="AN929" s="239"/>
      <c r="AO929" s="239"/>
      <c r="AP929" s="239"/>
      <c r="AQ929" s="306"/>
      <c r="AR929" s="239"/>
      <c r="AS929" s="239"/>
      <c r="AT929" s="239"/>
      <c r="AU929" s="239"/>
    </row>
    <row r="930" spans="1:47" x14ac:dyDescent="0.35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306"/>
      <c r="W930" s="239"/>
      <c r="X930" s="239"/>
      <c r="Y930" s="239"/>
      <c r="Z930" s="239"/>
      <c r="AA930" s="239"/>
      <c r="AB930" s="239"/>
      <c r="AC930" s="239"/>
      <c r="AD930" s="245"/>
      <c r="AE930" s="239"/>
      <c r="AF930" s="239"/>
      <c r="AG930" s="239"/>
      <c r="AH930" s="239"/>
      <c r="AI930" s="239"/>
      <c r="AJ930" s="239"/>
      <c r="AK930" s="239"/>
      <c r="AL930" s="239"/>
      <c r="AM930" s="245"/>
      <c r="AN930" s="239"/>
      <c r="AO930" s="239"/>
      <c r="AP930" s="239"/>
      <c r="AQ930" s="306"/>
      <c r="AR930" s="239"/>
      <c r="AS930" s="239"/>
      <c r="AT930" s="239"/>
      <c r="AU930" s="239"/>
    </row>
    <row r="931" spans="1:47" x14ac:dyDescent="0.35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306"/>
      <c r="W931" s="239"/>
      <c r="X931" s="239"/>
      <c r="Y931" s="239"/>
      <c r="Z931" s="239"/>
      <c r="AA931" s="239"/>
      <c r="AB931" s="239"/>
      <c r="AC931" s="239"/>
      <c r="AD931" s="245"/>
      <c r="AE931" s="239"/>
      <c r="AF931" s="239"/>
      <c r="AG931" s="239"/>
      <c r="AH931" s="239"/>
      <c r="AI931" s="239"/>
      <c r="AJ931" s="239"/>
      <c r="AK931" s="239"/>
      <c r="AL931" s="239"/>
      <c r="AM931" s="245"/>
      <c r="AN931" s="239"/>
      <c r="AO931" s="239"/>
      <c r="AP931" s="239"/>
      <c r="AQ931" s="306"/>
      <c r="AR931" s="239"/>
      <c r="AS931" s="239"/>
      <c r="AT931" s="239"/>
      <c r="AU931" s="239"/>
    </row>
    <row r="932" spans="1:47" x14ac:dyDescent="0.35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306"/>
      <c r="W932" s="239"/>
      <c r="X932" s="239"/>
      <c r="Y932" s="239"/>
      <c r="Z932" s="239"/>
      <c r="AA932" s="239"/>
      <c r="AB932" s="239"/>
      <c r="AC932" s="239"/>
      <c r="AD932" s="245"/>
      <c r="AE932" s="239"/>
      <c r="AF932" s="239"/>
      <c r="AG932" s="239"/>
      <c r="AH932" s="239"/>
      <c r="AI932" s="239"/>
      <c r="AJ932" s="239"/>
      <c r="AK932" s="239"/>
      <c r="AL932" s="239"/>
      <c r="AM932" s="245"/>
      <c r="AN932" s="239"/>
      <c r="AO932" s="239"/>
      <c r="AP932" s="239"/>
      <c r="AQ932" s="306"/>
      <c r="AR932" s="239"/>
      <c r="AS932" s="239"/>
      <c r="AT932" s="239"/>
      <c r="AU932" s="239"/>
    </row>
    <row r="933" spans="1:47" x14ac:dyDescent="0.35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306"/>
      <c r="W933" s="239"/>
      <c r="X933" s="239"/>
      <c r="Y933" s="239"/>
      <c r="Z933" s="239"/>
      <c r="AA933" s="239"/>
      <c r="AB933" s="239"/>
      <c r="AC933" s="239"/>
      <c r="AD933" s="245"/>
      <c r="AE933" s="239"/>
      <c r="AF933" s="239"/>
      <c r="AG933" s="239"/>
      <c r="AH933" s="239"/>
      <c r="AI933" s="239"/>
      <c r="AJ933" s="239"/>
      <c r="AK933" s="239"/>
      <c r="AL933" s="239"/>
      <c r="AM933" s="245"/>
      <c r="AN933" s="239"/>
      <c r="AO933" s="239"/>
      <c r="AP933" s="239"/>
      <c r="AQ933" s="306"/>
      <c r="AR933" s="239"/>
      <c r="AS933" s="239"/>
      <c r="AT933" s="239"/>
      <c r="AU933" s="239"/>
    </row>
    <row r="934" spans="1:47" x14ac:dyDescent="0.35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306"/>
      <c r="W934" s="239"/>
      <c r="X934" s="239"/>
      <c r="Y934" s="239"/>
      <c r="Z934" s="239"/>
      <c r="AA934" s="239"/>
      <c r="AB934" s="239"/>
      <c r="AC934" s="239"/>
      <c r="AD934" s="245"/>
      <c r="AE934" s="239"/>
      <c r="AF934" s="239"/>
      <c r="AG934" s="239"/>
      <c r="AH934" s="239"/>
      <c r="AI934" s="239"/>
      <c r="AJ934" s="239"/>
      <c r="AK934" s="239"/>
      <c r="AL934" s="239"/>
      <c r="AM934" s="245"/>
      <c r="AN934" s="239"/>
      <c r="AO934" s="239"/>
      <c r="AP934" s="239"/>
      <c r="AQ934" s="306"/>
      <c r="AR934" s="239"/>
      <c r="AS934" s="239"/>
      <c r="AT934" s="239"/>
      <c r="AU934" s="239"/>
    </row>
    <row r="935" spans="1:47" x14ac:dyDescent="0.35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306"/>
      <c r="W935" s="239"/>
      <c r="X935" s="239"/>
      <c r="Y935" s="239"/>
      <c r="Z935" s="239"/>
      <c r="AA935" s="239"/>
      <c r="AB935" s="239"/>
      <c r="AC935" s="239"/>
      <c r="AD935" s="245"/>
      <c r="AE935" s="239"/>
      <c r="AF935" s="239"/>
      <c r="AG935" s="239"/>
      <c r="AH935" s="239"/>
      <c r="AI935" s="239"/>
      <c r="AJ935" s="239"/>
      <c r="AK935" s="239"/>
      <c r="AL935" s="239"/>
      <c r="AM935" s="245"/>
      <c r="AN935" s="239"/>
      <c r="AO935" s="239"/>
      <c r="AP935" s="239"/>
      <c r="AQ935" s="306"/>
      <c r="AR935" s="239"/>
      <c r="AS935" s="239"/>
      <c r="AT935" s="239"/>
      <c r="AU935" s="239"/>
    </row>
    <row r="936" spans="1:47" x14ac:dyDescent="0.35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306"/>
      <c r="W936" s="239"/>
      <c r="X936" s="239"/>
      <c r="Y936" s="239"/>
      <c r="Z936" s="239"/>
      <c r="AA936" s="239"/>
      <c r="AB936" s="239"/>
      <c r="AC936" s="239"/>
      <c r="AD936" s="245"/>
      <c r="AE936" s="239"/>
      <c r="AF936" s="239"/>
      <c r="AG936" s="239"/>
      <c r="AH936" s="239"/>
      <c r="AI936" s="239"/>
      <c r="AJ936" s="239"/>
      <c r="AK936" s="239"/>
      <c r="AL936" s="239"/>
      <c r="AM936" s="245"/>
      <c r="AN936" s="239"/>
      <c r="AO936" s="239"/>
      <c r="AP936" s="239"/>
      <c r="AQ936" s="306"/>
      <c r="AR936" s="239"/>
      <c r="AS936" s="239"/>
      <c r="AT936" s="239"/>
      <c r="AU936" s="239"/>
    </row>
    <row r="937" spans="1:47" x14ac:dyDescent="0.35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306"/>
      <c r="W937" s="239"/>
      <c r="X937" s="239"/>
      <c r="Y937" s="239"/>
      <c r="Z937" s="239"/>
      <c r="AA937" s="239"/>
      <c r="AB937" s="239"/>
      <c r="AC937" s="239"/>
      <c r="AD937" s="245"/>
      <c r="AE937" s="239"/>
      <c r="AF937" s="239"/>
      <c r="AG937" s="239"/>
      <c r="AH937" s="239"/>
      <c r="AI937" s="239"/>
      <c r="AJ937" s="239"/>
      <c r="AK937" s="239"/>
      <c r="AL937" s="239"/>
      <c r="AM937" s="245"/>
      <c r="AN937" s="239"/>
      <c r="AO937" s="239"/>
      <c r="AP937" s="239"/>
      <c r="AQ937" s="306"/>
      <c r="AR937" s="239"/>
      <c r="AS937" s="239"/>
      <c r="AT937" s="239"/>
      <c r="AU937" s="239"/>
    </row>
    <row r="938" spans="1:47" x14ac:dyDescent="0.35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306"/>
      <c r="W938" s="239"/>
      <c r="X938" s="239"/>
      <c r="Y938" s="239"/>
      <c r="Z938" s="239"/>
      <c r="AA938" s="239"/>
      <c r="AB938" s="239"/>
      <c r="AC938" s="239"/>
      <c r="AD938" s="245"/>
      <c r="AE938" s="239"/>
      <c r="AF938" s="239"/>
      <c r="AG938" s="239"/>
      <c r="AH938" s="239"/>
      <c r="AI938" s="239"/>
      <c r="AJ938" s="239"/>
      <c r="AK938" s="239"/>
      <c r="AL938" s="239"/>
      <c r="AM938" s="245"/>
      <c r="AN938" s="239"/>
      <c r="AO938" s="239"/>
      <c r="AP938" s="239"/>
      <c r="AQ938" s="306"/>
      <c r="AR938" s="239"/>
      <c r="AS938" s="239"/>
      <c r="AT938" s="239"/>
      <c r="AU938" s="239"/>
    </row>
    <row r="939" spans="1:47" x14ac:dyDescent="0.35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306"/>
      <c r="W939" s="239"/>
      <c r="X939" s="239"/>
      <c r="Y939" s="239"/>
      <c r="Z939" s="239"/>
      <c r="AA939" s="239"/>
      <c r="AB939" s="239"/>
      <c r="AC939" s="239"/>
      <c r="AD939" s="245"/>
      <c r="AE939" s="239"/>
      <c r="AF939" s="239"/>
      <c r="AG939" s="239"/>
      <c r="AH939" s="239"/>
      <c r="AI939" s="239"/>
      <c r="AJ939" s="239"/>
      <c r="AK939" s="239"/>
      <c r="AL939" s="239"/>
      <c r="AM939" s="245"/>
      <c r="AN939" s="239"/>
      <c r="AO939" s="239"/>
      <c r="AP939" s="239"/>
      <c r="AQ939" s="306"/>
      <c r="AR939" s="239"/>
      <c r="AS939" s="239"/>
      <c r="AT939" s="239"/>
      <c r="AU939" s="239"/>
    </row>
    <row r="940" spans="1:47" x14ac:dyDescent="0.35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306"/>
      <c r="W940" s="239"/>
      <c r="X940" s="239"/>
      <c r="Y940" s="239"/>
      <c r="Z940" s="239"/>
      <c r="AA940" s="239"/>
      <c r="AB940" s="239"/>
      <c r="AC940" s="239"/>
      <c r="AD940" s="245"/>
      <c r="AE940" s="239"/>
      <c r="AF940" s="239"/>
      <c r="AG940" s="239"/>
      <c r="AH940" s="239"/>
      <c r="AI940" s="239"/>
      <c r="AJ940" s="239"/>
      <c r="AK940" s="239"/>
      <c r="AL940" s="239"/>
      <c r="AM940" s="245"/>
      <c r="AN940" s="239"/>
      <c r="AO940" s="239"/>
      <c r="AP940" s="239"/>
      <c r="AQ940" s="306"/>
      <c r="AR940" s="239"/>
      <c r="AS940" s="239"/>
      <c r="AT940" s="239"/>
      <c r="AU940" s="239"/>
    </row>
    <row r="941" spans="1:47" x14ac:dyDescent="0.35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306"/>
      <c r="W941" s="239"/>
      <c r="X941" s="239"/>
      <c r="Y941" s="239"/>
      <c r="Z941" s="239"/>
      <c r="AA941" s="239"/>
      <c r="AB941" s="239"/>
      <c r="AC941" s="239"/>
      <c r="AD941" s="245"/>
      <c r="AE941" s="239"/>
      <c r="AF941" s="239"/>
      <c r="AG941" s="239"/>
      <c r="AH941" s="239"/>
      <c r="AI941" s="239"/>
      <c r="AJ941" s="239"/>
      <c r="AK941" s="239"/>
      <c r="AL941" s="239"/>
      <c r="AM941" s="245"/>
      <c r="AN941" s="239"/>
      <c r="AO941" s="239"/>
      <c r="AP941" s="239"/>
      <c r="AQ941" s="306"/>
      <c r="AR941" s="239"/>
      <c r="AS941" s="239"/>
      <c r="AT941" s="239"/>
      <c r="AU941" s="239"/>
    </row>
    <row r="942" spans="1:47" x14ac:dyDescent="0.35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306"/>
      <c r="W942" s="239"/>
      <c r="X942" s="239"/>
      <c r="Y942" s="239"/>
      <c r="Z942" s="239"/>
      <c r="AA942" s="239"/>
      <c r="AB942" s="239"/>
      <c r="AC942" s="239"/>
      <c r="AD942" s="245"/>
      <c r="AE942" s="239"/>
      <c r="AF942" s="239"/>
      <c r="AG942" s="239"/>
      <c r="AH942" s="239"/>
      <c r="AI942" s="239"/>
      <c r="AJ942" s="239"/>
      <c r="AK942" s="239"/>
      <c r="AL942" s="239"/>
      <c r="AM942" s="245"/>
      <c r="AN942" s="239"/>
      <c r="AO942" s="239"/>
      <c r="AP942" s="239"/>
      <c r="AQ942" s="306"/>
      <c r="AR942" s="239"/>
      <c r="AS942" s="239"/>
      <c r="AT942" s="239"/>
      <c r="AU942" s="239"/>
    </row>
    <row r="943" spans="1:47" x14ac:dyDescent="0.35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306"/>
      <c r="W943" s="239"/>
      <c r="X943" s="239"/>
      <c r="Y943" s="239"/>
      <c r="Z943" s="239"/>
      <c r="AA943" s="239"/>
      <c r="AB943" s="239"/>
      <c r="AC943" s="239"/>
      <c r="AD943" s="245"/>
      <c r="AE943" s="239"/>
      <c r="AF943" s="239"/>
      <c r="AG943" s="239"/>
      <c r="AH943" s="239"/>
      <c r="AI943" s="239"/>
      <c r="AJ943" s="239"/>
      <c r="AK943" s="239"/>
      <c r="AL943" s="239"/>
      <c r="AM943" s="245"/>
      <c r="AN943" s="239"/>
      <c r="AO943" s="239"/>
      <c r="AP943" s="239"/>
      <c r="AQ943" s="306"/>
      <c r="AR943" s="239"/>
      <c r="AS943" s="239"/>
      <c r="AT943" s="239"/>
      <c r="AU943" s="239"/>
    </row>
    <row r="944" spans="1:47" x14ac:dyDescent="0.35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306"/>
      <c r="W944" s="239"/>
      <c r="X944" s="239"/>
      <c r="Y944" s="239"/>
      <c r="Z944" s="239"/>
      <c r="AA944" s="239"/>
      <c r="AB944" s="239"/>
      <c r="AC944" s="239"/>
      <c r="AD944" s="245"/>
      <c r="AE944" s="239"/>
      <c r="AF944" s="239"/>
      <c r="AG944" s="239"/>
      <c r="AH944" s="239"/>
      <c r="AI944" s="239"/>
      <c r="AJ944" s="239"/>
      <c r="AK944" s="239"/>
      <c r="AL944" s="239"/>
      <c r="AM944" s="245"/>
      <c r="AN944" s="239"/>
      <c r="AO944" s="239"/>
      <c r="AP944" s="239"/>
      <c r="AQ944" s="306"/>
      <c r="AR944" s="239"/>
      <c r="AS944" s="239"/>
      <c r="AT944" s="239"/>
      <c r="AU944" s="239"/>
    </row>
    <row r="945" spans="1:47" x14ac:dyDescent="0.35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306"/>
      <c r="W945" s="239"/>
      <c r="X945" s="239"/>
      <c r="Y945" s="239"/>
      <c r="Z945" s="239"/>
      <c r="AA945" s="239"/>
      <c r="AB945" s="239"/>
      <c r="AC945" s="239"/>
      <c r="AD945" s="245"/>
      <c r="AE945" s="239"/>
      <c r="AF945" s="239"/>
      <c r="AG945" s="239"/>
      <c r="AH945" s="239"/>
      <c r="AI945" s="239"/>
      <c r="AJ945" s="239"/>
      <c r="AK945" s="239"/>
      <c r="AL945" s="239"/>
      <c r="AM945" s="245"/>
      <c r="AN945" s="239"/>
      <c r="AO945" s="239"/>
      <c r="AP945" s="239"/>
      <c r="AQ945" s="306"/>
      <c r="AR945" s="239"/>
      <c r="AS945" s="239"/>
      <c r="AT945" s="239"/>
      <c r="AU945" s="239"/>
    </row>
    <row r="946" spans="1:47" x14ac:dyDescent="0.35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306"/>
      <c r="W946" s="239"/>
      <c r="X946" s="239"/>
      <c r="Y946" s="239"/>
      <c r="Z946" s="239"/>
      <c r="AA946" s="239"/>
      <c r="AB946" s="239"/>
      <c r="AC946" s="239"/>
      <c r="AD946" s="245"/>
      <c r="AE946" s="239"/>
      <c r="AF946" s="239"/>
      <c r="AG946" s="239"/>
      <c r="AH946" s="239"/>
      <c r="AI946" s="239"/>
      <c r="AJ946" s="239"/>
      <c r="AK946" s="239"/>
      <c r="AL946" s="239"/>
      <c r="AM946" s="245"/>
      <c r="AN946" s="239"/>
      <c r="AO946" s="239"/>
      <c r="AP946" s="239"/>
      <c r="AQ946" s="306"/>
      <c r="AR946" s="239"/>
      <c r="AS946" s="239"/>
      <c r="AT946" s="239"/>
      <c r="AU946" s="239"/>
    </row>
    <row r="947" spans="1:47" x14ac:dyDescent="0.35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306"/>
      <c r="W947" s="239"/>
      <c r="X947" s="239"/>
      <c r="Y947" s="239"/>
      <c r="Z947" s="239"/>
      <c r="AA947" s="239"/>
      <c r="AB947" s="239"/>
      <c r="AC947" s="239"/>
      <c r="AD947" s="245"/>
      <c r="AE947" s="239"/>
      <c r="AF947" s="239"/>
      <c r="AG947" s="239"/>
      <c r="AH947" s="239"/>
      <c r="AI947" s="239"/>
      <c r="AJ947" s="239"/>
      <c r="AK947" s="239"/>
      <c r="AL947" s="239"/>
      <c r="AM947" s="245"/>
      <c r="AN947" s="239"/>
      <c r="AO947" s="239"/>
      <c r="AP947" s="239"/>
      <c r="AQ947" s="306"/>
      <c r="AR947" s="239"/>
      <c r="AS947" s="239"/>
      <c r="AT947" s="239"/>
      <c r="AU947" s="239"/>
    </row>
    <row r="948" spans="1:47" x14ac:dyDescent="0.35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306"/>
      <c r="W948" s="239"/>
      <c r="X948" s="239"/>
      <c r="Y948" s="239"/>
      <c r="Z948" s="239"/>
      <c r="AA948" s="239"/>
      <c r="AB948" s="239"/>
      <c r="AC948" s="239"/>
      <c r="AD948" s="245"/>
      <c r="AE948" s="239"/>
      <c r="AF948" s="239"/>
      <c r="AG948" s="239"/>
      <c r="AH948" s="239"/>
      <c r="AI948" s="239"/>
      <c r="AJ948" s="239"/>
      <c r="AK948" s="239"/>
      <c r="AL948" s="239"/>
      <c r="AM948" s="245"/>
      <c r="AN948" s="239"/>
      <c r="AO948" s="239"/>
      <c r="AP948" s="239"/>
      <c r="AQ948" s="306"/>
      <c r="AR948" s="239"/>
      <c r="AS948" s="239"/>
      <c r="AT948" s="239"/>
      <c r="AU948" s="239"/>
    </row>
    <row r="949" spans="1:47" x14ac:dyDescent="0.35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306"/>
      <c r="W949" s="239"/>
      <c r="X949" s="239"/>
      <c r="Y949" s="239"/>
      <c r="Z949" s="239"/>
      <c r="AA949" s="239"/>
      <c r="AB949" s="239"/>
      <c r="AC949" s="239"/>
      <c r="AD949" s="245"/>
      <c r="AE949" s="239"/>
      <c r="AF949" s="239"/>
      <c r="AG949" s="239"/>
      <c r="AH949" s="239"/>
      <c r="AI949" s="239"/>
      <c r="AJ949" s="239"/>
      <c r="AK949" s="239"/>
      <c r="AL949" s="239"/>
      <c r="AM949" s="245"/>
      <c r="AN949" s="239"/>
      <c r="AO949" s="239"/>
      <c r="AP949" s="239"/>
      <c r="AQ949" s="306"/>
      <c r="AR949" s="239"/>
      <c r="AS949" s="239"/>
      <c r="AT949" s="239"/>
      <c r="AU949" s="239"/>
    </row>
    <row r="950" spans="1:47" x14ac:dyDescent="0.35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306"/>
      <c r="W950" s="239"/>
      <c r="X950" s="239"/>
      <c r="Y950" s="239"/>
      <c r="Z950" s="239"/>
      <c r="AA950" s="239"/>
      <c r="AB950" s="239"/>
      <c r="AC950" s="239"/>
      <c r="AD950" s="245"/>
      <c r="AE950" s="239"/>
      <c r="AF950" s="239"/>
      <c r="AG950" s="239"/>
      <c r="AH950" s="239"/>
      <c r="AI950" s="239"/>
      <c r="AJ950" s="239"/>
      <c r="AK950" s="239"/>
      <c r="AL950" s="239"/>
      <c r="AM950" s="245"/>
      <c r="AN950" s="239"/>
      <c r="AO950" s="239"/>
      <c r="AP950" s="239"/>
      <c r="AQ950" s="306"/>
      <c r="AR950" s="239"/>
      <c r="AS950" s="239"/>
      <c r="AT950" s="239"/>
      <c r="AU950" s="239"/>
    </row>
    <row r="951" spans="1:47" x14ac:dyDescent="0.35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306"/>
      <c r="W951" s="239"/>
      <c r="X951" s="239"/>
      <c r="Y951" s="239"/>
      <c r="Z951" s="239"/>
      <c r="AA951" s="239"/>
      <c r="AB951" s="239"/>
      <c r="AC951" s="239"/>
      <c r="AD951" s="245"/>
      <c r="AE951" s="239"/>
      <c r="AF951" s="239"/>
      <c r="AG951" s="239"/>
      <c r="AH951" s="239"/>
      <c r="AI951" s="239"/>
      <c r="AJ951" s="239"/>
      <c r="AK951" s="239"/>
      <c r="AL951" s="239"/>
      <c r="AM951" s="245"/>
      <c r="AN951" s="239"/>
      <c r="AO951" s="239"/>
      <c r="AP951" s="239"/>
      <c r="AQ951" s="306"/>
      <c r="AR951" s="239"/>
      <c r="AS951" s="239"/>
      <c r="AT951" s="239"/>
      <c r="AU951" s="239"/>
    </row>
    <row r="952" spans="1:47" x14ac:dyDescent="0.35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306"/>
      <c r="W952" s="239"/>
      <c r="X952" s="239"/>
      <c r="Y952" s="239"/>
      <c r="Z952" s="239"/>
      <c r="AA952" s="239"/>
      <c r="AB952" s="239"/>
      <c r="AC952" s="239"/>
      <c r="AD952" s="245"/>
      <c r="AE952" s="239"/>
      <c r="AF952" s="239"/>
      <c r="AG952" s="239"/>
      <c r="AH952" s="239"/>
      <c r="AI952" s="239"/>
      <c r="AJ952" s="239"/>
      <c r="AK952" s="239"/>
      <c r="AL952" s="239"/>
      <c r="AM952" s="245"/>
      <c r="AN952" s="239"/>
      <c r="AO952" s="239"/>
      <c r="AP952" s="239"/>
      <c r="AQ952" s="306"/>
      <c r="AR952" s="239"/>
      <c r="AS952" s="239"/>
      <c r="AT952" s="239"/>
      <c r="AU952" s="239"/>
    </row>
    <row r="953" spans="1:47" x14ac:dyDescent="0.35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306"/>
      <c r="W953" s="239"/>
      <c r="X953" s="239"/>
      <c r="Y953" s="239"/>
      <c r="Z953" s="239"/>
      <c r="AA953" s="239"/>
      <c r="AB953" s="239"/>
      <c r="AC953" s="239"/>
      <c r="AD953" s="245"/>
      <c r="AE953" s="239"/>
      <c r="AF953" s="239"/>
      <c r="AG953" s="239"/>
      <c r="AH953" s="239"/>
      <c r="AI953" s="239"/>
      <c r="AJ953" s="239"/>
      <c r="AK953" s="239"/>
      <c r="AL953" s="239"/>
      <c r="AM953" s="245"/>
      <c r="AN953" s="239"/>
      <c r="AO953" s="239"/>
      <c r="AP953" s="239"/>
      <c r="AQ953" s="306"/>
      <c r="AR953" s="239"/>
      <c r="AS953" s="239"/>
      <c r="AT953" s="239"/>
      <c r="AU953" s="239"/>
    </row>
    <row r="954" spans="1:47" x14ac:dyDescent="0.35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306"/>
      <c r="W954" s="239"/>
      <c r="X954" s="239"/>
      <c r="Y954" s="239"/>
      <c r="Z954" s="239"/>
      <c r="AA954" s="239"/>
      <c r="AB954" s="239"/>
      <c r="AC954" s="239"/>
      <c r="AD954" s="245"/>
      <c r="AE954" s="239"/>
      <c r="AF954" s="239"/>
      <c r="AG954" s="239"/>
      <c r="AH954" s="239"/>
      <c r="AI954" s="239"/>
      <c r="AJ954" s="239"/>
      <c r="AK954" s="239"/>
      <c r="AL954" s="239"/>
      <c r="AM954" s="245"/>
      <c r="AN954" s="239"/>
      <c r="AO954" s="239"/>
      <c r="AP954" s="239"/>
      <c r="AQ954" s="306"/>
      <c r="AR954" s="239"/>
      <c r="AS954" s="239"/>
      <c r="AT954" s="239"/>
      <c r="AU954" s="239"/>
    </row>
    <row r="955" spans="1:47" x14ac:dyDescent="0.35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306"/>
      <c r="W955" s="239"/>
      <c r="X955" s="239"/>
      <c r="Y955" s="239"/>
      <c r="Z955" s="239"/>
      <c r="AA955" s="239"/>
      <c r="AB955" s="239"/>
      <c r="AC955" s="239"/>
      <c r="AD955" s="245"/>
      <c r="AE955" s="239"/>
      <c r="AF955" s="239"/>
      <c r="AG955" s="239"/>
      <c r="AH955" s="239"/>
      <c r="AI955" s="239"/>
      <c r="AJ955" s="239"/>
      <c r="AK955" s="239"/>
      <c r="AL955" s="239"/>
      <c r="AM955" s="245"/>
      <c r="AN955" s="239"/>
      <c r="AO955" s="239"/>
      <c r="AP955" s="239"/>
      <c r="AQ955" s="306"/>
      <c r="AR955" s="239"/>
      <c r="AS955" s="239"/>
      <c r="AT955" s="239"/>
      <c r="AU955" s="239"/>
    </row>
    <row r="956" spans="1:47" x14ac:dyDescent="0.35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306"/>
      <c r="W956" s="239"/>
      <c r="X956" s="239"/>
      <c r="Y956" s="239"/>
      <c r="Z956" s="239"/>
      <c r="AA956" s="239"/>
      <c r="AB956" s="239"/>
      <c r="AC956" s="239"/>
      <c r="AD956" s="245"/>
      <c r="AE956" s="239"/>
      <c r="AF956" s="239"/>
      <c r="AG956" s="239"/>
      <c r="AH956" s="239"/>
      <c r="AI956" s="239"/>
      <c r="AJ956" s="239"/>
      <c r="AK956" s="239"/>
      <c r="AL956" s="239"/>
      <c r="AM956" s="245"/>
      <c r="AN956" s="239"/>
      <c r="AO956" s="239"/>
      <c r="AP956" s="239"/>
      <c r="AQ956" s="306"/>
      <c r="AR956" s="239"/>
      <c r="AS956" s="239"/>
      <c r="AT956" s="239"/>
      <c r="AU956" s="239"/>
    </row>
    <row r="957" spans="1:47" x14ac:dyDescent="0.35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306"/>
      <c r="W957" s="239"/>
      <c r="X957" s="239"/>
      <c r="Y957" s="239"/>
      <c r="Z957" s="239"/>
      <c r="AA957" s="239"/>
      <c r="AB957" s="239"/>
      <c r="AC957" s="239"/>
      <c r="AD957" s="245"/>
      <c r="AE957" s="239"/>
      <c r="AF957" s="239"/>
      <c r="AG957" s="239"/>
      <c r="AH957" s="239"/>
      <c r="AI957" s="239"/>
      <c r="AJ957" s="239"/>
      <c r="AK957" s="239"/>
      <c r="AL957" s="239"/>
      <c r="AM957" s="245"/>
      <c r="AN957" s="239"/>
      <c r="AO957" s="239"/>
      <c r="AP957" s="239"/>
      <c r="AQ957" s="306"/>
      <c r="AR957" s="239"/>
      <c r="AS957" s="239"/>
      <c r="AT957" s="239"/>
      <c r="AU957" s="239"/>
    </row>
    <row r="958" spans="1:47" x14ac:dyDescent="0.35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306"/>
      <c r="W958" s="239"/>
      <c r="X958" s="239"/>
      <c r="Y958" s="239"/>
      <c r="Z958" s="239"/>
      <c r="AA958" s="239"/>
      <c r="AB958" s="239"/>
      <c r="AC958" s="239"/>
      <c r="AD958" s="245"/>
      <c r="AE958" s="239"/>
      <c r="AF958" s="239"/>
      <c r="AG958" s="239"/>
      <c r="AH958" s="239"/>
      <c r="AI958" s="239"/>
      <c r="AJ958" s="239"/>
      <c r="AK958" s="239"/>
      <c r="AL958" s="239"/>
      <c r="AM958" s="245"/>
      <c r="AN958" s="239"/>
      <c r="AO958" s="239"/>
      <c r="AP958" s="239"/>
      <c r="AQ958" s="306"/>
      <c r="AR958" s="239"/>
      <c r="AS958" s="239"/>
      <c r="AT958" s="239"/>
      <c r="AU958" s="239"/>
    </row>
    <row r="959" spans="1:47" x14ac:dyDescent="0.35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306"/>
      <c r="W959" s="239"/>
      <c r="X959" s="239"/>
      <c r="Y959" s="239"/>
      <c r="Z959" s="239"/>
      <c r="AA959" s="239"/>
      <c r="AB959" s="239"/>
      <c r="AC959" s="239"/>
      <c r="AD959" s="245"/>
      <c r="AE959" s="239"/>
      <c r="AF959" s="239"/>
      <c r="AG959" s="239"/>
      <c r="AH959" s="239"/>
      <c r="AI959" s="239"/>
      <c r="AJ959" s="239"/>
      <c r="AK959" s="239"/>
      <c r="AL959" s="239"/>
      <c r="AM959" s="245"/>
      <c r="AN959" s="239"/>
      <c r="AO959" s="239"/>
      <c r="AP959" s="239"/>
      <c r="AQ959" s="306"/>
      <c r="AR959" s="239"/>
      <c r="AS959" s="239"/>
      <c r="AT959" s="239"/>
      <c r="AU959" s="239"/>
    </row>
    <row r="960" spans="1:47" x14ac:dyDescent="0.35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306"/>
      <c r="W960" s="239"/>
      <c r="X960" s="239"/>
      <c r="Y960" s="239"/>
      <c r="Z960" s="239"/>
      <c r="AA960" s="239"/>
      <c r="AB960" s="239"/>
      <c r="AC960" s="239"/>
      <c r="AD960" s="245"/>
      <c r="AE960" s="239"/>
      <c r="AF960" s="239"/>
      <c r="AG960" s="239"/>
      <c r="AH960" s="239"/>
      <c r="AI960" s="239"/>
      <c r="AJ960" s="239"/>
      <c r="AK960" s="239"/>
      <c r="AL960" s="239"/>
      <c r="AM960" s="245"/>
      <c r="AN960" s="239"/>
      <c r="AO960" s="239"/>
      <c r="AP960" s="239"/>
      <c r="AQ960" s="306"/>
      <c r="AR960" s="239"/>
      <c r="AS960" s="239"/>
      <c r="AT960" s="239"/>
      <c r="AU960" s="239"/>
    </row>
    <row r="961" spans="1:47" x14ac:dyDescent="0.35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306"/>
      <c r="W961" s="239"/>
      <c r="X961" s="239"/>
      <c r="Y961" s="239"/>
      <c r="Z961" s="239"/>
      <c r="AA961" s="239"/>
      <c r="AB961" s="239"/>
      <c r="AC961" s="239"/>
      <c r="AD961" s="245"/>
      <c r="AE961" s="239"/>
      <c r="AF961" s="239"/>
      <c r="AG961" s="239"/>
      <c r="AH961" s="239"/>
      <c r="AI961" s="239"/>
      <c r="AJ961" s="239"/>
      <c r="AK961" s="239"/>
      <c r="AL961" s="239"/>
      <c r="AM961" s="245"/>
      <c r="AN961" s="239"/>
      <c r="AO961" s="239"/>
      <c r="AP961" s="239"/>
      <c r="AQ961" s="306"/>
      <c r="AR961" s="239"/>
      <c r="AS961" s="239"/>
      <c r="AT961" s="239"/>
      <c r="AU961" s="239"/>
    </row>
    <row r="962" spans="1:47" x14ac:dyDescent="0.35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306"/>
      <c r="W962" s="239"/>
      <c r="X962" s="239"/>
      <c r="Y962" s="239"/>
      <c r="Z962" s="239"/>
      <c r="AA962" s="239"/>
      <c r="AB962" s="239"/>
      <c r="AC962" s="239"/>
      <c r="AD962" s="245"/>
      <c r="AE962" s="239"/>
      <c r="AF962" s="239"/>
      <c r="AG962" s="239"/>
      <c r="AH962" s="239"/>
      <c r="AI962" s="239"/>
      <c r="AJ962" s="239"/>
      <c r="AK962" s="239"/>
      <c r="AL962" s="239"/>
      <c r="AM962" s="245"/>
      <c r="AN962" s="239"/>
      <c r="AO962" s="239"/>
      <c r="AP962" s="239"/>
      <c r="AQ962" s="306"/>
      <c r="AR962" s="239"/>
      <c r="AS962" s="239"/>
      <c r="AT962" s="239"/>
      <c r="AU962" s="239"/>
    </row>
    <row r="963" spans="1:47" x14ac:dyDescent="0.35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306"/>
      <c r="W963" s="239"/>
      <c r="X963" s="239"/>
      <c r="Y963" s="239"/>
      <c r="Z963" s="239"/>
      <c r="AA963" s="239"/>
      <c r="AB963" s="239"/>
      <c r="AC963" s="239"/>
      <c r="AD963" s="245"/>
      <c r="AE963" s="239"/>
      <c r="AF963" s="239"/>
      <c r="AG963" s="239"/>
      <c r="AH963" s="239"/>
      <c r="AI963" s="239"/>
      <c r="AJ963" s="239"/>
      <c r="AK963" s="239"/>
      <c r="AL963" s="239"/>
      <c r="AM963" s="245"/>
      <c r="AN963" s="239"/>
      <c r="AO963" s="239"/>
      <c r="AP963" s="239"/>
      <c r="AQ963" s="306"/>
      <c r="AR963" s="239"/>
      <c r="AS963" s="239"/>
      <c r="AT963" s="239"/>
      <c r="AU963" s="239"/>
    </row>
    <row r="964" spans="1:47" x14ac:dyDescent="0.35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306"/>
      <c r="W964" s="239"/>
      <c r="X964" s="239"/>
      <c r="Y964" s="239"/>
      <c r="Z964" s="239"/>
      <c r="AA964" s="239"/>
      <c r="AB964" s="239"/>
      <c r="AC964" s="239"/>
      <c r="AD964" s="245"/>
      <c r="AE964" s="239"/>
      <c r="AF964" s="239"/>
      <c r="AG964" s="239"/>
      <c r="AH964" s="239"/>
      <c r="AI964" s="239"/>
      <c r="AJ964" s="239"/>
      <c r="AK964" s="239"/>
      <c r="AL964" s="239"/>
      <c r="AM964" s="245"/>
      <c r="AN964" s="239"/>
      <c r="AO964" s="239"/>
      <c r="AP964" s="239"/>
      <c r="AQ964" s="306"/>
      <c r="AR964" s="239"/>
      <c r="AS964" s="239"/>
      <c r="AT964" s="239"/>
      <c r="AU964" s="239"/>
    </row>
    <row r="965" spans="1:47" x14ac:dyDescent="0.35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306"/>
      <c r="W965" s="239"/>
      <c r="X965" s="239"/>
      <c r="Y965" s="239"/>
      <c r="Z965" s="239"/>
      <c r="AA965" s="239"/>
      <c r="AB965" s="239"/>
      <c r="AC965" s="239"/>
      <c r="AD965" s="245"/>
      <c r="AE965" s="239"/>
      <c r="AF965" s="239"/>
      <c r="AG965" s="239"/>
      <c r="AH965" s="239"/>
      <c r="AI965" s="239"/>
      <c r="AJ965" s="239"/>
      <c r="AK965" s="239"/>
      <c r="AL965" s="239"/>
      <c r="AM965" s="245"/>
      <c r="AN965" s="239"/>
      <c r="AO965" s="239"/>
      <c r="AP965" s="239"/>
      <c r="AQ965" s="306"/>
      <c r="AR965" s="239"/>
      <c r="AS965" s="239"/>
      <c r="AT965" s="239"/>
      <c r="AU965" s="239"/>
    </row>
    <row r="966" spans="1:47" x14ac:dyDescent="0.35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306"/>
      <c r="W966" s="239"/>
      <c r="X966" s="239"/>
      <c r="Y966" s="239"/>
      <c r="Z966" s="239"/>
      <c r="AA966" s="239"/>
      <c r="AB966" s="239"/>
      <c r="AC966" s="239"/>
      <c r="AD966" s="245"/>
      <c r="AE966" s="239"/>
      <c r="AF966" s="239"/>
      <c r="AG966" s="239"/>
      <c r="AH966" s="239"/>
      <c r="AI966" s="239"/>
      <c r="AJ966" s="239"/>
      <c r="AK966" s="239"/>
      <c r="AL966" s="239"/>
      <c r="AM966" s="245"/>
      <c r="AN966" s="239"/>
      <c r="AO966" s="239"/>
      <c r="AP966" s="239"/>
      <c r="AQ966" s="306"/>
      <c r="AR966" s="239"/>
      <c r="AS966" s="239"/>
      <c r="AT966" s="239"/>
      <c r="AU966" s="239"/>
    </row>
    <row r="967" spans="1:47" x14ac:dyDescent="0.35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306"/>
      <c r="W967" s="239"/>
      <c r="X967" s="239"/>
      <c r="Y967" s="239"/>
      <c r="Z967" s="239"/>
      <c r="AA967" s="239"/>
      <c r="AB967" s="239"/>
      <c r="AC967" s="239"/>
      <c r="AD967" s="245"/>
      <c r="AE967" s="239"/>
      <c r="AF967" s="239"/>
      <c r="AG967" s="239"/>
      <c r="AH967" s="239"/>
      <c r="AI967" s="239"/>
      <c r="AJ967" s="239"/>
      <c r="AK967" s="239"/>
      <c r="AL967" s="239"/>
      <c r="AM967" s="245"/>
      <c r="AN967" s="239"/>
      <c r="AO967" s="239"/>
      <c r="AP967" s="239"/>
      <c r="AQ967" s="306"/>
      <c r="AR967" s="239"/>
      <c r="AS967" s="239"/>
      <c r="AT967" s="239"/>
      <c r="AU967" s="239"/>
    </row>
    <row r="968" spans="1:47" x14ac:dyDescent="0.35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306"/>
      <c r="W968" s="239"/>
      <c r="X968" s="239"/>
      <c r="Y968" s="239"/>
      <c r="Z968" s="239"/>
      <c r="AA968" s="239"/>
      <c r="AB968" s="239"/>
      <c r="AC968" s="239"/>
      <c r="AD968" s="245"/>
      <c r="AE968" s="239"/>
      <c r="AF968" s="239"/>
      <c r="AG968" s="239"/>
      <c r="AH968" s="239"/>
      <c r="AI968" s="239"/>
      <c r="AJ968" s="239"/>
      <c r="AK968" s="239"/>
      <c r="AL968" s="239"/>
      <c r="AM968" s="245"/>
      <c r="AN968" s="239"/>
      <c r="AO968" s="239"/>
      <c r="AP968" s="239"/>
      <c r="AQ968" s="306"/>
      <c r="AR968" s="239"/>
      <c r="AS968" s="239"/>
      <c r="AT968" s="239"/>
      <c r="AU968" s="239"/>
    </row>
    <row r="969" spans="1:47" x14ac:dyDescent="0.35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306"/>
      <c r="W969" s="239"/>
      <c r="X969" s="239"/>
      <c r="Y969" s="239"/>
      <c r="Z969" s="239"/>
      <c r="AA969" s="239"/>
      <c r="AB969" s="239"/>
      <c r="AC969" s="239"/>
      <c r="AD969" s="245"/>
      <c r="AE969" s="239"/>
      <c r="AF969" s="239"/>
      <c r="AG969" s="239"/>
      <c r="AH969" s="239"/>
      <c r="AI969" s="239"/>
      <c r="AJ969" s="239"/>
      <c r="AK969" s="239"/>
      <c r="AL969" s="239"/>
      <c r="AM969" s="245"/>
      <c r="AN969" s="239"/>
      <c r="AO969" s="239"/>
      <c r="AP969" s="239"/>
      <c r="AQ969" s="306"/>
      <c r="AR969" s="239"/>
      <c r="AS969" s="239"/>
      <c r="AT969" s="239"/>
      <c r="AU969" s="239"/>
    </row>
    <row r="970" spans="1:47" x14ac:dyDescent="0.35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306"/>
      <c r="W970" s="239"/>
      <c r="X970" s="239"/>
      <c r="Y970" s="239"/>
      <c r="Z970" s="239"/>
      <c r="AA970" s="239"/>
      <c r="AB970" s="239"/>
      <c r="AC970" s="239"/>
      <c r="AD970" s="245"/>
      <c r="AE970" s="239"/>
      <c r="AF970" s="239"/>
      <c r="AG970" s="239"/>
      <c r="AH970" s="239"/>
      <c r="AI970" s="239"/>
      <c r="AJ970" s="239"/>
      <c r="AK970" s="239"/>
      <c r="AL970" s="239"/>
      <c r="AM970" s="245"/>
      <c r="AN970" s="239"/>
      <c r="AO970" s="239"/>
      <c r="AP970" s="239"/>
      <c r="AQ970" s="306"/>
      <c r="AR970" s="239"/>
      <c r="AS970" s="239"/>
      <c r="AT970" s="239"/>
      <c r="AU970" s="239"/>
    </row>
    <row r="971" spans="1:47" x14ac:dyDescent="0.35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306"/>
      <c r="W971" s="239"/>
      <c r="X971" s="239"/>
      <c r="Y971" s="239"/>
      <c r="Z971" s="239"/>
      <c r="AA971" s="239"/>
      <c r="AB971" s="239"/>
      <c r="AC971" s="239"/>
      <c r="AD971" s="245"/>
      <c r="AE971" s="239"/>
      <c r="AF971" s="239"/>
      <c r="AG971" s="239"/>
      <c r="AH971" s="239"/>
      <c r="AI971" s="239"/>
      <c r="AJ971" s="239"/>
      <c r="AK971" s="239"/>
      <c r="AL971" s="239"/>
      <c r="AM971" s="245"/>
      <c r="AN971" s="239"/>
      <c r="AO971" s="239"/>
      <c r="AP971" s="239"/>
      <c r="AQ971" s="306"/>
      <c r="AR971" s="239"/>
      <c r="AS971" s="239"/>
      <c r="AT971" s="239"/>
      <c r="AU971" s="239"/>
    </row>
    <row r="972" spans="1:47" x14ac:dyDescent="0.35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306"/>
      <c r="W972" s="239"/>
      <c r="X972" s="239"/>
      <c r="Y972" s="239"/>
      <c r="Z972" s="239"/>
      <c r="AA972" s="239"/>
      <c r="AB972" s="239"/>
      <c r="AC972" s="239"/>
      <c r="AD972" s="245"/>
      <c r="AE972" s="239"/>
      <c r="AF972" s="239"/>
      <c r="AG972" s="239"/>
      <c r="AH972" s="239"/>
      <c r="AI972" s="239"/>
      <c r="AJ972" s="239"/>
      <c r="AK972" s="239"/>
      <c r="AL972" s="239"/>
      <c r="AM972" s="245"/>
      <c r="AN972" s="239"/>
      <c r="AO972" s="239"/>
      <c r="AP972" s="239"/>
      <c r="AQ972" s="306"/>
      <c r="AR972" s="239"/>
      <c r="AS972" s="239"/>
      <c r="AT972" s="239"/>
      <c r="AU972" s="239"/>
    </row>
    <row r="973" spans="1:47" x14ac:dyDescent="0.35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306"/>
      <c r="W973" s="239"/>
      <c r="X973" s="239"/>
      <c r="Y973" s="239"/>
      <c r="Z973" s="239"/>
      <c r="AA973" s="239"/>
      <c r="AB973" s="239"/>
      <c r="AC973" s="239"/>
      <c r="AD973" s="245"/>
      <c r="AE973" s="239"/>
      <c r="AF973" s="239"/>
      <c r="AG973" s="239"/>
      <c r="AH973" s="239"/>
      <c r="AI973" s="239"/>
      <c r="AJ973" s="239"/>
      <c r="AK973" s="239"/>
      <c r="AL973" s="239"/>
      <c r="AM973" s="245"/>
      <c r="AN973" s="239"/>
      <c r="AO973" s="239"/>
      <c r="AP973" s="239"/>
      <c r="AQ973" s="306"/>
      <c r="AR973" s="239"/>
      <c r="AS973" s="239"/>
      <c r="AT973" s="239"/>
      <c r="AU973" s="239"/>
    </row>
    <row r="974" spans="1:47" x14ac:dyDescent="0.35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306"/>
      <c r="W974" s="239"/>
      <c r="X974" s="239"/>
      <c r="Y974" s="239"/>
      <c r="Z974" s="239"/>
      <c r="AA974" s="239"/>
      <c r="AB974" s="239"/>
      <c r="AC974" s="239"/>
      <c r="AD974" s="245"/>
      <c r="AE974" s="239"/>
      <c r="AF974" s="239"/>
      <c r="AG974" s="239"/>
      <c r="AH974" s="239"/>
      <c r="AI974" s="239"/>
      <c r="AJ974" s="239"/>
      <c r="AK974" s="239"/>
      <c r="AL974" s="239"/>
      <c r="AM974" s="245"/>
      <c r="AN974" s="239"/>
      <c r="AO974" s="239"/>
      <c r="AP974" s="239"/>
      <c r="AQ974" s="306"/>
      <c r="AR974" s="239"/>
      <c r="AS974" s="239"/>
      <c r="AT974" s="239"/>
      <c r="AU974" s="239"/>
    </row>
    <row r="975" spans="1:47" x14ac:dyDescent="0.35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306"/>
      <c r="W975" s="239"/>
      <c r="X975" s="239"/>
      <c r="Y975" s="239"/>
      <c r="Z975" s="239"/>
      <c r="AA975" s="239"/>
      <c r="AB975" s="239"/>
      <c r="AC975" s="239"/>
      <c r="AD975" s="245"/>
      <c r="AE975" s="239"/>
      <c r="AF975" s="239"/>
      <c r="AG975" s="239"/>
      <c r="AH975" s="239"/>
      <c r="AI975" s="239"/>
      <c r="AJ975" s="239"/>
      <c r="AK975" s="239"/>
      <c r="AL975" s="239"/>
      <c r="AM975" s="245"/>
      <c r="AN975" s="239"/>
      <c r="AO975" s="239"/>
      <c r="AP975" s="239"/>
      <c r="AQ975" s="306"/>
      <c r="AR975" s="239"/>
      <c r="AS975" s="239"/>
      <c r="AT975" s="239"/>
      <c r="AU975" s="239"/>
    </row>
    <row r="976" spans="1:47" x14ac:dyDescent="0.35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306"/>
      <c r="W976" s="239"/>
      <c r="X976" s="239"/>
      <c r="Y976" s="239"/>
      <c r="Z976" s="239"/>
      <c r="AA976" s="239"/>
      <c r="AB976" s="239"/>
      <c r="AC976" s="239"/>
      <c r="AD976" s="245"/>
      <c r="AE976" s="239"/>
      <c r="AF976" s="239"/>
      <c r="AG976" s="239"/>
      <c r="AH976" s="239"/>
      <c r="AI976" s="239"/>
      <c r="AJ976" s="239"/>
      <c r="AK976" s="239"/>
      <c r="AL976" s="239"/>
      <c r="AM976" s="245"/>
      <c r="AN976" s="239"/>
      <c r="AO976" s="239"/>
      <c r="AP976" s="239"/>
      <c r="AQ976" s="306"/>
      <c r="AR976" s="239"/>
      <c r="AS976" s="239"/>
      <c r="AT976" s="239"/>
      <c r="AU976" s="239"/>
    </row>
    <row r="977" spans="1:47" x14ac:dyDescent="0.35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306"/>
      <c r="W977" s="239"/>
      <c r="X977" s="239"/>
      <c r="Y977" s="239"/>
      <c r="Z977" s="239"/>
      <c r="AA977" s="239"/>
      <c r="AB977" s="239"/>
      <c r="AC977" s="239"/>
      <c r="AD977" s="245"/>
      <c r="AE977" s="239"/>
      <c r="AF977" s="239"/>
      <c r="AG977" s="239"/>
      <c r="AH977" s="239"/>
      <c r="AI977" s="239"/>
      <c r="AJ977" s="239"/>
      <c r="AK977" s="239"/>
      <c r="AL977" s="239"/>
      <c r="AM977" s="245"/>
      <c r="AN977" s="239"/>
      <c r="AO977" s="239"/>
      <c r="AP977" s="239"/>
      <c r="AQ977" s="306"/>
      <c r="AR977" s="239"/>
      <c r="AS977" s="239"/>
      <c r="AT977" s="239"/>
      <c r="AU977" s="239"/>
    </row>
    <row r="978" spans="1:47" x14ac:dyDescent="0.35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306"/>
      <c r="W978" s="239"/>
      <c r="X978" s="239"/>
      <c r="Y978" s="239"/>
      <c r="Z978" s="239"/>
      <c r="AA978" s="239"/>
      <c r="AB978" s="239"/>
      <c r="AC978" s="239"/>
      <c r="AD978" s="245"/>
      <c r="AE978" s="239"/>
      <c r="AF978" s="239"/>
      <c r="AG978" s="239"/>
      <c r="AH978" s="239"/>
      <c r="AI978" s="239"/>
      <c r="AJ978" s="239"/>
      <c r="AK978" s="239"/>
      <c r="AL978" s="239"/>
      <c r="AM978" s="245"/>
      <c r="AN978" s="239"/>
      <c r="AO978" s="239"/>
      <c r="AP978" s="239"/>
      <c r="AQ978" s="306"/>
      <c r="AR978" s="239"/>
      <c r="AS978" s="239"/>
      <c r="AT978" s="239"/>
      <c r="AU978" s="239"/>
    </row>
    <row r="979" spans="1:47" x14ac:dyDescent="0.35">
      <c r="A979" s="239"/>
      <c r="B979" s="239"/>
      <c r="C979" s="239"/>
      <c r="D979" s="239"/>
      <c r="E979" s="239"/>
      <c r="F979" s="239"/>
      <c r="G979" s="239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306"/>
      <c r="W979" s="239"/>
      <c r="X979" s="239"/>
      <c r="Y979" s="239"/>
      <c r="Z979" s="239"/>
      <c r="AA979" s="239"/>
      <c r="AB979" s="239"/>
      <c r="AC979" s="239"/>
      <c r="AD979" s="245"/>
      <c r="AE979" s="239"/>
      <c r="AF979" s="239"/>
      <c r="AG979" s="239"/>
      <c r="AH979" s="239"/>
      <c r="AI979" s="239"/>
      <c r="AJ979" s="239"/>
      <c r="AK979" s="239"/>
      <c r="AL979" s="239"/>
      <c r="AM979" s="245"/>
      <c r="AN979" s="239"/>
      <c r="AO979" s="239"/>
      <c r="AP979" s="239"/>
      <c r="AQ979" s="306"/>
      <c r="AR979" s="239"/>
      <c r="AS979" s="239"/>
      <c r="AT979" s="239"/>
      <c r="AU979" s="239"/>
    </row>
    <row r="980" spans="1:47" x14ac:dyDescent="0.35">
      <c r="A980" s="239"/>
      <c r="B980" s="239"/>
      <c r="C980" s="239"/>
      <c r="D980" s="239"/>
      <c r="E980" s="239"/>
      <c r="F980" s="239"/>
      <c r="G980" s="239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306"/>
      <c r="W980" s="239"/>
      <c r="X980" s="239"/>
      <c r="Y980" s="239"/>
      <c r="Z980" s="239"/>
      <c r="AA980" s="239"/>
      <c r="AB980" s="239"/>
      <c r="AC980" s="239"/>
      <c r="AD980" s="245"/>
      <c r="AE980" s="239"/>
      <c r="AF980" s="239"/>
      <c r="AG980" s="239"/>
      <c r="AH980" s="239"/>
      <c r="AI980" s="239"/>
      <c r="AJ980" s="239"/>
      <c r="AK980" s="239"/>
      <c r="AL980" s="239"/>
      <c r="AM980" s="245"/>
      <c r="AN980" s="239"/>
      <c r="AO980" s="239"/>
      <c r="AP980" s="239"/>
      <c r="AQ980" s="306"/>
      <c r="AR980" s="239"/>
      <c r="AS980" s="239"/>
      <c r="AT980" s="239"/>
      <c r="AU980" s="239"/>
    </row>
    <row r="981" spans="1:47" x14ac:dyDescent="0.35">
      <c r="A981" s="239"/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306"/>
      <c r="W981" s="239"/>
      <c r="X981" s="239"/>
      <c r="Y981" s="239"/>
      <c r="Z981" s="239"/>
      <c r="AA981" s="239"/>
      <c r="AB981" s="239"/>
      <c r="AC981" s="239"/>
      <c r="AD981" s="245"/>
      <c r="AE981" s="239"/>
      <c r="AF981" s="239"/>
      <c r="AG981" s="239"/>
      <c r="AH981" s="239"/>
      <c r="AI981" s="239"/>
      <c r="AJ981" s="239"/>
      <c r="AK981" s="239"/>
      <c r="AL981" s="239"/>
      <c r="AM981" s="245"/>
      <c r="AN981" s="239"/>
      <c r="AO981" s="239"/>
      <c r="AP981" s="239"/>
      <c r="AQ981" s="306"/>
      <c r="AR981" s="239"/>
      <c r="AS981" s="239"/>
      <c r="AT981" s="239"/>
      <c r="AU981" s="239"/>
    </row>
    <row r="982" spans="1:47" x14ac:dyDescent="0.35">
      <c r="A982" s="239"/>
      <c r="B982" s="239"/>
      <c r="C982" s="239"/>
      <c r="D982" s="239"/>
      <c r="E982" s="239"/>
      <c r="F982" s="239"/>
      <c r="G982" s="239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306"/>
      <c r="W982" s="239"/>
      <c r="X982" s="239"/>
      <c r="Y982" s="239"/>
      <c r="Z982" s="239"/>
      <c r="AA982" s="239"/>
      <c r="AB982" s="239"/>
      <c r="AC982" s="239"/>
      <c r="AD982" s="245"/>
      <c r="AE982" s="239"/>
      <c r="AF982" s="239"/>
      <c r="AG982" s="239"/>
      <c r="AH982" s="239"/>
      <c r="AI982" s="239"/>
      <c r="AJ982" s="239"/>
      <c r="AK982" s="239"/>
      <c r="AL982" s="239"/>
      <c r="AM982" s="245"/>
      <c r="AN982" s="239"/>
      <c r="AO982" s="239"/>
      <c r="AP982" s="239"/>
      <c r="AQ982" s="306"/>
      <c r="AR982" s="239"/>
      <c r="AS982" s="239"/>
      <c r="AT982" s="239"/>
      <c r="AU982" s="239"/>
    </row>
    <row r="983" spans="1:47" x14ac:dyDescent="0.35">
      <c r="A983" s="239"/>
      <c r="B983" s="239"/>
      <c r="C983" s="239"/>
      <c r="D983" s="239"/>
      <c r="E983" s="239"/>
      <c r="F983" s="239"/>
      <c r="G983" s="239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306"/>
      <c r="W983" s="239"/>
      <c r="X983" s="239"/>
      <c r="Y983" s="239"/>
      <c r="Z983" s="239"/>
      <c r="AA983" s="239"/>
      <c r="AB983" s="239"/>
      <c r="AC983" s="239"/>
      <c r="AD983" s="245"/>
      <c r="AE983" s="239"/>
      <c r="AF983" s="239"/>
      <c r="AG983" s="239"/>
      <c r="AH983" s="239"/>
      <c r="AI983" s="239"/>
      <c r="AJ983" s="239"/>
      <c r="AK983" s="239"/>
      <c r="AL983" s="239"/>
      <c r="AM983" s="245"/>
      <c r="AN983" s="239"/>
      <c r="AO983" s="239"/>
      <c r="AP983" s="239"/>
      <c r="AQ983" s="306"/>
      <c r="AR983" s="239"/>
      <c r="AS983" s="239"/>
      <c r="AT983" s="239"/>
      <c r="AU983" s="239"/>
    </row>
    <row r="984" spans="1:47" x14ac:dyDescent="0.35">
      <c r="A984" s="239"/>
      <c r="B984" s="239"/>
      <c r="C984" s="239"/>
      <c r="D984" s="239"/>
      <c r="E984" s="239"/>
      <c r="F984" s="239"/>
      <c r="G984" s="239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306"/>
      <c r="W984" s="239"/>
      <c r="X984" s="239"/>
      <c r="Y984" s="239"/>
      <c r="Z984" s="239"/>
      <c r="AA984" s="239"/>
      <c r="AB984" s="239"/>
      <c r="AC984" s="239"/>
      <c r="AD984" s="245"/>
      <c r="AE984" s="239"/>
      <c r="AF984" s="239"/>
      <c r="AG984" s="239"/>
      <c r="AH984" s="239"/>
      <c r="AI984" s="239"/>
      <c r="AJ984" s="239"/>
      <c r="AK984" s="239"/>
      <c r="AL984" s="239"/>
      <c r="AM984" s="245"/>
      <c r="AN984" s="239"/>
      <c r="AO984" s="239"/>
      <c r="AP984" s="239"/>
      <c r="AQ984" s="306"/>
      <c r="AR984" s="239"/>
      <c r="AS984" s="239"/>
      <c r="AT984" s="239"/>
      <c r="AU984" s="239"/>
    </row>
    <row r="985" spans="1:47" x14ac:dyDescent="0.35">
      <c r="A985" s="239"/>
      <c r="B985" s="239"/>
      <c r="C985" s="239"/>
      <c r="D985" s="239"/>
      <c r="E985" s="239"/>
      <c r="F985" s="239"/>
      <c r="G985" s="239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306"/>
      <c r="W985" s="239"/>
      <c r="X985" s="239"/>
      <c r="Y985" s="239"/>
      <c r="Z985" s="239"/>
      <c r="AA985" s="239"/>
      <c r="AB985" s="239"/>
      <c r="AC985" s="239"/>
      <c r="AD985" s="245"/>
      <c r="AE985" s="239"/>
      <c r="AF985" s="239"/>
      <c r="AG985" s="239"/>
      <c r="AH985" s="239"/>
      <c r="AI985" s="239"/>
      <c r="AJ985" s="239"/>
      <c r="AK985" s="239"/>
      <c r="AL985" s="239"/>
      <c r="AM985" s="245"/>
      <c r="AN985" s="239"/>
      <c r="AO985" s="239"/>
      <c r="AP985" s="239"/>
      <c r="AQ985" s="306"/>
      <c r="AR985" s="239"/>
      <c r="AS985" s="239"/>
      <c r="AT985" s="239"/>
      <c r="AU985" s="239"/>
    </row>
    <row r="986" spans="1:47" x14ac:dyDescent="0.35">
      <c r="A986" s="239"/>
      <c r="B986" s="239"/>
      <c r="C986" s="239"/>
      <c r="D986" s="239"/>
      <c r="E986" s="239"/>
      <c r="F986" s="239"/>
      <c r="G986" s="239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306"/>
      <c r="W986" s="239"/>
      <c r="X986" s="239"/>
      <c r="Y986" s="239"/>
      <c r="Z986" s="239"/>
      <c r="AA986" s="239"/>
      <c r="AB986" s="239"/>
      <c r="AC986" s="239"/>
      <c r="AD986" s="245"/>
      <c r="AE986" s="239"/>
      <c r="AF986" s="239"/>
      <c r="AG986" s="239"/>
      <c r="AH986" s="239"/>
      <c r="AI986" s="239"/>
      <c r="AJ986" s="239"/>
      <c r="AK986" s="239"/>
      <c r="AL986" s="239"/>
      <c r="AM986" s="245"/>
      <c r="AN986" s="239"/>
      <c r="AO986" s="239"/>
      <c r="AP986" s="239"/>
      <c r="AQ986" s="306"/>
      <c r="AR986" s="239"/>
      <c r="AS986" s="239"/>
      <c r="AT986" s="239"/>
      <c r="AU986" s="239"/>
    </row>
    <row r="987" spans="1:47" x14ac:dyDescent="0.35">
      <c r="A987" s="239"/>
      <c r="B987" s="239"/>
      <c r="C987" s="239"/>
      <c r="D987" s="239"/>
      <c r="E987" s="239"/>
      <c r="F987" s="239"/>
      <c r="G987" s="239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306"/>
      <c r="W987" s="239"/>
      <c r="X987" s="239"/>
      <c r="Y987" s="239"/>
      <c r="Z987" s="239"/>
      <c r="AA987" s="239"/>
      <c r="AB987" s="239"/>
      <c r="AC987" s="239"/>
      <c r="AD987" s="245"/>
      <c r="AE987" s="239"/>
      <c r="AF987" s="239"/>
      <c r="AG987" s="239"/>
      <c r="AH987" s="239"/>
      <c r="AI987" s="239"/>
      <c r="AJ987" s="239"/>
      <c r="AK987" s="239"/>
      <c r="AL987" s="239"/>
      <c r="AM987" s="245"/>
      <c r="AN987" s="239"/>
      <c r="AO987" s="239"/>
      <c r="AP987" s="239"/>
      <c r="AQ987" s="306"/>
      <c r="AR987" s="239"/>
      <c r="AS987" s="239"/>
      <c r="AT987" s="239"/>
      <c r="AU987" s="239"/>
    </row>
    <row r="988" spans="1:47" x14ac:dyDescent="0.35">
      <c r="A988" s="239"/>
      <c r="B988" s="239"/>
      <c r="C988" s="239"/>
      <c r="D988" s="239"/>
      <c r="E988" s="239"/>
      <c r="F988" s="239"/>
      <c r="G988" s="239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306"/>
      <c r="W988" s="239"/>
      <c r="X988" s="239"/>
      <c r="Y988" s="239"/>
      <c r="Z988" s="239"/>
      <c r="AA988" s="239"/>
      <c r="AB988" s="239"/>
      <c r="AC988" s="239"/>
      <c r="AD988" s="245"/>
      <c r="AE988" s="239"/>
      <c r="AF988" s="239"/>
      <c r="AG988" s="239"/>
      <c r="AH988" s="239"/>
      <c r="AI988" s="239"/>
      <c r="AJ988" s="239"/>
      <c r="AK988" s="239"/>
      <c r="AL988" s="239"/>
      <c r="AM988" s="245"/>
      <c r="AN988" s="239"/>
      <c r="AO988" s="239"/>
      <c r="AP988" s="239"/>
      <c r="AQ988" s="306"/>
      <c r="AR988" s="239"/>
      <c r="AS988" s="239"/>
      <c r="AT988" s="239"/>
      <c r="AU988" s="239"/>
    </row>
    <row r="989" spans="1:47" x14ac:dyDescent="0.35">
      <c r="A989" s="239"/>
      <c r="B989" s="239"/>
      <c r="C989" s="239"/>
      <c r="D989" s="239"/>
      <c r="E989" s="239"/>
      <c r="F989" s="239"/>
      <c r="G989" s="239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306"/>
      <c r="W989" s="239"/>
      <c r="X989" s="239"/>
      <c r="Y989" s="239"/>
      <c r="Z989" s="239"/>
      <c r="AA989" s="239"/>
      <c r="AB989" s="239"/>
      <c r="AC989" s="239"/>
      <c r="AD989" s="245"/>
      <c r="AE989" s="239"/>
      <c r="AF989" s="239"/>
      <c r="AG989" s="239"/>
      <c r="AH989" s="239"/>
      <c r="AI989" s="239"/>
      <c r="AJ989" s="239"/>
      <c r="AK989" s="239"/>
      <c r="AL989" s="239"/>
      <c r="AM989" s="245"/>
      <c r="AN989" s="239"/>
      <c r="AO989" s="239"/>
      <c r="AP989" s="239"/>
      <c r="AQ989" s="306"/>
      <c r="AR989" s="239"/>
      <c r="AS989" s="239"/>
      <c r="AT989" s="239"/>
      <c r="AU989" s="239"/>
    </row>
    <row r="990" spans="1:47" x14ac:dyDescent="0.35">
      <c r="A990" s="239"/>
      <c r="B990" s="239"/>
      <c r="C990" s="239"/>
      <c r="D990" s="239"/>
      <c r="E990" s="239"/>
      <c r="F990" s="239"/>
      <c r="G990" s="239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306"/>
      <c r="W990" s="239"/>
      <c r="X990" s="239"/>
      <c r="Y990" s="239"/>
      <c r="Z990" s="239"/>
      <c r="AA990" s="239"/>
      <c r="AB990" s="239"/>
      <c r="AC990" s="239"/>
      <c r="AD990" s="245"/>
      <c r="AE990" s="239"/>
      <c r="AF990" s="239"/>
      <c r="AG990" s="239"/>
      <c r="AH990" s="239"/>
      <c r="AI990" s="239"/>
      <c r="AJ990" s="239"/>
      <c r="AK990" s="239"/>
      <c r="AL990" s="239"/>
      <c r="AM990" s="245"/>
      <c r="AN990" s="239"/>
      <c r="AO990" s="239"/>
      <c r="AP990" s="239"/>
      <c r="AQ990" s="306"/>
      <c r="AR990" s="239"/>
      <c r="AS990" s="239"/>
      <c r="AT990" s="239"/>
      <c r="AU990" s="239"/>
    </row>
    <row r="991" spans="1:47" x14ac:dyDescent="0.35">
      <c r="A991" s="239"/>
      <c r="B991" s="239"/>
      <c r="C991" s="239"/>
      <c r="D991" s="239"/>
      <c r="E991" s="239"/>
      <c r="F991" s="239"/>
      <c r="G991" s="239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306"/>
      <c r="W991" s="239"/>
      <c r="X991" s="239"/>
      <c r="Y991" s="239"/>
      <c r="Z991" s="239"/>
      <c r="AA991" s="239"/>
      <c r="AB991" s="239"/>
      <c r="AC991" s="239"/>
      <c r="AD991" s="245"/>
      <c r="AE991" s="239"/>
      <c r="AF991" s="239"/>
      <c r="AG991" s="239"/>
      <c r="AH991" s="239"/>
      <c r="AI991" s="239"/>
      <c r="AJ991" s="239"/>
      <c r="AK991" s="239"/>
      <c r="AL991" s="239"/>
      <c r="AM991" s="245"/>
      <c r="AN991" s="239"/>
      <c r="AO991" s="239"/>
      <c r="AP991" s="239"/>
      <c r="AQ991" s="306"/>
      <c r="AR991" s="239"/>
      <c r="AS991" s="239"/>
      <c r="AT991" s="239"/>
      <c r="AU991" s="239"/>
    </row>
    <row r="992" spans="1:47" x14ac:dyDescent="0.35">
      <c r="A992" s="239"/>
      <c r="B992" s="239"/>
      <c r="C992" s="239"/>
      <c r="D992" s="239"/>
      <c r="E992" s="239"/>
      <c r="F992" s="239"/>
      <c r="G992" s="239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306"/>
      <c r="W992" s="239"/>
      <c r="X992" s="239"/>
      <c r="Y992" s="239"/>
      <c r="Z992" s="239"/>
      <c r="AA992" s="239"/>
      <c r="AB992" s="239"/>
      <c r="AC992" s="239"/>
      <c r="AD992" s="245"/>
      <c r="AE992" s="239"/>
      <c r="AF992" s="239"/>
      <c r="AG992" s="239"/>
      <c r="AH992" s="239"/>
      <c r="AI992" s="239"/>
      <c r="AJ992" s="239"/>
      <c r="AK992" s="239"/>
      <c r="AL992" s="239"/>
      <c r="AM992" s="245"/>
      <c r="AN992" s="239"/>
      <c r="AO992" s="239"/>
      <c r="AP992" s="239"/>
      <c r="AQ992" s="306"/>
      <c r="AR992" s="239"/>
      <c r="AS992" s="239"/>
      <c r="AT992" s="239"/>
      <c r="AU992" s="239"/>
    </row>
    <row r="993" spans="1:47" x14ac:dyDescent="0.35">
      <c r="A993" s="239"/>
      <c r="B993" s="239"/>
      <c r="C993" s="239"/>
      <c r="D993" s="239"/>
      <c r="E993" s="239"/>
      <c r="F993" s="239"/>
      <c r="G993" s="239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306"/>
      <c r="W993" s="239"/>
      <c r="X993" s="239"/>
      <c r="Y993" s="239"/>
      <c r="Z993" s="239"/>
      <c r="AA993" s="239"/>
      <c r="AB993" s="239"/>
      <c r="AC993" s="239"/>
      <c r="AD993" s="245"/>
      <c r="AE993" s="239"/>
      <c r="AF993" s="239"/>
      <c r="AG993" s="239"/>
      <c r="AH993" s="239"/>
      <c r="AI993" s="239"/>
      <c r="AJ993" s="239"/>
      <c r="AK993" s="239"/>
      <c r="AL993" s="239"/>
      <c r="AM993" s="245"/>
      <c r="AN993" s="239"/>
      <c r="AO993" s="239"/>
      <c r="AP993" s="239"/>
      <c r="AQ993" s="306"/>
      <c r="AR993" s="239"/>
      <c r="AS993" s="239"/>
      <c r="AT993" s="239"/>
      <c r="AU993" s="239"/>
    </row>
    <row r="994" spans="1:47" x14ac:dyDescent="0.35">
      <c r="A994" s="239"/>
      <c r="B994" s="239"/>
      <c r="C994" s="239"/>
      <c r="D994" s="239"/>
      <c r="E994" s="239"/>
      <c r="F994" s="239"/>
      <c r="G994" s="239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306"/>
      <c r="W994" s="239"/>
      <c r="X994" s="239"/>
      <c r="Y994" s="239"/>
      <c r="Z994" s="239"/>
      <c r="AA994" s="239"/>
      <c r="AB994" s="239"/>
      <c r="AC994" s="239"/>
      <c r="AD994" s="245"/>
      <c r="AE994" s="239"/>
      <c r="AF994" s="239"/>
      <c r="AG994" s="239"/>
      <c r="AH994" s="239"/>
      <c r="AI994" s="239"/>
      <c r="AJ994" s="239"/>
      <c r="AK994" s="239"/>
      <c r="AL994" s="239"/>
      <c r="AM994" s="245"/>
      <c r="AN994" s="239"/>
      <c r="AO994" s="239"/>
      <c r="AP994" s="239"/>
      <c r="AQ994" s="306"/>
      <c r="AR994" s="239"/>
      <c r="AS994" s="239"/>
      <c r="AT994" s="239"/>
      <c r="AU994" s="239"/>
    </row>
    <row r="995" spans="1:47" x14ac:dyDescent="0.35">
      <c r="A995" s="239"/>
      <c r="B995" s="239"/>
      <c r="C995" s="239"/>
      <c r="D995" s="239"/>
      <c r="E995" s="239"/>
      <c r="F995" s="239"/>
      <c r="G995" s="239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306"/>
      <c r="W995" s="239"/>
      <c r="X995" s="239"/>
      <c r="Y995" s="239"/>
      <c r="Z995" s="239"/>
      <c r="AA995" s="239"/>
      <c r="AB995" s="239"/>
      <c r="AC995" s="239"/>
      <c r="AD995" s="245"/>
      <c r="AE995" s="239"/>
      <c r="AF995" s="239"/>
      <c r="AG995" s="239"/>
      <c r="AH995" s="239"/>
      <c r="AI995" s="239"/>
      <c r="AJ995" s="239"/>
      <c r="AK995" s="239"/>
      <c r="AL995" s="239"/>
      <c r="AM995" s="245"/>
      <c r="AN995" s="239"/>
      <c r="AO995" s="239"/>
      <c r="AP995" s="239"/>
      <c r="AQ995" s="306"/>
      <c r="AR995" s="239"/>
      <c r="AS995" s="239"/>
      <c r="AT995" s="239"/>
      <c r="AU995" s="239"/>
    </row>
    <row r="996" spans="1:47" x14ac:dyDescent="0.35">
      <c r="A996" s="239"/>
      <c r="B996" s="239"/>
      <c r="C996" s="239"/>
      <c r="D996" s="239"/>
      <c r="E996" s="239"/>
      <c r="F996" s="239"/>
      <c r="G996" s="239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306"/>
      <c r="W996" s="239"/>
      <c r="X996" s="239"/>
      <c r="Y996" s="239"/>
      <c r="Z996" s="239"/>
      <c r="AA996" s="239"/>
      <c r="AB996" s="239"/>
      <c r="AC996" s="239"/>
      <c r="AD996" s="245"/>
      <c r="AE996" s="239"/>
      <c r="AF996" s="239"/>
      <c r="AG996" s="239"/>
      <c r="AH996" s="239"/>
      <c r="AI996" s="239"/>
      <c r="AJ996" s="239"/>
      <c r="AK996" s="239"/>
      <c r="AL996" s="239"/>
      <c r="AM996" s="245"/>
      <c r="AN996" s="239"/>
      <c r="AO996" s="239"/>
      <c r="AP996" s="239"/>
      <c r="AQ996" s="306"/>
      <c r="AR996" s="239"/>
      <c r="AS996" s="239"/>
      <c r="AT996" s="239"/>
      <c r="AU996" s="239"/>
    </row>
    <row r="997" spans="1:47" x14ac:dyDescent="0.35">
      <c r="A997" s="239"/>
      <c r="B997" s="239"/>
      <c r="C997" s="239"/>
      <c r="D997" s="239"/>
      <c r="E997" s="239"/>
      <c r="F997" s="239"/>
      <c r="G997" s="239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306"/>
      <c r="W997" s="239"/>
      <c r="X997" s="239"/>
      <c r="Y997" s="239"/>
      <c r="Z997" s="239"/>
      <c r="AA997" s="239"/>
      <c r="AB997" s="239"/>
      <c r="AC997" s="239"/>
      <c r="AD997" s="245"/>
      <c r="AE997" s="239"/>
      <c r="AF997" s="239"/>
      <c r="AG997" s="239"/>
      <c r="AH997" s="239"/>
      <c r="AI997" s="239"/>
      <c r="AJ997" s="239"/>
      <c r="AK997" s="239"/>
      <c r="AL997" s="239"/>
      <c r="AM997" s="245"/>
      <c r="AN997" s="239"/>
      <c r="AO997" s="239"/>
      <c r="AP997" s="239"/>
      <c r="AQ997" s="306"/>
      <c r="AR997" s="239"/>
      <c r="AS997" s="239"/>
      <c r="AT997" s="239"/>
      <c r="AU997" s="239"/>
    </row>
    <row r="998" spans="1:47" x14ac:dyDescent="0.35">
      <c r="A998" s="239"/>
      <c r="B998" s="239"/>
      <c r="C998" s="239"/>
      <c r="D998" s="239"/>
      <c r="E998" s="239"/>
      <c r="F998" s="239"/>
      <c r="G998" s="239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306"/>
      <c r="W998" s="239"/>
      <c r="X998" s="239"/>
      <c r="Y998" s="239"/>
      <c r="Z998" s="239"/>
      <c r="AA998" s="239"/>
      <c r="AB998" s="239"/>
      <c r="AC998" s="239"/>
      <c r="AD998" s="245"/>
      <c r="AE998" s="239"/>
      <c r="AF998" s="239"/>
      <c r="AG998" s="239"/>
      <c r="AH998" s="239"/>
      <c r="AI998" s="239"/>
      <c r="AJ998" s="239"/>
      <c r="AK998" s="239"/>
      <c r="AL998" s="239"/>
      <c r="AM998" s="245"/>
      <c r="AN998" s="239"/>
      <c r="AO998" s="239"/>
      <c r="AP998" s="239"/>
      <c r="AQ998" s="306"/>
      <c r="AR998" s="239"/>
      <c r="AS998" s="239"/>
      <c r="AT998" s="239"/>
      <c r="AU998" s="239"/>
    </row>
    <row r="999" spans="1:47" x14ac:dyDescent="0.35">
      <c r="A999" s="239"/>
      <c r="B999" s="239"/>
      <c r="C999" s="239"/>
      <c r="D999" s="239"/>
      <c r="E999" s="239"/>
      <c r="F999" s="239"/>
      <c r="G999" s="239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306"/>
      <c r="W999" s="239"/>
      <c r="X999" s="239"/>
      <c r="Y999" s="239"/>
      <c r="Z999" s="239"/>
      <c r="AA999" s="239"/>
      <c r="AB999" s="239"/>
      <c r="AC999" s="239"/>
      <c r="AD999" s="245"/>
      <c r="AE999" s="239"/>
      <c r="AF999" s="239"/>
      <c r="AG999" s="239"/>
      <c r="AH999" s="239"/>
      <c r="AI999" s="239"/>
      <c r="AJ999" s="239"/>
      <c r="AK999" s="239"/>
      <c r="AL999" s="239"/>
      <c r="AM999" s="245"/>
      <c r="AN999" s="239"/>
      <c r="AO999" s="239"/>
      <c r="AP999" s="239"/>
      <c r="AQ999" s="306"/>
      <c r="AR999" s="239"/>
      <c r="AS999" s="239"/>
      <c r="AT999" s="239"/>
      <c r="AU999" s="239"/>
    </row>
    <row r="1000" spans="1:47" x14ac:dyDescent="0.35">
      <c r="A1000" s="239"/>
      <c r="B1000" s="239"/>
      <c r="C1000" s="239"/>
      <c r="D1000" s="239"/>
      <c r="E1000" s="239"/>
      <c r="F1000" s="239"/>
      <c r="G1000" s="239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306"/>
      <c r="W1000" s="239"/>
      <c r="X1000" s="239"/>
      <c r="Y1000" s="239"/>
      <c r="Z1000" s="239"/>
      <c r="AA1000" s="239"/>
      <c r="AB1000" s="239"/>
      <c r="AC1000" s="239"/>
      <c r="AD1000" s="245"/>
      <c r="AE1000" s="239"/>
      <c r="AF1000" s="239"/>
      <c r="AG1000" s="239"/>
      <c r="AH1000" s="239"/>
      <c r="AI1000" s="239"/>
      <c r="AJ1000" s="239"/>
      <c r="AK1000" s="239"/>
      <c r="AL1000" s="239"/>
      <c r="AM1000" s="245"/>
      <c r="AN1000" s="239"/>
      <c r="AO1000" s="239"/>
      <c r="AP1000" s="239"/>
      <c r="AQ1000" s="306"/>
      <c r="AR1000" s="239"/>
      <c r="AS1000" s="239"/>
      <c r="AT1000" s="239"/>
      <c r="AU1000" s="239"/>
    </row>
    <row r="1001" spans="1:47" x14ac:dyDescent="0.35">
      <c r="A1001" s="239"/>
      <c r="B1001" s="239"/>
      <c r="C1001" s="239"/>
      <c r="D1001" s="239"/>
      <c r="E1001" s="239"/>
      <c r="F1001" s="239"/>
      <c r="G1001" s="239"/>
      <c r="H1001" s="239"/>
      <c r="I1001" s="239"/>
      <c r="J1001" s="239"/>
      <c r="K1001" s="239"/>
      <c r="L1001" s="239"/>
      <c r="M1001" s="239"/>
      <c r="N1001" s="239"/>
      <c r="O1001" s="239"/>
      <c r="P1001" s="239"/>
      <c r="Q1001" s="239"/>
      <c r="R1001" s="239"/>
      <c r="S1001" s="239"/>
      <c r="T1001" s="239"/>
      <c r="U1001" s="239"/>
      <c r="V1001" s="306"/>
      <c r="W1001" s="239"/>
      <c r="X1001" s="239"/>
      <c r="Y1001" s="239"/>
      <c r="Z1001" s="239"/>
      <c r="AA1001" s="239"/>
      <c r="AB1001" s="239"/>
      <c r="AC1001" s="239"/>
      <c r="AD1001" s="245"/>
      <c r="AE1001" s="239"/>
      <c r="AF1001" s="239"/>
      <c r="AG1001" s="239"/>
      <c r="AH1001" s="239"/>
      <c r="AI1001" s="239"/>
      <c r="AJ1001" s="239"/>
      <c r="AK1001" s="239"/>
      <c r="AL1001" s="239"/>
      <c r="AM1001" s="245"/>
      <c r="AN1001" s="239"/>
      <c r="AO1001" s="239"/>
      <c r="AP1001" s="239"/>
      <c r="AQ1001" s="306"/>
      <c r="AR1001" s="239"/>
      <c r="AS1001" s="239"/>
      <c r="AT1001" s="239"/>
      <c r="AU1001" s="239"/>
    </row>
    <row r="1002" spans="1:47" x14ac:dyDescent="0.35">
      <c r="A1002" s="239"/>
      <c r="B1002" s="239"/>
      <c r="C1002" s="239"/>
      <c r="D1002" s="239"/>
      <c r="E1002" s="239"/>
      <c r="F1002" s="239"/>
      <c r="G1002" s="239"/>
      <c r="H1002" s="239"/>
      <c r="I1002" s="239"/>
      <c r="J1002" s="239"/>
      <c r="K1002" s="239"/>
      <c r="L1002" s="239"/>
      <c r="M1002" s="239"/>
      <c r="N1002" s="239"/>
      <c r="O1002" s="239"/>
      <c r="P1002" s="239"/>
      <c r="Q1002" s="239"/>
      <c r="R1002" s="239"/>
      <c r="S1002" s="239"/>
      <c r="T1002" s="239"/>
      <c r="U1002" s="239"/>
      <c r="V1002" s="306"/>
      <c r="W1002" s="239"/>
      <c r="X1002" s="239"/>
      <c r="Y1002" s="239"/>
      <c r="Z1002" s="239"/>
      <c r="AA1002" s="239"/>
      <c r="AB1002" s="239"/>
      <c r="AC1002" s="239"/>
      <c r="AD1002" s="245"/>
      <c r="AE1002" s="239"/>
      <c r="AF1002" s="239"/>
      <c r="AG1002" s="239"/>
      <c r="AH1002" s="239"/>
      <c r="AI1002" s="239"/>
      <c r="AJ1002" s="239"/>
      <c r="AK1002" s="239"/>
      <c r="AL1002" s="239"/>
      <c r="AM1002" s="245"/>
      <c r="AN1002" s="239"/>
      <c r="AO1002" s="239"/>
      <c r="AP1002" s="239"/>
      <c r="AQ1002" s="306"/>
      <c r="AR1002" s="239"/>
      <c r="AS1002" s="239"/>
      <c r="AT1002" s="239"/>
      <c r="AU1002" s="239"/>
    </row>
    <row r="1003" spans="1:47" x14ac:dyDescent="0.35">
      <c r="A1003" s="239"/>
      <c r="B1003" s="239"/>
      <c r="C1003" s="239"/>
      <c r="D1003" s="239"/>
      <c r="E1003" s="239"/>
      <c r="F1003" s="239"/>
      <c r="G1003" s="239"/>
      <c r="H1003" s="239"/>
      <c r="I1003" s="239"/>
      <c r="J1003" s="239"/>
      <c r="K1003" s="239"/>
      <c r="L1003" s="239"/>
      <c r="M1003" s="239"/>
      <c r="N1003" s="239"/>
      <c r="O1003" s="239"/>
      <c r="P1003" s="239"/>
      <c r="Q1003" s="239"/>
      <c r="R1003" s="239"/>
      <c r="S1003" s="239"/>
      <c r="T1003" s="239"/>
      <c r="U1003" s="239"/>
      <c r="V1003" s="306"/>
      <c r="W1003" s="239"/>
      <c r="X1003" s="239"/>
      <c r="Y1003" s="239"/>
      <c r="Z1003" s="239"/>
      <c r="AA1003" s="239"/>
      <c r="AB1003" s="239"/>
      <c r="AC1003" s="239"/>
      <c r="AD1003" s="245"/>
      <c r="AE1003" s="239"/>
      <c r="AF1003" s="239"/>
      <c r="AG1003" s="239"/>
      <c r="AH1003" s="239"/>
      <c r="AI1003" s="239"/>
      <c r="AJ1003" s="239"/>
      <c r="AK1003" s="239"/>
      <c r="AL1003" s="239"/>
      <c r="AM1003" s="245"/>
      <c r="AN1003" s="239"/>
      <c r="AO1003" s="239"/>
      <c r="AP1003" s="239"/>
      <c r="AQ1003" s="306"/>
      <c r="AR1003" s="239"/>
      <c r="AS1003" s="239"/>
      <c r="AT1003" s="239"/>
      <c r="AU1003" s="239"/>
    </row>
    <row r="1004" spans="1:47" x14ac:dyDescent="0.35">
      <c r="A1004" s="239"/>
      <c r="B1004" s="239"/>
      <c r="C1004" s="239"/>
      <c r="D1004" s="239"/>
      <c r="E1004" s="239"/>
      <c r="F1004" s="239"/>
      <c r="G1004" s="239"/>
      <c r="H1004" s="239"/>
      <c r="I1004" s="239"/>
      <c r="J1004" s="239"/>
      <c r="K1004" s="239"/>
      <c r="L1004" s="239"/>
      <c r="M1004" s="239"/>
      <c r="N1004" s="239"/>
      <c r="O1004" s="239"/>
      <c r="P1004" s="239"/>
      <c r="Q1004" s="239"/>
      <c r="R1004" s="239"/>
      <c r="S1004" s="239"/>
      <c r="T1004" s="239"/>
      <c r="U1004" s="239"/>
      <c r="V1004" s="306"/>
      <c r="W1004" s="239"/>
      <c r="X1004" s="239"/>
      <c r="Y1004" s="239"/>
      <c r="Z1004" s="239"/>
      <c r="AA1004" s="239"/>
      <c r="AB1004" s="239"/>
      <c r="AC1004" s="239"/>
      <c r="AD1004" s="245"/>
      <c r="AE1004" s="239"/>
      <c r="AF1004" s="239"/>
      <c r="AG1004" s="239"/>
      <c r="AH1004" s="239"/>
      <c r="AI1004" s="239"/>
      <c r="AJ1004" s="239"/>
      <c r="AK1004" s="239"/>
      <c r="AL1004" s="239"/>
      <c r="AM1004" s="245"/>
      <c r="AN1004" s="239"/>
      <c r="AO1004" s="239"/>
      <c r="AP1004" s="239"/>
      <c r="AQ1004" s="306"/>
      <c r="AR1004" s="239"/>
      <c r="AS1004" s="239"/>
      <c r="AT1004" s="239"/>
      <c r="AU1004" s="239"/>
    </row>
    <row r="1005" spans="1:47" x14ac:dyDescent="0.35">
      <c r="A1005" s="239"/>
      <c r="B1005" s="239"/>
      <c r="C1005" s="239"/>
      <c r="D1005" s="239"/>
      <c r="E1005" s="239"/>
      <c r="F1005" s="239"/>
      <c r="G1005" s="239"/>
      <c r="H1005" s="239"/>
      <c r="I1005" s="239"/>
      <c r="J1005" s="239"/>
      <c r="K1005" s="239"/>
      <c r="L1005" s="239"/>
      <c r="M1005" s="239"/>
      <c r="N1005" s="239"/>
      <c r="O1005" s="239"/>
      <c r="P1005" s="239"/>
      <c r="Q1005" s="239"/>
      <c r="R1005" s="239"/>
      <c r="S1005" s="239"/>
      <c r="T1005" s="239"/>
      <c r="U1005" s="239"/>
      <c r="V1005" s="306"/>
      <c r="W1005" s="239"/>
      <c r="X1005" s="239"/>
      <c r="Y1005" s="239"/>
      <c r="Z1005" s="239"/>
      <c r="AA1005" s="239"/>
      <c r="AB1005" s="239"/>
      <c r="AC1005" s="239"/>
      <c r="AD1005" s="245"/>
      <c r="AE1005" s="239"/>
      <c r="AF1005" s="239"/>
      <c r="AG1005" s="239"/>
      <c r="AH1005" s="239"/>
      <c r="AI1005" s="239"/>
      <c r="AJ1005" s="239"/>
      <c r="AK1005" s="239"/>
      <c r="AL1005" s="239"/>
      <c r="AM1005" s="245"/>
      <c r="AN1005" s="239"/>
      <c r="AO1005" s="239"/>
      <c r="AP1005" s="239"/>
      <c r="AQ1005" s="306"/>
      <c r="AR1005" s="239"/>
      <c r="AS1005" s="239"/>
      <c r="AT1005" s="239"/>
      <c r="AU1005" s="239"/>
    </row>
    <row r="1006" spans="1:47" x14ac:dyDescent="0.35">
      <c r="A1006" s="239"/>
      <c r="B1006" s="239"/>
      <c r="C1006" s="239"/>
      <c r="D1006" s="239"/>
      <c r="E1006" s="239"/>
      <c r="F1006" s="239"/>
      <c r="G1006" s="239"/>
      <c r="H1006" s="239"/>
      <c r="I1006" s="239"/>
      <c r="J1006" s="239"/>
      <c r="K1006" s="239"/>
      <c r="L1006" s="239"/>
      <c r="M1006" s="239"/>
      <c r="N1006" s="239"/>
      <c r="O1006" s="239"/>
      <c r="P1006" s="239"/>
      <c r="Q1006" s="239"/>
      <c r="R1006" s="239"/>
      <c r="S1006" s="239"/>
      <c r="T1006" s="239"/>
      <c r="U1006" s="239"/>
      <c r="V1006" s="306"/>
      <c r="W1006" s="239"/>
      <c r="X1006" s="239"/>
      <c r="Y1006" s="239"/>
      <c r="Z1006" s="239"/>
      <c r="AA1006" s="239"/>
      <c r="AB1006" s="239"/>
      <c r="AC1006" s="239"/>
      <c r="AD1006" s="245"/>
      <c r="AE1006" s="239"/>
      <c r="AF1006" s="239"/>
      <c r="AG1006" s="239"/>
      <c r="AH1006" s="239"/>
      <c r="AI1006" s="239"/>
      <c r="AJ1006" s="239"/>
      <c r="AK1006" s="239"/>
      <c r="AL1006" s="239"/>
      <c r="AM1006" s="245"/>
      <c r="AN1006" s="239"/>
      <c r="AO1006" s="239"/>
      <c r="AP1006" s="239"/>
      <c r="AQ1006" s="306"/>
      <c r="AR1006" s="239"/>
      <c r="AS1006" s="239"/>
      <c r="AT1006" s="239"/>
      <c r="AU1006" s="239"/>
    </row>
    <row r="1007" spans="1:47" x14ac:dyDescent="0.35">
      <c r="A1007" s="239"/>
      <c r="B1007" s="239"/>
      <c r="C1007" s="239"/>
      <c r="D1007" s="239"/>
      <c r="E1007" s="239"/>
      <c r="F1007" s="239"/>
      <c r="G1007" s="239"/>
      <c r="H1007" s="239"/>
      <c r="I1007" s="239"/>
      <c r="J1007" s="239"/>
      <c r="K1007" s="239"/>
      <c r="L1007" s="239"/>
      <c r="M1007" s="239"/>
      <c r="N1007" s="239"/>
      <c r="O1007" s="239"/>
      <c r="P1007" s="239"/>
      <c r="Q1007" s="239"/>
      <c r="R1007" s="239"/>
      <c r="S1007" s="239"/>
      <c r="T1007" s="239"/>
      <c r="U1007" s="239"/>
      <c r="V1007" s="306"/>
      <c r="W1007" s="239"/>
      <c r="X1007" s="239"/>
      <c r="Y1007" s="239"/>
      <c r="Z1007" s="239"/>
      <c r="AA1007" s="239"/>
      <c r="AB1007" s="239"/>
      <c r="AC1007" s="239"/>
      <c r="AD1007" s="245"/>
      <c r="AE1007" s="239"/>
      <c r="AF1007" s="239"/>
      <c r="AG1007" s="239"/>
      <c r="AH1007" s="239"/>
      <c r="AI1007" s="239"/>
      <c r="AJ1007" s="239"/>
      <c r="AK1007" s="239"/>
      <c r="AL1007" s="239"/>
      <c r="AM1007" s="245"/>
      <c r="AN1007" s="239"/>
      <c r="AO1007" s="239"/>
      <c r="AP1007" s="239"/>
      <c r="AQ1007" s="306"/>
      <c r="AR1007" s="239"/>
      <c r="AS1007" s="239"/>
      <c r="AT1007" s="239"/>
      <c r="AU1007" s="239"/>
    </row>
    <row r="1008" spans="1:47" x14ac:dyDescent="0.35">
      <c r="A1008" s="239"/>
      <c r="B1008" s="239"/>
      <c r="C1008" s="239"/>
      <c r="D1008" s="239"/>
      <c r="E1008" s="239"/>
      <c r="F1008" s="239"/>
      <c r="G1008" s="239"/>
      <c r="H1008" s="239"/>
      <c r="I1008" s="239"/>
      <c r="J1008" s="239"/>
      <c r="K1008" s="239"/>
      <c r="L1008" s="239"/>
      <c r="M1008" s="239"/>
      <c r="N1008" s="239"/>
      <c r="O1008" s="239"/>
      <c r="P1008" s="239"/>
      <c r="Q1008" s="239"/>
      <c r="R1008" s="239"/>
      <c r="S1008" s="239"/>
      <c r="T1008" s="239"/>
      <c r="U1008" s="239"/>
      <c r="V1008" s="306"/>
      <c r="W1008" s="239"/>
      <c r="X1008" s="239"/>
      <c r="Y1008" s="239"/>
      <c r="Z1008" s="239"/>
      <c r="AA1008" s="239"/>
      <c r="AB1008" s="239"/>
      <c r="AC1008" s="239"/>
      <c r="AD1008" s="245"/>
      <c r="AE1008" s="239"/>
      <c r="AF1008" s="239"/>
      <c r="AG1008" s="239"/>
      <c r="AH1008" s="239"/>
      <c r="AI1008" s="239"/>
      <c r="AJ1008" s="239"/>
      <c r="AK1008" s="239"/>
      <c r="AL1008" s="239"/>
      <c r="AM1008" s="245"/>
      <c r="AN1008" s="239"/>
      <c r="AO1008" s="239"/>
      <c r="AP1008" s="239"/>
      <c r="AQ1008" s="306"/>
      <c r="AR1008" s="239"/>
      <c r="AS1008" s="239"/>
      <c r="AT1008" s="239"/>
      <c r="AU1008" s="239"/>
    </row>
    <row r="1009" spans="1:47" x14ac:dyDescent="0.35">
      <c r="A1009" s="239"/>
      <c r="B1009" s="239"/>
      <c r="C1009" s="239"/>
      <c r="D1009" s="239"/>
      <c r="E1009" s="239"/>
      <c r="F1009" s="239"/>
      <c r="G1009" s="239"/>
      <c r="H1009" s="239"/>
      <c r="I1009" s="239"/>
      <c r="J1009" s="239"/>
      <c r="K1009" s="239"/>
      <c r="L1009" s="239"/>
      <c r="M1009" s="239"/>
      <c r="N1009" s="239"/>
      <c r="O1009" s="239"/>
      <c r="P1009" s="239"/>
      <c r="Q1009" s="239"/>
      <c r="R1009" s="239"/>
      <c r="S1009" s="239"/>
      <c r="T1009" s="239"/>
      <c r="U1009" s="239"/>
      <c r="V1009" s="306"/>
      <c r="W1009" s="239"/>
      <c r="X1009" s="239"/>
      <c r="Y1009" s="239"/>
      <c r="Z1009" s="239"/>
      <c r="AA1009" s="239"/>
      <c r="AB1009" s="239"/>
      <c r="AC1009" s="239"/>
      <c r="AD1009" s="245"/>
      <c r="AE1009" s="239"/>
      <c r="AF1009" s="239"/>
      <c r="AG1009" s="239"/>
      <c r="AH1009" s="239"/>
      <c r="AI1009" s="239"/>
      <c r="AJ1009" s="239"/>
      <c r="AK1009" s="239"/>
      <c r="AL1009" s="239"/>
      <c r="AM1009" s="245"/>
      <c r="AN1009" s="239"/>
      <c r="AO1009" s="239"/>
      <c r="AP1009" s="239"/>
      <c r="AQ1009" s="306"/>
      <c r="AR1009" s="239"/>
      <c r="AS1009" s="239"/>
      <c r="AT1009" s="239"/>
      <c r="AU1009" s="239"/>
    </row>
    <row r="1010" spans="1:47" x14ac:dyDescent="0.35">
      <c r="A1010" s="239"/>
      <c r="B1010" s="239"/>
      <c r="C1010" s="239"/>
      <c r="D1010" s="239"/>
      <c r="E1010" s="239"/>
      <c r="F1010" s="239"/>
      <c r="G1010" s="239"/>
      <c r="H1010" s="239"/>
      <c r="I1010" s="239"/>
      <c r="J1010" s="239"/>
      <c r="K1010" s="239"/>
      <c r="L1010" s="239"/>
      <c r="M1010" s="239"/>
      <c r="N1010" s="239"/>
      <c r="O1010" s="239"/>
      <c r="P1010" s="239"/>
      <c r="Q1010" s="239"/>
      <c r="R1010" s="239"/>
      <c r="S1010" s="239"/>
      <c r="T1010" s="239"/>
      <c r="U1010" s="239"/>
      <c r="V1010" s="306"/>
      <c r="W1010" s="239"/>
      <c r="X1010" s="239"/>
      <c r="Y1010" s="239"/>
      <c r="Z1010" s="239"/>
      <c r="AA1010" s="239"/>
      <c r="AB1010" s="239"/>
      <c r="AC1010" s="239"/>
      <c r="AD1010" s="245"/>
      <c r="AE1010" s="239"/>
      <c r="AF1010" s="239"/>
      <c r="AG1010" s="239"/>
      <c r="AH1010" s="239"/>
      <c r="AI1010" s="239"/>
      <c r="AJ1010" s="239"/>
      <c r="AK1010" s="239"/>
      <c r="AL1010" s="239"/>
      <c r="AM1010" s="245"/>
      <c r="AN1010" s="239"/>
      <c r="AO1010" s="239"/>
      <c r="AP1010" s="239"/>
      <c r="AQ1010" s="306"/>
      <c r="AR1010" s="239"/>
      <c r="AS1010" s="239"/>
      <c r="AT1010" s="239"/>
      <c r="AU1010" s="239"/>
    </row>
    <row r="1011" spans="1:47" x14ac:dyDescent="0.35">
      <c r="A1011" s="239"/>
      <c r="B1011" s="239"/>
      <c r="C1011" s="239"/>
      <c r="D1011" s="239"/>
      <c r="E1011" s="239"/>
      <c r="F1011" s="239"/>
      <c r="G1011" s="239"/>
      <c r="H1011" s="239"/>
      <c r="I1011" s="239"/>
      <c r="J1011" s="239"/>
      <c r="K1011" s="239"/>
      <c r="L1011" s="239"/>
      <c r="M1011" s="239"/>
      <c r="N1011" s="239"/>
      <c r="O1011" s="239"/>
      <c r="P1011" s="239"/>
      <c r="Q1011" s="239"/>
      <c r="R1011" s="239"/>
      <c r="S1011" s="239"/>
      <c r="T1011" s="239"/>
      <c r="U1011" s="239"/>
      <c r="V1011" s="306"/>
      <c r="W1011" s="239"/>
      <c r="X1011" s="239"/>
      <c r="Y1011" s="239"/>
      <c r="Z1011" s="239"/>
      <c r="AA1011" s="239"/>
      <c r="AB1011" s="239"/>
      <c r="AC1011" s="239"/>
      <c r="AD1011" s="245"/>
      <c r="AE1011" s="239"/>
      <c r="AF1011" s="239"/>
      <c r="AG1011" s="239"/>
      <c r="AH1011" s="239"/>
      <c r="AI1011" s="239"/>
      <c r="AJ1011" s="239"/>
      <c r="AK1011" s="239"/>
      <c r="AL1011" s="239"/>
      <c r="AM1011" s="245"/>
      <c r="AN1011" s="239"/>
      <c r="AO1011" s="239"/>
      <c r="AP1011" s="239"/>
      <c r="AQ1011" s="306"/>
      <c r="AR1011" s="239"/>
      <c r="AS1011" s="239"/>
      <c r="AT1011" s="239"/>
      <c r="AU1011" s="239"/>
    </row>
    <row r="1012" spans="1:47" x14ac:dyDescent="0.35">
      <c r="A1012" s="239"/>
      <c r="B1012" s="239"/>
      <c r="C1012" s="239"/>
      <c r="D1012" s="239"/>
      <c r="E1012" s="239"/>
      <c r="F1012" s="239"/>
      <c r="G1012" s="239"/>
      <c r="H1012" s="239"/>
      <c r="I1012" s="239"/>
      <c r="J1012" s="239"/>
      <c r="K1012" s="239"/>
      <c r="L1012" s="239"/>
      <c r="M1012" s="239"/>
      <c r="N1012" s="239"/>
      <c r="O1012" s="239"/>
      <c r="P1012" s="239"/>
      <c r="Q1012" s="239"/>
      <c r="R1012" s="239"/>
      <c r="S1012" s="239"/>
      <c r="T1012" s="239"/>
      <c r="U1012" s="239"/>
      <c r="V1012" s="306"/>
      <c r="W1012" s="239"/>
      <c r="X1012" s="239"/>
      <c r="Y1012" s="239"/>
      <c r="Z1012" s="239"/>
      <c r="AA1012" s="239"/>
      <c r="AB1012" s="239"/>
      <c r="AC1012" s="239"/>
      <c r="AD1012" s="245"/>
      <c r="AE1012" s="239"/>
      <c r="AF1012" s="239"/>
      <c r="AG1012" s="239"/>
      <c r="AH1012" s="239"/>
      <c r="AI1012" s="239"/>
      <c r="AJ1012" s="239"/>
      <c r="AK1012" s="239"/>
      <c r="AL1012" s="239"/>
      <c r="AM1012" s="245"/>
      <c r="AN1012" s="239"/>
      <c r="AO1012" s="239"/>
      <c r="AP1012" s="239"/>
      <c r="AQ1012" s="306"/>
      <c r="AR1012" s="239"/>
      <c r="AS1012" s="239"/>
      <c r="AT1012" s="239"/>
      <c r="AU1012" s="239"/>
    </row>
    <row r="1013" spans="1:47" x14ac:dyDescent="0.35">
      <c r="A1013" s="239"/>
      <c r="B1013" s="239"/>
      <c r="C1013" s="239"/>
      <c r="D1013" s="239"/>
      <c r="E1013" s="239"/>
      <c r="F1013" s="239"/>
      <c r="G1013" s="239"/>
      <c r="H1013" s="239"/>
      <c r="I1013" s="239"/>
      <c r="J1013" s="239"/>
      <c r="K1013" s="239"/>
      <c r="L1013" s="239"/>
      <c r="M1013" s="239"/>
      <c r="N1013" s="239"/>
      <c r="O1013" s="239"/>
      <c r="P1013" s="239"/>
      <c r="Q1013" s="239"/>
      <c r="R1013" s="239"/>
      <c r="S1013" s="239"/>
      <c r="T1013" s="239"/>
      <c r="U1013" s="239"/>
      <c r="V1013" s="306"/>
      <c r="W1013" s="239"/>
      <c r="X1013" s="239"/>
      <c r="Y1013" s="239"/>
      <c r="Z1013" s="239"/>
      <c r="AA1013" s="239"/>
      <c r="AB1013" s="239"/>
      <c r="AC1013" s="239"/>
      <c r="AD1013" s="245"/>
      <c r="AE1013" s="239"/>
      <c r="AF1013" s="239"/>
      <c r="AG1013" s="239"/>
      <c r="AH1013" s="239"/>
      <c r="AI1013" s="239"/>
      <c r="AJ1013" s="239"/>
      <c r="AK1013" s="239"/>
      <c r="AL1013" s="239"/>
      <c r="AM1013" s="245"/>
      <c r="AN1013" s="239"/>
      <c r="AO1013" s="239"/>
      <c r="AP1013" s="239"/>
      <c r="AQ1013" s="306"/>
      <c r="AR1013" s="239"/>
      <c r="AS1013" s="239"/>
      <c r="AT1013" s="239"/>
      <c r="AU1013" s="239"/>
    </row>
    <row r="1014" spans="1:47" x14ac:dyDescent="0.35">
      <c r="A1014" s="239"/>
      <c r="B1014" s="239"/>
      <c r="C1014" s="239"/>
      <c r="D1014" s="239"/>
      <c r="E1014" s="239"/>
      <c r="F1014" s="239"/>
      <c r="G1014" s="239"/>
      <c r="H1014" s="239"/>
      <c r="I1014" s="239"/>
      <c r="J1014" s="239"/>
      <c r="K1014" s="239"/>
      <c r="L1014" s="239"/>
      <c r="M1014" s="239"/>
      <c r="N1014" s="239"/>
      <c r="O1014" s="239"/>
      <c r="P1014" s="239"/>
      <c r="Q1014" s="239"/>
      <c r="R1014" s="239"/>
      <c r="S1014" s="239"/>
      <c r="T1014" s="239"/>
      <c r="U1014" s="239"/>
      <c r="V1014" s="306"/>
      <c r="W1014" s="239"/>
      <c r="X1014" s="239"/>
      <c r="Y1014" s="239"/>
      <c r="Z1014" s="239"/>
      <c r="AA1014" s="239"/>
      <c r="AB1014" s="239"/>
      <c r="AC1014" s="239"/>
      <c r="AD1014" s="245"/>
      <c r="AE1014" s="239"/>
      <c r="AF1014" s="239"/>
      <c r="AG1014" s="239"/>
      <c r="AH1014" s="239"/>
      <c r="AI1014" s="239"/>
      <c r="AJ1014" s="239"/>
      <c r="AK1014" s="239"/>
      <c r="AL1014" s="239"/>
      <c r="AM1014" s="245"/>
      <c r="AN1014" s="239"/>
      <c r="AO1014" s="239"/>
      <c r="AP1014" s="239"/>
      <c r="AQ1014" s="306"/>
      <c r="AR1014" s="239"/>
      <c r="AS1014" s="239"/>
      <c r="AT1014" s="239"/>
      <c r="AU1014" s="239"/>
    </row>
    <row r="1015" spans="1:47" x14ac:dyDescent="0.35">
      <c r="A1015" s="239"/>
      <c r="B1015" s="239"/>
      <c r="C1015" s="239"/>
      <c r="D1015" s="239"/>
      <c r="E1015" s="239"/>
      <c r="F1015" s="239"/>
      <c r="G1015" s="239"/>
      <c r="H1015" s="239"/>
      <c r="I1015" s="239"/>
      <c r="J1015" s="239"/>
      <c r="K1015" s="239"/>
      <c r="L1015" s="239"/>
      <c r="M1015" s="239"/>
      <c r="N1015" s="239"/>
      <c r="O1015" s="239"/>
      <c r="P1015" s="239"/>
      <c r="Q1015" s="239"/>
      <c r="R1015" s="239"/>
      <c r="S1015" s="239"/>
      <c r="T1015" s="239"/>
      <c r="U1015" s="239"/>
      <c r="V1015" s="306"/>
      <c r="W1015" s="239"/>
      <c r="X1015" s="239"/>
      <c r="Y1015" s="239"/>
      <c r="Z1015" s="239"/>
      <c r="AA1015" s="239"/>
      <c r="AB1015" s="239"/>
      <c r="AC1015" s="239"/>
      <c r="AD1015" s="245"/>
      <c r="AE1015" s="239"/>
      <c r="AF1015" s="239"/>
      <c r="AG1015" s="239"/>
      <c r="AH1015" s="239"/>
      <c r="AI1015" s="239"/>
      <c r="AJ1015" s="239"/>
      <c r="AK1015" s="239"/>
      <c r="AL1015" s="239"/>
      <c r="AM1015" s="245"/>
      <c r="AN1015" s="239"/>
      <c r="AO1015" s="239"/>
      <c r="AP1015" s="239"/>
      <c r="AQ1015" s="306"/>
      <c r="AR1015" s="239"/>
      <c r="AS1015" s="239"/>
      <c r="AT1015" s="239"/>
      <c r="AU1015" s="239"/>
    </row>
  </sheetData>
  <mergeCells count="8">
    <mergeCell ref="A5:B5"/>
    <mergeCell ref="C4:U4"/>
    <mergeCell ref="W4:AP4"/>
    <mergeCell ref="C6:J6"/>
    <mergeCell ref="K6:M6"/>
    <mergeCell ref="N6:T6"/>
    <mergeCell ref="Z6:AD6"/>
    <mergeCell ref="AE6:AM6"/>
  </mergeCells>
  <conditionalFormatting sqref="U8:U271">
    <cfRule type="notContainsBlanks" dxfId="2" priority="1">
      <formula>LEN(TRIM(U8))&gt;0</formula>
    </cfRule>
  </conditionalFormatting>
  <conditionalFormatting sqref="AR8:AR272">
    <cfRule type="cellIs" dxfId="1" priority="2" operator="lessThan">
      <formula>0</formula>
    </cfRule>
  </conditionalFormatting>
  <dataValidations count="2">
    <dataValidation type="custom" allowBlank="1" showDropDown="1" sqref="W8:AB20 W21:W23 Y21:AB23 W24:AB24 W25 Y25:AB25 AD8:AN26 AD27:AK27 AM27:AN27 AH28:AH59 AH61:AH272 AI28:AN272 AD28:AG272 W26:AB272" xr:uid="{00000000-0002-0000-0700-000000000000}">
      <formula1>AND(ISNUMBER(W8),(NOT(OR(NOT(ISERROR(DATEVALUE(W8))), AND(ISNUMBER(W8), LEFT(CELL("format", W8))="D")))))</formula1>
    </dataValidation>
    <dataValidation type="date" errorStyle="warning" allowBlank="1" showInputMessage="1" showErrorMessage="1" errorTitle="Date required" error="Please enter a valid date." promptTitle="Date" prompt="Enter a date (e.g., 2026-05-15)" sqref="A8:A272" xr:uid="{E8E8DF6A-7BD6-4668-9DFD-529424072610}">
      <formula1>1</formula1>
      <formula2>73415</formula2>
    </dataValidation>
  </dataValidations>
  <pageMargins left="0.7" right="0.7" top="0.75" bottom="0.75" header="0" footer="0"/>
  <pageSetup orientation="landscape" r:id="rId1"/>
  <legacyDrawing r:id="rId2"/>
  <tableParts count="3"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Z1041"/>
  <sheetViews>
    <sheetView workbookViewId="0">
      <pane ySplit="2" topLeftCell="A3" activePane="bottomLeft" state="frozen"/>
      <selection pane="bottomLeft" activeCell="J84" sqref="J84"/>
    </sheetView>
  </sheetViews>
  <sheetFormatPr defaultColWidth="14.44140625" defaultRowHeight="15" customHeight="1" x14ac:dyDescent="0.3"/>
  <cols>
    <col min="1" max="1" width="18" customWidth="1"/>
    <col min="2" max="2" width="10.44140625" customWidth="1"/>
    <col min="3" max="3" width="17.5546875" customWidth="1"/>
    <col min="4" max="4" width="15.33203125" customWidth="1"/>
    <col min="5" max="5" width="12.33203125" customWidth="1"/>
    <col min="6" max="7" width="8.88671875" customWidth="1"/>
    <col min="8" max="8" width="10.44140625" customWidth="1"/>
    <col min="9" max="9" width="16.33203125" customWidth="1"/>
    <col min="10" max="10" width="15.6640625" customWidth="1"/>
    <col min="11" max="11" width="19.6640625" hidden="1" customWidth="1"/>
    <col min="12" max="12" width="11.6640625" customWidth="1"/>
    <col min="13" max="13" width="9.88671875" customWidth="1"/>
    <col min="14" max="14" width="9.6640625" customWidth="1"/>
    <col min="15" max="15" width="35.44140625" customWidth="1"/>
    <col min="16" max="16" width="18.77734375" bestFit="1" customWidth="1"/>
    <col min="17" max="17" width="8.88671875" customWidth="1"/>
    <col min="18" max="26" width="8.6640625" customWidth="1"/>
  </cols>
  <sheetData>
    <row r="1" spans="1:26" ht="12.75" customHeight="1" x14ac:dyDescent="0.3">
      <c r="A1" s="414" t="s">
        <v>98</v>
      </c>
      <c r="B1" s="403"/>
      <c r="C1" s="403"/>
      <c r="D1" s="403"/>
      <c r="E1" s="404"/>
      <c r="F1" s="5"/>
      <c r="G1" s="5"/>
      <c r="H1" s="417" t="s">
        <v>99</v>
      </c>
      <c r="I1" s="403"/>
      <c r="J1" s="403"/>
      <c r="K1" s="403"/>
      <c r="L1" s="403"/>
      <c r="M1" s="403"/>
      <c r="N1" s="403"/>
      <c r="O1" s="403"/>
      <c r="P1" s="404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3">
      <c r="A2" s="133" t="s">
        <v>100</v>
      </c>
      <c r="B2" s="133" t="s">
        <v>182</v>
      </c>
      <c r="C2" s="133" t="s">
        <v>183</v>
      </c>
      <c r="D2" s="133" t="s">
        <v>184</v>
      </c>
      <c r="E2" s="133" t="s">
        <v>104</v>
      </c>
      <c r="F2" s="11"/>
      <c r="G2" s="11"/>
      <c r="H2" s="89" t="s">
        <v>9</v>
      </c>
      <c r="I2" s="89" t="s">
        <v>18</v>
      </c>
      <c r="J2" s="89" t="s">
        <v>19</v>
      </c>
      <c r="K2" s="89" t="s">
        <v>105</v>
      </c>
      <c r="L2" s="89" t="s">
        <v>20</v>
      </c>
      <c r="M2" s="89" t="s">
        <v>106</v>
      </c>
      <c r="N2" s="89" t="s">
        <v>107</v>
      </c>
      <c r="O2" s="138" t="s">
        <v>78</v>
      </c>
      <c r="P2" s="89" t="s">
        <v>185</v>
      </c>
      <c r="Q2" s="139"/>
      <c r="R2" s="139"/>
      <c r="S2" s="139"/>
      <c r="T2" s="139"/>
      <c r="U2" s="139"/>
      <c r="V2" s="139"/>
      <c r="W2" s="11"/>
      <c r="X2" s="11"/>
      <c r="Y2" s="11"/>
      <c r="Z2" s="11"/>
    </row>
    <row r="3" spans="1:26" ht="12.75" customHeight="1" x14ac:dyDescent="0.3">
      <c r="A3" s="69" t="s">
        <v>18</v>
      </c>
      <c r="B3" s="90">
        <f>1480-660-87+29+15+26-246+32+16+39+119+38</f>
        <v>801</v>
      </c>
      <c r="C3" s="189">
        <f>SUM('ODOMETERS Tekrit'!$J$3:$J$254)</f>
        <v>64644</v>
      </c>
      <c r="D3" s="90">
        <f>I78</f>
        <v>65823</v>
      </c>
      <c r="E3" s="90">
        <f>B3+'BM Stock Tekrit'!$D3-'BM Stock Tekrit'!$C3</f>
        <v>1980</v>
      </c>
      <c r="F3" s="5"/>
      <c r="G3" s="5"/>
      <c r="H3" s="91">
        <v>46010</v>
      </c>
      <c r="I3" s="90"/>
      <c r="J3" s="90">
        <v>4178</v>
      </c>
      <c r="K3" s="90"/>
      <c r="L3" s="90"/>
      <c r="M3" s="92">
        <f>14.37/20</f>
        <v>0.71849999999999992</v>
      </c>
      <c r="N3" s="93">
        <f>'BM Stock Tekrit'!$M3*'BM Stock Tekrit'!$J3</f>
        <v>3001.8929999999996</v>
      </c>
      <c r="O3" s="80"/>
      <c r="P3" s="140"/>
      <c r="Q3" s="141"/>
      <c r="R3" s="141"/>
      <c r="S3" s="141"/>
      <c r="T3" s="141"/>
      <c r="U3" s="142"/>
      <c r="V3" s="143"/>
      <c r="W3" s="5"/>
      <c r="X3" s="5"/>
      <c r="Y3" s="5"/>
      <c r="Z3" s="5"/>
    </row>
    <row r="4" spans="1:26" ht="12.75" customHeight="1" x14ac:dyDescent="0.3">
      <c r="A4" s="69" t="s">
        <v>19</v>
      </c>
      <c r="B4" s="90">
        <f>660+79+14-33+235+8+49+16</f>
        <v>1028</v>
      </c>
      <c r="C4" s="189">
        <f>SUM('ODOMETERS Tekrit'!$K$3:$K$254)</f>
        <v>68768</v>
      </c>
      <c r="D4" s="90">
        <f>J78</f>
        <v>68931</v>
      </c>
      <c r="E4" s="90">
        <f>B4+'BM Stock Tekrit'!$D4-'BM Stock Tekrit'!$C4</f>
        <v>1191</v>
      </c>
      <c r="F4" s="5"/>
      <c r="G4" s="5"/>
      <c r="H4" s="144">
        <v>46011</v>
      </c>
      <c r="I4" s="145"/>
      <c r="J4" s="145"/>
      <c r="K4" s="145"/>
      <c r="L4" s="145">
        <v>1150</v>
      </c>
      <c r="M4" s="146"/>
      <c r="N4" s="147"/>
      <c r="O4" s="148" t="s">
        <v>186</v>
      </c>
      <c r="P4" s="149">
        <f>(13.68/20)*'BM Stock Tekrit'!$L4</f>
        <v>786.59999999999991</v>
      </c>
      <c r="Q4" s="5"/>
      <c r="R4" s="141"/>
      <c r="S4" s="141"/>
      <c r="T4" s="5"/>
      <c r="U4" s="142"/>
      <c r="V4" s="143"/>
      <c r="W4" s="5"/>
      <c r="X4" s="5"/>
      <c r="Y4" s="5"/>
      <c r="Z4" s="5"/>
    </row>
    <row r="5" spans="1:26" ht="12.75" customHeight="1" x14ac:dyDescent="0.3">
      <c r="A5" s="94" t="s">
        <v>108</v>
      </c>
      <c r="B5" s="95">
        <f>B3+B4</f>
        <v>1829</v>
      </c>
      <c r="C5" s="95">
        <f>C3+C4</f>
        <v>133412</v>
      </c>
      <c r="D5" s="95">
        <f>D3+D4</f>
        <v>134754</v>
      </c>
      <c r="E5" s="95">
        <f>E3+E4</f>
        <v>3171</v>
      </c>
      <c r="F5" s="5"/>
      <c r="G5" s="5"/>
      <c r="H5" s="91">
        <v>46012</v>
      </c>
      <c r="I5" s="90"/>
      <c r="J5" s="90"/>
      <c r="K5" s="90"/>
      <c r="L5" s="90"/>
      <c r="M5" s="92"/>
      <c r="N5" s="93"/>
      <c r="O5" s="80"/>
      <c r="P5" s="149"/>
      <c r="Q5" s="141"/>
      <c r="R5" s="141"/>
      <c r="S5" s="141"/>
      <c r="T5" s="141"/>
      <c r="U5" s="142"/>
      <c r="V5" s="143"/>
      <c r="W5" s="5"/>
      <c r="X5" s="5"/>
      <c r="Y5" s="5"/>
      <c r="Z5" s="5"/>
    </row>
    <row r="6" spans="1:26" ht="12.75" customHeight="1" x14ac:dyDescent="0.3">
      <c r="A6" s="69" t="s">
        <v>20</v>
      </c>
      <c r="B6" s="90">
        <f>800+14+111+24+10</f>
        <v>959</v>
      </c>
      <c r="C6" s="189">
        <f>SUM('ODOMETERS Tekrit'!$L$3:$L$254)</f>
        <v>61720.533999999985</v>
      </c>
      <c r="D6" s="90">
        <f>L78</f>
        <v>61071</v>
      </c>
      <c r="E6" s="90">
        <f>B6-C6+D6</f>
        <v>309.4660000000149</v>
      </c>
      <c r="F6" s="5"/>
      <c r="G6" s="5"/>
      <c r="H6" s="91">
        <v>46016</v>
      </c>
      <c r="I6" s="90"/>
      <c r="J6" s="90"/>
      <c r="K6" s="90"/>
      <c r="L6" s="90">
        <v>850</v>
      </c>
      <c r="M6" s="92"/>
      <c r="N6" s="93"/>
      <c r="O6" s="80" t="s">
        <v>186</v>
      </c>
      <c r="P6" s="149">
        <v>606</v>
      </c>
      <c r="Q6" s="141"/>
      <c r="R6" s="141"/>
      <c r="S6" s="141"/>
      <c r="T6" s="141"/>
      <c r="U6" s="142"/>
      <c r="V6" s="143"/>
      <c r="W6" s="5"/>
      <c r="X6" s="5"/>
      <c r="Y6" s="5"/>
      <c r="Z6" s="5"/>
    </row>
    <row r="7" spans="1:26" ht="12.75" customHeight="1" x14ac:dyDescent="0.3">
      <c r="A7" s="96" t="s">
        <v>109</v>
      </c>
      <c r="B7" s="97">
        <f>SUM(B5:B6)</f>
        <v>2788</v>
      </c>
      <c r="C7" s="97">
        <f>SUM(C5:C6)</f>
        <v>195132.53399999999</v>
      </c>
      <c r="D7" s="97">
        <f>SUM(D5:D6)</f>
        <v>195825</v>
      </c>
      <c r="E7" s="97">
        <f>SUM(E5:E6)</f>
        <v>3480.4660000000149</v>
      </c>
      <c r="F7" s="5"/>
      <c r="G7" s="5"/>
      <c r="H7" s="91">
        <v>46017</v>
      </c>
      <c r="I7" s="90"/>
      <c r="J7" s="90">
        <v>480</v>
      </c>
      <c r="K7" s="90"/>
      <c r="L7" s="90"/>
      <c r="M7" s="92"/>
      <c r="N7" s="93"/>
      <c r="O7" s="80" t="s">
        <v>186</v>
      </c>
      <c r="P7" s="149">
        <v>342</v>
      </c>
      <c r="Q7" s="141"/>
      <c r="R7" s="141"/>
      <c r="S7" s="141"/>
      <c r="T7" s="141"/>
      <c r="U7" s="142"/>
      <c r="V7" s="143"/>
      <c r="W7" s="5"/>
      <c r="X7" s="5"/>
      <c r="Y7" s="5"/>
      <c r="Z7" s="5"/>
    </row>
    <row r="8" spans="1:26" ht="12.75" customHeight="1" x14ac:dyDescent="0.3">
      <c r="A8" s="5"/>
      <c r="B8" s="5"/>
      <c r="C8" s="5"/>
      <c r="D8" s="5"/>
      <c r="E8" s="5"/>
      <c r="F8" s="5"/>
      <c r="G8" s="5"/>
      <c r="H8" s="91">
        <v>46017</v>
      </c>
      <c r="I8" s="90">
        <v>3082</v>
      </c>
      <c r="J8" s="90"/>
      <c r="K8" s="90"/>
      <c r="L8" s="90"/>
      <c r="M8" s="92">
        <f>13.75/20</f>
        <v>0.6875</v>
      </c>
      <c r="N8" s="93">
        <f>'BM Stock Tekrit'!$M8*'BM Stock Tekrit'!$I8</f>
        <v>2118.875</v>
      </c>
      <c r="O8" s="80"/>
      <c r="P8" s="140"/>
      <c r="Q8" s="141"/>
      <c r="R8" s="141"/>
      <c r="S8" s="141"/>
      <c r="T8" s="141"/>
      <c r="U8" s="142"/>
      <c r="V8" s="143"/>
      <c r="W8" s="5"/>
      <c r="X8" s="5"/>
      <c r="Y8" s="5"/>
      <c r="Z8" s="5"/>
    </row>
    <row r="9" spans="1:26" ht="12.75" customHeight="1" x14ac:dyDescent="0.3">
      <c r="A9" s="5"/>
      <c r="B9" s="5"/>
      <c r="C9" s="5"/>
      <c r="D9" s="5"/>
      <c r="E9" s="98"/>
      <c r="F9" s="5"/>
      <c r="G9" s="5"/>
      <c r="H9" s="91">
        <v>46019</v>
      </c>
      <c r="I9" s="80"/>
      <c r="J9" s="80"/>
      <c r="K9" s="90"/>
      <c r="L9" s="90">
        <v>570</v>
      </c>
      <c r="M9" s="92"/>
      <c r="N9" s="93"/>
      <c r="O9" s="80" t="s">
        <v>186</v>
      </c>
      <c r="P9" s="150">
        <f>'BM Stock Tekrit'!$L9*0.6615</f>
        <v>377.05500000000001</v>
      </c>
      <c r="Q9" s="141"/>
      <c r="R9" s="141"/>
      <c r="S9" s="141"/>
      <c r="T9" s="141"/>
      <c r="U9" s="142"/>
      <c r="V9" s="143"/>
      <c r="W9" s="5"/>
      <c r="X9" s="5"/>
      <c r="Y9" s="5"/>
      <c r="Z9" s="5"/>
    </row>
    <row r="10" spans="1:26" ht="12.75" hidden="1" customHeight="1" x14ac:dyDescent="0.3">
      <c r="A10" s="5"/>
      <c r="B10" s="5"/>
      <c r="C10" s="5"/>
      <c r="D10" s="5"/>
      <c r="E10" s="98"/>
      <c r="F10" s="5"/>
      <c r="G10" s="5"/>
      <c r="H10" s="91">
        <v>46019</v>
      </c>
      <c r="I10" s="90">
        <v>-500</v>
      </c>
      <c r="J10" s="90">
        <v>500</v>
      </c>
      <c r="K10" s="90"/>
      <c r="L10" s="90"/>
      <c r="M10" s="92"/>
      <c r="N10" s="93"/>
      <c r="O10" s="80" t="s">
        <v>187</v>
      </c>
      <c r="P10" s="151">
        <v>0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hidden="1" customHeight="1" x14ac:dyDescent="0.3">
      <c r="A11" s="5"/>
      <c r="B11" s="5"/>
      <c r="C11" s="98"/>
      <c r="D11" s="98"/>
      <c r="E11" s="98"/>
      <c r="F11" s="5"/>
      <c r="G11" s="5"/>
      <c r="H11" s="91">
        <v>46021</v>
      </c>
      <c r="I11" s="90"/>
      <c r="J11" s="90"/>
      <c r="K11" s="90"/>
      <c r="L11" s="90">
        <v>3014</v>
      </c>
      <c r="M11" s="92">
        <f>13.11/20</f>
        <v>0.65549999999999997</v>
      </c>
      <c r="N11" s="93">
        <f>'BM Stock Tekrit'!$L11*'BM Stock Tekrit'!$M11</f>
        <v>1975.6769999999999</v>
      </c>
      <c r="O11" s="80"/>
      <c r="P11" s="151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hidden="1" customHeight="1" x14ac:dyDescent="0.3">
      <c r="A12" s="5"/>
      <c r="B12" s="98"/>
      <c r="C12" s="98"/>
      <c r="D12" s="98"/>
      <c r="E12" s="98"/>
      <c r="F12" s="5"/>
      <c r="G12" s="5"/>
      <c r="H12" s="91">
        <v>46387</v>
      </c>
      <c r="I12" s="90"/>
      <c r="J12" s="90">
        <v>3013</v>
      </c>
      <c r="K12" s="90"/>
      <c r="L12" s="90"/>
      <c r="M12" s="92">
        <f>13.62/20</f>
        <v>0.68099999999999994</v>
      </c>
      <c r="N12" s="93">
        <f>'BM Stock Tekrit'!$J12*'BM Stock Tekrit'!$M12</f>
        <v>2051.8529999999996</v>
      </c>
      <c r="O12" s="80"/>
      <c r="P12" s="151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hidden="1" customHeight="1" x14ac:dyDescent="0.3">
      <c r="A13" s="5"/>
      <c r="B13" s="5"/>
      <c r="C13" s="5"/>
      <c r="D13" s="5"/>
      <c r="E13" s="98"/>
      <c r="F13" s="5"/>
      <c r="G13" s="5"/>
      <c r="H13" s="91">
        <v>46027</v>
      </c>
      <c r="I13" s="90">
        <v>250</v>
      </c>
      <c r="J13" s="90">
        <v>4120</v>
      </c>
      <c r="K13" s="90"/>
      <c r="L13" s="90"/>
      <c r="M13" s="92">
        <f>13.35/20</f>
        <v>0.66749999999999998</v>
      </c>
      <c r="N13" s="93">
        <f>('BM Stock Tekrit'!$I13+'BM Stock Tekrit'!$J13)*'BM Stock Tekrit'!$M13</f>
        <v>2916.9749999999999</v>
      </c>
      <c r="O13" s="80"/>
      <c r="P13" s="151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hidden="1" customHeight="1" x14ac:dyDescent="0.3">
      <c r="A14" s="5"/>
      <c r="B14" s="5"/>
      <c r="C14" s="5"/>
      <c r="D14" s="5"/>
      <c r="E14" s="98"/>
      <c r="F14" s="5"/>
      <c r="G14" s="5"/>
      <c r="H14" s="91">
        <v>46028</v>
      </c>
      <c r="I14" s="90"/>
      <c r="J14" s="90"/>
      <c r="K14" s="90"/>
      <c r="L14" s="90">
        <v>4132</v>
      </c>
      <c r="M14" s="92">
        <f>13/20</f>
        <v>0.65</v>
      </c>
      <c r="N14" s="93">
        <f>'BM Stock Tekrit'!$L14*'BM Stock Tekrit'!$M14</f>
        <v>2685.8</v>
      </c>
      <c r="O14" s="80"/>
      <c r="P14" s="151"/>
      <c r="Q14" s="19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hidden="1" customHeight="1" x14ac:dyDescent="0.3">
      <c r="A15" s="5"/>
      <c r="B15" s="5"/>
      <c r="C15" s="98"/>
      <c r="D15" s="98"/>
      <c r="E15" s="98"/>
      <c r="F15" s="5"/>
      <c r="G15" s="5"/>
      <c r="H15" s="91">
        <v>46028</v>
      </c>
      <c r="I15" s="90">
        <f>500+449+141+13</f>
        <v>1103</v>
      </c>
      <c r="J15" s="90">
        <f>-500-449-141-13</f>
        <v>-1103</v>
      </c>
      <c r="K15" s="90"/>
      <c r="L15" s="90"/>
      <c r="M15" s="92"/>
      <c r="N15" s="93"/>
      <c r="O15" s="80" t="s">
        <v>187</v>
      </c>
      <c r="P15" s="151"/>
      <c r="Q15" s="19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hidden="1" customHeight="1" x14ac:dyDescent="0.3">
      <c r="A16" s="5"/>
      <c r="B16" s="5"/>
      <c r="C16" s="5"/>
      <c r="D16" s="5"/>
      <c r="E16" s="5"/>
      <c r="F16" s="5"/>
      <c r="G16" s="5"/>
      <c r="H16" s="91">
        <v>46032</v>
      </c>
      <c r="I16" s="90">
        <v>480</v>
      </c>
      <c r="J16" s="90"/>
      <c r="K16" s="90"/>
      <c r="L16" s="90"/>
      <c r="M16" s="92">
        <v>0.68510000000000004</v>
      </c>
      <c r="N16" s="80"/>
      <c r="O16" s="80"/>
      <c r="P16" s="93">
        <f>'BM Stock Tekrit'!$I16*'BM Stock Tekrit'!$M16</f>
        <v>328.84800000000001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hidden="1" customHeight="1" x14ac:dyDescent="0.3">
      <c r="A17" s="5"/>
      <c r="B17" s="5"/>
      <c r="C17" s="5"/>
      <c r="D17" s="5"/>
      <c r="E17" s="5"/>
      <c r="F17" s="5"/>
      <c r="G17" s="5"/>
      <c r="H17" s="91">
        <v>46032</v>
      </c>
      <c r="I17" s="69">
        <v>43</v>
      </c>
      <c r="J17" s="90"/>
      <c r="K17" s="90"/>
      <c r="L17" s="90"/>
      <c r="M17" s="92">
        <v>0</v>
      </c>
      <c r="N17" s="93"/>
      <c r="O17" s="80" t="s">
        <v>188</v>
      </c>
      <c r="P17" s="151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hidden="1" customHeight="1" x14ac:dyDescent="0.3">
      <c r="A18" s="5"/>
      <c r="B18" s="5"/>
      <c r="C18" s="5"/>
      <c r="D18" s="5"/>
      <c r="E18" s="5"/>
      <c r="F18" s="5"/>
      <c r="G18" s="5"/>
      <c r="H18" s="91">
        <v>46035</v>
      </c>
      <c r="I18" s="90">
        <v>2968</v>
      </c>
      <c r="J18" s="90">
        <v>0</v>
      </c>
      <c r="K18" s="90"/>
      <c r="L18" s="90"/>
      <c r="M18" s="92">
        <f>13.3/20</f>
        <v>0.66500000000000004</v>
      </c>
      <c r="N18" s="93">
        <f>'BM Stock Tekrit'!$I18*'BM Stock Tekrit'!$M18</f>
        <v>1973.72</v>
      </c>
      <c r="O18" s="80"/>
      <c r="P18" s="151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hidden="1" customHeight="1" x14ac:dyDescent="0.3">
      <c r="A19" s="5"/>
      <c r="B19" s="5"/>
      <c r="C19" s="5"/>
      <c r="D19" s="5"/>
      <c r="E19" s="5"/>
      <c r="F19" s="5"/>
      <c r="G19" s="5"/>
      <c r="H19" s="91">
        <v>46036</v>
      </c>
      <c r="I19" s="90"/>
      <c r="J19" s="90"/>
      <c r="K19" s="90"/>
      <c r="L19" s="90">
        <v>900</v>
      </c>
      <c r="M19" s="92"/>
      <c r="N19" s="93"/>
      <c r="O19" s="80" t="s">
        <v>189</v>
      </c>
      <c r="P19" s="151">
        <f>'BM Stock Tekrit'!$L19*13/20</f>
        <v>585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hidden="1" customHeight="1" x14ac:dyDescent="0.3">
      <c r="A20" s="5"/>
      <c r="B20" s="5"/>
      <c r="C20" s="5"/>
      <c r="D20" s="5"/>
      <c r="E20" s="5"/>
      <c r="F20" s="5"/>
      <c r="G20" s="5"/>
      <c r="H20" s="91">
        <v>46038</v>
      </c>
      <c r="I20" s="90"/>
      <c r="J20" s="90">
        <v>2964</v>
      </c>
      <c r="K20" s="90"/>
      <c r="L20" s="80"/>
      <c r="M20" s="92">
        <f>13.4/20</f>
        <v>0.67</v>
      </c>
      <c r="N20" s="93">
        <f>'BM Stock Tekrit'!$J20*'BM Stock Tekrit'!$M20</f>
        <v>1985.88</v>
      </c>
      <c r="O20" s="80"/>
      <c r="P20" s="151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hidden="1" customHeight="1" x14ac:dyDescent="0.3">
      <c r="A21" s="5"/>
      <c r="B21" s="5"/>
      <c r="C21" s="5"/>
      <c r="D21" s="5"/>
      <c r="E21" s="5"/>
      <c r="F21" s="5"/>
      <c r="G21" s="5"/>
      <c r="H21" s="91">
        <v>46042</v>
      </c>
      <c r="I21" s="90">
        <v>4035</v>
      </c>
      <c r="J21" s="90"/>
      <c r="K21" s="90"/>
      <c r="L21" s="90"/>
      <c r="M21" s="92">
        <f>13.5/20</f>
        <v>0.67500000000000004</v>
      </c>
      <c r="N21" s="93">
        <f>'BM Stock Tekrit'!$I21*'BM Stock Tekrit'!$M21</f>
        <v>2723.625</v>
      </c>
      <c r="O21" s="80"/>
      <c r="P21" s="151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hidden="1" customHeight="1" x14ac:dyDescent="0.3">
      <c r="A22" s="5"/>
      <c r="B22" s="5"/>
      <c r="C22" s="5"/>
      <c r="D22" s="5"/>
      <c r="E22" s="5"/>
      <c r="F22" s="5"/>
      <c r="G22" s="5"/>
      <c r="H22" s="91">
        <v>46043</v>
      </c>
      <c r="I22" s="90"/>
      <c r="J22" s="90"/>
      <c r="K22" s="90"/>
      <c r="L22" s="90">
        <v>1050</v>
      </c>
      <c r="M22" s="92"/>
      <c r="N22" s="93"/>
      <c r="O22" s="80" t="s">
        <v>189</v>
      </c>
      <c r="P22" s="151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hidden="1" customHeight="1" x14ac:dyDescent="0.3">
      <c r="A23" s="5"/>
      <c r="B23" s="5"/>
      <c r="C23" s="5"/>
      <c r="D23" s="5"/>
      <c r="E23" s="5"/>
      <c r="F23" s="5"/>
      <c r="G23" s="5"/>
      <c r="H23" s="91">
        <v>46044</v>
      </c>
      <c r="I23" s="90"/>
      <c r="J23" s="90"/>
      <c r="K23" s="90"/>
      <c r="L23" s="90">
        <v>500</v>
      </c>
      <c r="M23" s="92"/>
      <c r="N23" s="93"/>
      <c r="O23" s="80" t="s">
        <v>190</v>
      </c>
      <c r="P23" s="151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hidden="1" customHeight="1" x14ac:dyDescent="0.3">
      <c r="A24" s="5"/>
      <c r="B24" s="5"/>
      <c r="C24" s="5"/>
      <c r="D24" s="5"/>
      <c r="E24" s="5"/>
      <c r="F24" s="5"/>
      <c r="G24" s="5"/>
      <c r="H24" s="91">
        <v>46045</v>
      </c>
      <c r="I24" s="90"/>
      <c r="J24" s="90"/>
      <c r="K24" s="90"/>
      <c r="L24" s="90">
        <v>3071</v>
      </c>
      <c r="M24" s="92">
        <f>13.35/20</f>
        <v>0.66749999999999998</v>
      </c>
      <c r="N24" s="93">
        <f>'BM Stock Tekrit'!$M24*'BM Stock Tekrit'!$L24</f>
        <v>2049.8924999999999</v>
      </c>
      <c r="O24" s="80"/>
      <c r="P24" s="151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hidden="1" customHeight="1" x14ac:dyDescent="0.3">
      <c r="A25" s="5"/>
      <c r="B25" s="5"/>
      <c r="C25" s="5"/>
      <c r="D25" s="5"/>
      <c r="E25" s="5"/>
      <c r="F25" s="5"/>
      <c r="G25" s="5"/>
      <c r="H25" s="91">
        <v>46048</v>
      </c>
      <c r="I25" s="90"/>
      <c r="J25" s="90"/>
      <c r="K25" s="90"/>
      <c r="L25" s="90">
        <v>4111</v>
      </c>
      <c r="M25" s="92">
        <f>13.3/20</f>
        <v>0.66500000000000004</v>
      </c>
      <c r="N25" s="93">
        <f>'BM Stock Tekrit'!$L25*'BM Stock Tekrit'!$M25</f>
        <v>2733.8150000000001</v>
      </c>
      <c r="O25" s="80"/>
      <c r="P25" s="151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hidden="1" customHeight="1" x14ac:dyDescent="0.3">
      <c r="A26" s="5"/>
      <c r="B26" s="5"/>
      <c r="C26" s="5"/>
      <c r="D26" s="5"/>
      <c r="E26" s="5"/>
      <c r="F26" s="5"/>
      <c r="G26" s="5"/>
      <c r="H26" s="91">
        <v>46050</v>
      </c>
      <c r="I26" s="90"/>
      <c r="J26" s="90"/>
      <c r="K26" s="90"/>
      <c r="L26" s="90">
        <f>3013+3083+4112+2973+2958</f>
        <v>16139</v>
      </c>
      <c r="M26" s="92">
        <f>13.47/20</f>
        <v>0.67349999999999999</v>
      </c>
      <c r="N26" s="93">
        <f>'BM Stock Tekrit'!$M26*'BM Stock Tekrit'!$L26</f>
        <v>10869.6165</v>
      </c>
      <c r="O26" s="80"/>
      <c r="P26" s="151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hidden="1" customHeight="1" x14ac:dyDescent="0.3">
      <c r="A27" s="5"/>
      <c r="B27" s="5"/>
      <c r="C27" s="5"/>
      <c r="D27" s="5"/>
      <c r="E27" s="5"/>
      <c r="F27" s="5"/>
      <c r="G27" s="5"/>
      <c r="H27" s="91">
        <v>46050</v>
      </c>
      <c r="I27" s="90"/>
      <c r="J27" s="90">
        <v>4191</v>
      </c>
      <c r="K27" s="90"/>
      <c r="L27" s="90"/>
      <c r="M27" s="92">
        <f>13.7/20</f>
        <v>0.68499999999999994</v>
      </c>
      <c r="N27" s="93">
        <f>'BM Stock Tekrit'!$J27*'BM Stock Tekrit'!$M27</f>
        <v>2870.8349999999996</v>
      </c>
      <c r="O27" s="80"/>
      <c r="P27" s="151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hidden="1" customHeight="1" x14ac:dyDescent="0.3">
      <c r="A28" s="5"/>
      <c r="B28" s="5"/>
      <c r="C28" s="5"/>
      <c r="D28" s="5"/>
      <c r="E28" s="5"/>
      <c r="F28" s="5"/>
      <c r="G28" s="5"/>
      <c r="H28" s="91">
        <v>46052</v>
      </c>
      <c r="I28" s="90">
        <v>4126</v>
      </c>
      <c r="J28" s="90"/>
      <c r="K28" s="90"/>
      <c r="L28" s="90"/>
      <c r="M28" s="92">
        <f>13.85/20</f>
        <v>0.6925</v>
      </c>
      <c r="N28" s="93">
        <f>Table_15[[#This Row],[Benzine 1]]*Table_15[[#This Row],[Price]]</f>
        <v>2857.2550000000001</v>
      </c>
      <c r="O28" s="80"/>
      <c r="P28" s="151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hidden="1" customHeight="1" x14ac:dyDescent="0.3">
      <c r="A29" s="5"/>
      <c r="B29" s="5"/>
      <c r="C29" s="5"/>
      <c r="D29" s="5"/>
      <c r="E29" s="5"/>
      <c r="F29" s="5"/>
      <c r="G29" s="5"/>
      <c r="H29" s="91">
        <v>46063</v>
      </c>
      <c r="I29" s="90">
        <v>3010</v>
      </c>
      <c r="J29" s="90">
        <v>3080</v>
      </c>
      <c r="K29" s="90"/>
      <c r="L29" s="90"/>
      <c r="M29" s="92">
        <f>13.98/20</f>
        <v>0.69900000000000007</v>
      </c>
      <c r="N29" s="93">
        <f>Table_15[[#This Row],[Price]]*(Table_15[[#This Row],[Benzine 1]]+Table_15[[#This Row],[Benzine 2]])</f>
        <v>4256.9100000000008</v>
      </c>
      <c r="O29" s="80"/>
      <c r="P29" s="151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hidden="1" customHeight="1" x14ac:dyDescent="0.3">
      <c r="A30" s="5"/>
      <c r="B30" s="5"/>
      <c r="C30" s="5"/>
      <c r="D30" s="5"/>
      <c r="E30" s="5"/>
      <c r="F30" s="5"/>
      <c r="G30" s="5"/>
      <c r="H30" s="91">
        <v>46075</v>
      </c>
      <c r="I30" s="90"/>
      <c r="J30" s="90">
        <v>700</v>
      </c>
      <c r="K30" s="90"/>
      <c r="L30" s="90"/>
      <c r="M30" s="92">
        <f>0.9994</f>
        <v>0.99939999999999996</v>
      </c>
      <c r="N30" s="93">
        <v>0</v>
      </c>
      <c r="O30" s="80" t="s">
        <v>190</v>
      </c>
      <c r="P30" s="151">
        <f>Table_15[[#This Row],[Price]]*Table_15[[#This Row],[Benzine 2]]</f>
        <v>699.57999999999993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hidden="1" customHeight="1" x14ac:dyDescent="0.3">
      <c r="A31" s="5"/>
      <c r="B31" s="5"/>
      <c r="C31" s="5"/>
      <c r="D31" s="5"/>
      <c r="E31" s="5"/>
      <c r="F31" s="5"/>
      <c r="G31" s="5"/>
      <c r="H31" s="91">
        <v>46076</v>
      </c>
      <c r="I31" s="90">
        <v>4662</v>
      </c>
      <c r="J31" s="90"/>
      <c r="K31" s="90"/>
      <c r="L31" s="90"/>
      <c r="M31" s="92">
        <f>17.99/20</f>
        <v>0.89949999999999997</v>
      </c>
      <c r="N31" s="93">
        <f>Table_15[[#This Row],[Benzine 1]]*Table_15[[#This Row],[Price]]</f>
        <v>4193.4690000000001</v>
      </c>
      <c r="O31" s="80"/>
      <c r="P31" s="151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hidden="1" customHeight="1" x14ac:dyDescent="0.3">
      <c r="A32" s="5"/>
      <c r="B32" s="5"/>
      <c r="C32" s="5"/>
      <c r="D32" s="5"/>
      <c r="E32" s="5"/>
      <c r="F32" s="5"/>
      <c r="G32" s="5"/>
      <c r="H32" s="91">
        <v>46080</v>
      </c>
      <c r="I32" s="90"/>
      <c r="J32" s="90">
        <v>4124</v>
      </c>
      <c r="K32" s="90"/>
      <c r="L32" s="90"/>
      <c r="M32" s="92">
        <f>18.23/20</f>
        <v>0.91149999999999998</v>
      </c>
      <c r="N32" s="93">
        <f>Table_15[[#This Row],[Benzine 2]]*Table_15[[#This Row],[Price]]</f>
        <v>3759.0259999999998</v>
      </c>
      <c r="O32" s="127"/>
      <c r="P32" s="250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hidden="1" customHeight="1" x14ac:dyDescent="0.3">
      <c r="A33" s="5"/>
      <c r="B33" s="5"/>
      <c r="C33" s="5"/>
      <c r="D33" s="5"/>
      <c r="E33" s="5"/>
      <c r="F33" s="5"/>
      <c r="G33" s="5"/>
      <c r="H33" s="91">
        <v>46084</v>
      </c>
      <c r="I33" s="90">
        <v>4104</v>
      </c>
      <c r="J33" s="90"/>
      <c r="K33" s="90"/>
      <c r="L33" s="90"/>
      <c r="M33" s="92">
        <f>18.35/20</f>
        <v>0.91750000000000009</v>
      </c>
      <c r="N33" s="249">
        <f>Table_15[[#This Row],[Price]]*Table_15[[#This Row],[Benzine 1]]</f>
        <v>3765.4200000000005</v>
      </c>
      <c r="O33" s="201"/>
      <c r="P33" s="251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hidden="1" customHeight="1" x14ac:dyDescent="0.3">
      <c r="A34" s="5"/>
      <c r="B34" s="5"/>
      <c r="C34" s="5"/>
      <c r="D34" s="5"/>
      <c r="E34" s="5"/>
      <c r="F34" s="5"/>
      <c r="G34" s="5"/>
      <c r="H34" s="91">
        <v>46090</v>
      </c>
      <c r="J34" s="90">
        <v>3016</v>
      </c>
      <c r="K34" s="90"/>
      <c r="L34" s="90"/>
      <c r="M34" s="92">
        <f>19.4/20</f>
        <v>0.97</v>
      </c>
      <c r="N34" s="249">
        <f>Table_15[[#This Row],[Price]]*Table_15[[#This Row],[Benzine 2]]</f>
        <v>2925.52</v>
      </c>
      <c r="O34" s="201"/>
      <c r="P34" s="251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hidden="1" customHeight="1" x14ac:dyDescent="0.3">
      <c r="A35" s="5"/>
      <c r="B35" s="5"/>
      <c r="C35" s="5"/>
      <c r="D35" s="5"/>
      <c r="E35" s="5"/>
      <c r="F35" s="5"/>
      <c r="G35" s="5"/>
      <c r="H35" s="91">
        <v>46093</v>
      </c>
      <c r="I35" s="90"/>
      <c r="J35" s="90"/>
      <c r="K35" s="90"/>
      <c r="L35" s="90">
        <v>13800</v>
      </c>
      <c r="M35" s="92">
        <f>19.64/20</f>
        <v>0.98199999999999998</v>
      </c>
      <c r="N35" s="249">
        <f>Table_15[[#This Row],[Mezout]]*Table_15[[#This Row],[Price]]</f>
        <v>13551.6</v>
      </c>
      <c r="O35" s="201"/>
      <c r="P35" s="251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hidden="1" customHeight="1" x14ac:dyDescent="0.3">
      <c r="A36" s="5"/>
      <c r="B36" s="5"/>
      <c r="C36" s="5"/>
      <c r="D36" s="5"/>
      <c r="E36" s="5"/>
      <c r="F36" s="5"/>
      <c r="G36" s="5"/>
      <c r="H36" s="91">
        <v>46094</v>
      </c>
      <c r="I36" s="90"/>
      <c r="J36" s="90"/>
      <c r="K36" s="90"/>
      <c r="L36" s="90"/>
      <c r="M36" s="92"/>
      <c r="N36" s="249"/>
      <c r="O36" s="201"/>
      <c r="P36" s="251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hidden="1" customHeight="1" x14ac:dyDescent="0.3">
      <c r="A37" s="5"/>
      <c r="B37" s="5"/>
      <c r="C37" s="5"/>
      <c r="D37" s="5"/>
      <c r="E37" s="5"/>
      <c r="F37" s="5"/>
      <c r="G37" s="5"/>
      <c r="H37" s="91">
        <v>46094</v>
      </c>
      <c r="I37" s="90">
        <v>3015</v>
      </c>
      <c r="J37" s="90"/>
      <c r="K37" s="90"/>
      <c r="L37" s="90"/>
      <c r="M37" s="92">
        <f>21.75/20</f>
        <v>1.0874999999999999</v>
      </c>
      <c r="N37" s="249">
        <f>Table_15[[#This Row],[Benzine 1]]*Table_15[[#This Row],[Price]]</f>
        <v>3278.8124999999995</v>
      </c>
      <c r="O37" s="201"/>
      <c r="P37" s="251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hidden="1" customHeight="1" x14ac:dyDescent="0.3">
      <c r="A38" s="5"/>
      <c r="B38" s="5"/>
      <c r="C38" s="5"/>
      <c r="D38" s="5"/>
      <c r="E38" s="5"/>
      <c r="F38" s="5"/>
      <c r="G38" s="5"/>
      <c r="H38" s="91">
        <v>46097</v>
      </c>
      <c r="I38" s="90"/>
      <c r="J38" s="90">
        <v>4115</v>
      </c>
      <c r="K38" s="90"/>
      <c r="L38" s="90"/>
      <c r="M38" s="92">
        <f>21.75/20</f>
        <v>1.0874999999999999</v>
      </c>
      <c r="N38" s="249">
        <f>Table_15[[#This Row],[Benzine 2]]*Table_15[[#This Row],[Price]]</f>
        <v>4475.0625</v>
      </c>
      <c r="O38" s="201"/>
      <c r="P38" s="251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hidden="1" customHeight="1" x14ac:dyDescent="0.3">
      <c r="A39" s="5"/>
      <c r="B39" s="5"/>
      <c r="C39" s="5"/>
      <c r="D39" s="5"/>
      <c r="E39" s="5"/>
      <c r="F39" s="5"/>
      <c r="G39" s="5"/>
      <c r="H39" s="91">
        <v>46102</v>
      </c>
      <c r="I39" s="90">
        <v>3012</v>
      </c>
      <c r="J39" s="90">
        <v>3082</v>
      </c>
      <c r="K39" s="90"/>
      <c r="L39" s="90"/>
      <c r="M39" s="92">
        <f>23.56/20</f>
        <v>1.1779999999999999</v>
      </c>
      <c r="N39" s="249">
        <f>(Table_15[[#This Row],[Benzine 1]]+Table_15[[#This Row],[Benzine 2]])*Table_15[[#This Row],[Price]]</f>
        <v>7178.732</v>
      </c>
      <c r="O39" s="201"/>
      <c r="P39" s="251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hidden="1" customHeight="1" x14ac:dyDescent="0.3">
      <c r="A40" s="5"/>
      <c r="B40" s="5"/>
      <c r="C40" s="5"/>
      <c r="D40" s="5"/>
      <c r="E40" s="5"/>
      <c r="F40" s="5"/>
      <c r="G40" s="5"/>
      <c r="H40" s="91">
        <v>46108</v>
      </c>
      <c r="I40" s="90">
        <v>4125</v>
      </c>
      <c r="J40" s="90"/>
      <c r="K40" s="90"/>
      <c r="L40" s="90"/>
      <c r="M40" s="92">
        <f>24.4/20</f>
        <v>1.22</v>
      </c>
      <c r="N40" s="249">
        <f>Table_15[[#This Row],[Price]]*Table_15[[#This Row],[Benzine 1]]</f>
        <v>5032.5</v>
      </c>
      <c r="O40" s="201"/>
      <c r="P40" s="251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hidden="1" customHeight="1" x14ac:dyDescent="0.3">
      <c r="A41" s="5"/>
      <c r="B41" s="5"/>
      <c r="C41" s="5"/>
      <c r="D41" s="5"/>
      <c r="E41" s="5"/>
      <c r="F41" s="5"/>
      <c r="G41" s="5"/>
      <c r="H41" s="91">
        <v>46108</v>
      </c>
      <c r="I41" s="90"/>
      <c r="J41" s="90"/>
      <c r="K41" s="90"/>
      <c r="L41" s="90">
        <v>4904</v>
      </c>
      <c r="M41" s="92">
        <f>24.39/20</f>
        <v>1.2195</v>
      </c>
      <c r="N41" s="249">
        <f>Table_15[[#This Row],[Mezout]]*Table_15[[#This Row],[Price]]</f>
        <v>5980.4279999999999</v>
      </c>
      <c r="O41" s="201"/>
      <c r="P41" s="251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hidden="1" customHeight="1" x14ac:dyDescent="0.3">
      <c r="A42" s="5"/>
      <c r="B42" s="5"/>
      <c r="C42" s="5"/>
      <c r="D42" s="5"/>
      <c r="E42" s="5"/>
      <c r="F42" s="5"/>
      <c r="G42" s="5"/>
      <c r="H42" s="91">
        <v>46120</v>
      </c>
      <c r="I42" s="90">
        <v>2000</v>
      </c>
      <c r="J42" s="90">
        <v>1000</v>
      </c>
      <c r="K42" s="90"/>
      <c r="L42" s="90"/>
      <c r="M42" s="92">
        <v>0</v>
      </c>
      <c r="N42" s="249">
        <v>0</v>
      </c>
      <c r="O42" s="201" t="s">
        <v>223</v>
      </c>
      <c r="P42" s="251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hidden="1" customHeight="1" x14ac:dyDescent="0.3">
      <c r="A43" s="5"/>
      <c r="B43" s="5"/>
      <c r="C43" s="5"/>
      <c r="D43" s="5"/>
      <c r="E43" s="5"/>
      <c r="F43" s="5"/>
      <c r="G43" s="5"/>
      <c r="H43" s="91">
        <v>46122</v>
      </c>
      <c r="I43" s="90">
        <v>500</v>
      </c>
      <c r="J43" s="90">
        <v>1000</v>
      </c>
      <c r="K43" s="90"/>
      <c r="L43" s="90"/>
      <c r="M43" s="92">
        <v>0</v>
      </c>
      <c r="N43" s="249">
        <v>0</v>
      </c>
      <c r="O43" s="201" t="s">
        <v>223</v>
      </c>
      <c r="P43" s="251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hidden="1" customHeight="1" x14ac:dyDescent="0.3">
      <c r="A44" s="5"/>
      <c r="B44" s="5"/>
      <c r="C44" s="5"/>
      <c r="D44" s="5"/>
      <c r="E44" s="5"/>
      <c r="F44" s="5"/>
      <c r="G44" s="5"/>
      <c r="H44" s="91">
        <v>46122</v>
      </c>
      <c r="I44" s="90"/>
      <c r="J44" s="90"/>
      <c r="K44" s="90"/>
      <c r="L44" s="90"/>
      <c r="M44" s="92"/>
      <c r="N44" s="249"/>
      <c r="O44" s="201"/>
      <c r="P44" s="251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hidden="1" customHeight="1" x14ac:dyDescent="0.3">
      <c r="A45" s="5"/>
      <c r="B45" s="5"/>
      <c r="C45" s="5"/>
      <c r="D45" s="5"/>
      <c r="E45" s="5"/>
      <c r="F45" s="5"/>
      <c r="G45" s="5"/>
      <c r="H45" s="91">
        <v>46127</v>
      </c>
      <c r="I45" s="90"/>
      <c r="J45" s="90">
        <v>2952</v>
      </c>
      <c r="K45" s="90"/>
      <c r="L45" s="90"/>
      <c r="M45" s="92">
        <f>24.6/20</f>
        <v>1.23</v>
      </c>
      <c r="N45" s="249">
        <f>Table_15[[#This Row],[Price]]*Table_15[[#This Row],[Benzine 2]]</f>
        <v>3630.96</v>
      </c>
      <c r="O45" s="201"/>
      <c r="P45" s="251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hidden="1" customHeight="1" x14ac:dyDescent="0.3">
      <c r="A46" s="5"/>
      <c r="B46" s="5"/>
      <c r="C46" s="5"/>
      <c r="D46" s="5"/>
      <c r="E46" s="5"/>
      <c r="F46" s="5"/>
      <c r="G46" s="5"/>
      <c r="H46" s="91">
        <v>46128</v>
      </c>
      <c r="I46" s="90">
        <v>995</v>
      </c>
      <c r="J46" s="90"/>
      <c r="K46" s="90"/>
      <c r="L46" s="90"/>
      <c r="M46" s="92"/>
      <c r="N46" s="249">
        <v>0</v>
      </c>
      <c r="O46" s="201" t="s">
        <v>223</v>
      </c>
      <c r="P46" s="251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hidden="1" customHeight="1" x14ac:dyDescent="0.3">
      <c r="A47" s="5"/>
      <c r="B47" s="5"/>
      <c r="C47" s="5"/>
      <c r="D47" s="5"/>
      <c r="E47" s="5"/>
      <c r="F47" s="5"/>
      <c r="G47" s="5"/>
      <c r="H47" s="91">
        <v>46134</v>
      </c>
      <c r="I47" s="90">
        <v>3005</v>
      </c>
      <c r="J47" s="90"/>
      <c r="K47" s="90"/>
      <c r="L47" s="90"/>
      <c r="M47" s="92">
        <f>24.56/20</f>
        <v>1.228</v>
      </c>
      <c r="N47" s="249">
        <f>Table_15[[#This Row],[Price]]*Table_15[[#This Row],[Benzine 1]]</f>
        <v>3690.14</v>
      </c>
      <c r="O47" s="201"/>
      <c r="P47" s="251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hidden="1" customHeight="1" x14ac:dyDescent="0.3">
      <c r="A48" s="5"/>
      <c r="B48" s="5"/>
      <c r="C48" s="5"/>
      <c r="D48" s="5"/>
      <c r="E48" s="5"/>
      <c r="F48" s="5"/>
      <c r="G48" s="5"/>
      <c r="H48" s="91">
        <v>46139</v>
      </c>
      <c r="I48" s="90"/>
      <c r="J48" s="90">
        <v>4163</v>
      </c>
      <c r="K48" s="90"/>
      <c r="L48" s="90"/>
      <c r="M48" s="92">
        <v>0</v>
      </c>
      <c r="N48" s="249">
        <v>3934</v>
      </c>
      <c r="O48" s="201" t="s">
        <v>228</v>
      </c>
      <c r="P48" s="251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hidden="1" customHeight="1" x14ac:dyDescent="0.3">
      <c r="A49" s="5"/>
      <c r="B49" s="5"/>
      <c r="C49" s="5"/>
      <c r="D49" s="5"/>
      <c r="E49" s="5"/>
      <c r="F49" s="5"/>
      <c r="G49" s="5"/>
      <c r="H49" s="91">
        <v>46152</v>
      </c>
      <c r="I49" s="90"/>
      <c r="J49" s="90">
        <v>1000</v>
      </c>
      <c r="K49" s="90"/>
      <c r="L49" s="90">
        <v>560</v>
      </c>
      <c r="M49" s="92">
        <v>0</v>
      </c>
      <c r="N49" s="249">
        <v>0</v>
      </c>
      <c r="O49" s="201" t="s">
        <v>223</v>
      </c>
      <c r="P49" s="251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hidden="1" customHeight="1" x14ac:dyDescent="0.3">
      <c r="A50" s="5"/>
      <c r="B50" s="5"/>
      <c r="C50" s="5"/>
      <c r="D50" s="5"/>
      <c r="E50" s="5"/>
      <c r="F50" s="5"/>
      <c r="G50" s="5"/>
      <c r="H50" s="91">
        <v>46153</v>
      </c>
      <c r="I50" s="90">
        <v>3000</v>
      </c>
      <c r="J50" s="90">
        <v>3070</v>
      </c>
      <c r="K50" s="90"/>
      <c r="L50" s="90"/>
      <c r="M50" s="225">
        <f>25.56/20</f>
        <v>1.278</v>
      </c>
      <c r="N50" s="249">
        <f>Table_15[[#This Row],[Price]]*(Table_15[[#This Row],[Benzine 1]]+Table_15[[#This Row],[Benzine 2]])</f>
        <v>7757.46</v>
      </c>
      <c r="O50" s="201"/>
      <c r="P50" s="251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hidden="1" customHeight="1" x14ac:dyDescent="0.3">
      <c r="A51" s="5"/>
      <c r="B51" s="5"/>
      <c r="C51" s="5"/>
      <c r="D51" s="5"/>
      <c r="E51" s="5"/>
      <c r="F51" s="5"/>
      <c r="G51" s="5"/>
      <c r="H51" s="91">
        <v>46155</v>
      </c>
      <c r="I51" s="90"/>
      <c r="J51" s="90"/>
      <c r="K51" s="90"/>
      <c r="L51" s="90">
        <v>3070</v>
      </c>
      <c r="M51" s="92">
        <f>24.05/20</f>
        <v>1.2025000000000001</v>
      </c>
      <c r="N51" s="249">
        <f>Table_15[[#This Row],[Mezout]]*Table_15[[#This Row],[Price]]</f>
        <v>3691.6750000000002</v>
      </c>
      <c r="O51" s="201"/>
      <c r="P51" s="251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hidden="1" customHeight="1" x14ac:dyDescent="0.3">
      <c r="A52" s="5"/>
      <c r="B52" s="5"/>
      <c r="C52" s="5"/>
      <c r="D52" s="5"/>
      <c r="E52" s="5"/>
      <c r="F52" s="5"/>
      <c r="G52" s="5"/>
      <c r="H52" s="91">
        <v>46160</v>
      </c>
      <c r="I52" s="90">
        <v>3061</v>
      </c>
      <c r="J52" s="90"/>
      <c r="K52" s="90"/>
      <c r="L52" s="90"/>
      <c r="M52" s="225">
        <f>26.36/20</f>
        <v>1.3180000000000001</v>
      </c>
      <c r="N52" s="249">
        <f>Table_15[[#This Row],[Benzine 1]]*Table_15[[#This Row],[Price]]</f>
        <v>4034.3980000000001</v>
      </c>
      <c r="O52" s="201"/>
      <c r="P52" s="251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hidden="1" customHeight="1" x14ac:dyDescent="0.3">
      <c r="A53" s="5"/>
      <c r="B53" s="5"/>
      <c r="C53" s="5"/>
      <c r="D53" s="5"/>
      <c r="E53" s="5"/>
      <c r="F53" s="5"/>
      <c r="G53" s="5"/>
      <c r="H53" s="91">
        <v>46167</v>
      </c>
      <c r="I53" s="90"/>
      <c r="J53" s="90">
        <v>2956</v>
      </c>
      <c r="K53" s="90"/>
      <c r="L53" s="90"/>
      <c r="M53" s="92">
        <f>26.82/20</f>
        <v>1.341</v>
      </c>
      <c r="N53" s="249">
        <f>Table_15[[#This Row],[Benzine 2]]*Table_15[[#This Row],[Price]]</f>
        <v>3963.9960000000001</v>
      </c>
      <c r="O53" s="201"/>
      <c r="P53" s="251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hidden="1" customHeight="1" x14ac:dyDescent="0.3">
      <c r="A54" s="5"/>
      <c r="B54" s="5"/>
      <c r="C54" s="5"/>
      <c r="D54" s="5"/>
      <c r="E54" s="5"/>
      <c r="F54" s="5"/>
      <c r="G54" s="5"/>
      <c r="H54" s="91">
        <v>46171</v>
      </c>
      <c r="I54" s="90">
        <v>2990</v>
      </c>
      <c r="J54" s="90"/>
      <c r="K54" s="90"/>
      <c r="L54" s="90"/>
      <c r="M54" s="92">
        <f>26.8/20</f>
        <v>1.34</v>
      </c>
      <c r="N54" s="249">
        <f>Table_15[[#This Row],[Benzine 1]]*Table_15[[#This Row],[Price]]</f>
        <v>4006.6000000000004</v>
      </c>
      <c r="O54" s="201"/>
      <c r="P54" s="251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hidden="1" customHeight="1" x14ac:dyDescent="0.3">
      <c r="A55" s="5"/>
      <c r="B55" s="5"/>
      <c r="C55" s="5"/>
      <c r="D55" s="5"/>
      <c r="E55" s="5"/>
      <c r="F55" s="5"/>
      <c r="G55" s="5"/>
      <c r="H55" s="91">
        <v>46171</v>
      </c>
      <c r="I55" s="90"/>
      <c r="J55" s="90"/>
      <c r="K55" s="90"/>
      <c r="L55" s="90">
        <v>750</v>
      </c>
      <c r="M55" s="201">
        <v>0</v>
      </c>
      <c r="N55" s="249">
        <v>0</v>
      </c>
      <c r="O55" s="201" t="s">
        <v>223</v>
      </c>
      <c r="P55" s="251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hidden="1" customHeight="1" x14ac:dyDescent="0.3">
      <c r="A56" s="5"/>
      <c r="B56" s="5"/>
      <c r="C56" s="5"/>
      <c r="D56" s="5"/>
      <c r="E56" s="5"/>
      <c r="F56" s="5"/>
      <c r="G56" s="5"/>
      <c r="H56" s="91">
        <v>46176</v>
      </c>
      <c r="I56" s="90">
        <f>1585+105</f>
        <v>1690</v>
      </c>
      <c r="J56" s="90">
        <f>2500-105</f>
        <v>2395</v>
      </c>
      <c r="K56" s="90"/>
      <c r="L56" s="90"/>
      <c r="M56" s="92">
        <f>26.87/20</f>
        <v>1.3435000000000001</v>
      </c>
      <c r="N56" s="249">
        <f>(Table_15[[#This Row],[Benzine 1]]+Table_15[[#This Row],[Benzine 2]])*Table_15[[#This Row],[Price]]</f>
        <v>5488.1975000000002</v>
      </c>
      <c r="O56" s="201"/>
      <c r="P56" s="251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hidden="1" customHeight="1" x14ac:dyDescent="0.3">
      <c r="A57" s="5"/>
      <c r="B57" s="5"/>
      <c r="C57" s="5"/>
      <c r="D57" s="5"/>
      <c r="E57" s="5"/>
      <c r="F57" s="5"/>
      <c r="G57" s="5"/>
      <c r="H57" s="91">
        <v>46181</v>
      </c>
      <c r="I57" s="90"/>
      <c r="J57" s="90"/>
      <c r="K57" s="90"/>
      <c r="L57" s="90">
        <v>800</v>
      </c>
      <c r="M57" s="92">
        <f>22.27/20</f>
        <v>1.1134999999999999</v>
      </c>
      <c r="N57" s="249">
        <f>Table_15[[#This Row],[Mezout]]*Table_15[[#This Row],[Price]]</f>
        <v>890.8</v>
      </c>
      <c r="O57" s="201"/>
      <c r="P57" s="251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hidden="1" customHeight="1" x14ac:dyDescent="0.3">
      <c r="A58" s="5"/>
      <c r="B58" s="5"/>
      <c r="C58" s="5"/>
      <c r="D58" s="5"/>
      <c r="E58" s="5"/>
      <c r="F58" s="5"/>
      <c r="G58" s="5"/>
      <c r="H58" s="91">
        <v>46182</v>
      </c>
      <c r="I58" s="90">
        <v>3052</v>
      </c>
      <c r="J58" s="90"/>
      <c r="K58" s="90"/>
      <c r="L58" s="90"/>
      <c r="M58" s="92">
        <f>25.3/20</f>
        <v>1.2650000000000001</v>
      </c>
      <c r="N58" s="249">
        <f>Table_15[[#This Row],[Price]]*Table_15[[#This Row],[Benzine 1]]</f>
        <v>3860.78</v>
      </c>
      <c r="O58" s="201"/>
      <c r="P58" s="251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hidden="1" customHeight="1" x14ac:dyDescent="0.3">
      <c r="A59" s="5"/>
      <c r="B59" s="5"/>
      <c r="C59" s="5"/>
      <c r="D59" s="5"/>
      <c r="E59" s="5"/>
      <c r="F59" s="5"/>
      <c r="G59" s="5"/>
      <c r="H59" s="91">
        <v>46186</v>
      </c>
      <c r="I59" s="90"/>
      <c r="J59" s="90">
        <v>1500</v>
      </c>
      <c r="K59" s="90"/>
      <c r="L59" s="90"/>
      <c r="M59" s="92">
        <v>0</v>
      </c>
      <c r="N59" s="249">
        <v>0</v>
      </c>
      <c r="O59" s="201" t="s">
        <v>223</v>
      </c>
      <c r="P59" s="251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hidden="1" customHeight="1" x14ac:dyDescent="0.3">
      <c r="A60" s="5"/>
      <c r="B60" s="5"/>
      <c r="C60" s="5"/>
      <c r="D60" s="5"/>
      <c r="E60" s="5"/>
      <c r="F60" s="5"/>
      <c r="G60" s="5"/>
      <c r="H60" s="91">
        <v>46188</v>
      </c>
      <c r="I60" s="90"/>
      <c r="J60" s="90">
        <v>1000</v>
      </c>
      <c r="K60" s="90"/>
      <c r="L60" s="90"/>
      <c r="M60" s="92">
        <v>0</v>
      </c>
      <c r="N60" s="249">
        <v>0</v>
      </c>
      <c r="O60" s="201" t="s">
        <v>223</v>
      </c>
      <c r="P60" s="251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hidden="1" customHeight="1" x14ac:dyDescent="0.3">
      <c r="A61" s="5"/>
      <c r="B61" s="5"/>
      <c r="C61" s="5"/>
      <c r="D61" s="5"/>
      <c r="E61" s="5"/>
      <c r="F61" s="5"/>
      <c r="G61" s="5"/>
      <c r="H61" s="91">
        <v>46191</v>
      </c>
      <c r="I61" s="90">
        <v>1000</v>
      </c>
      <c r="J61" s="90"/>
      <c r="K61" s="90"/>
      <c r="L61" s="90"/>
      <c r="M61" s="92">
        <v>0</v>
      </c>
      <c r="N61" s="249">
        <v>0</v>
      </c>
      <c r="O61" s="201" t="s">
        <v>223</v>
      </c>
      <c r="P61" s="251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hidden="1" customHeight="1" x14ac:dyDescent="0.3">
      <c r="A62" s="5"/>
      <c r="B62" s="5"/>
      <c r="C62" s="5"/>
      <c r="D62" s="5"/>
      <c r="E62" s="5"/>
      <c r="F62" s="5"/>
      <c r="G62" s="5"/>
      <c r="H62" s="91">
        <v>46192</v>
      </c>
      <c r="I62" s="90"/>
      <c r="J62" s="90"/>
      <c r="K62" s="90"/>
      <c r="L62" s="90">
        <v>200</v>
      </c>
      <c r="M62" s="92">
        <f>21.15/20</f>
        <v>1.0574999999999999</v>
      </c>
      <c r="N62" s="249">
        <f>Table_15[[#This Row],[Mezout]]*Table_15[[#This Row],[Price]]</f>
        <v>211.49999999999997</v>
      </c>
      <c r="O62" s="201"/>
      <c r="P62" s="251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hidden="1" customHeight="1" x14ac:dyDescent="0.3">
      <c r="A63" s="5"/>
      <c r="B63" s="5"/>
      <c r="C63" s="5"/>
      <c r="D63" s="5"/>
      <c r="E63" s="5"/>
      <c r="F63" s="5"/>
      <c r="G63" s="5"/>
      <c r="H63" s="91">
        <v>46194</v>
      </c>
      <c r="I63" s="90"/>
      <c r="J63" s="90"/>
      <c r="K63" s="90"/>
      <c r="L63" s="90">
        <v>500</v>
      </c>
      <c r="M63" s="92">
        <f>20.69/20</f>
        <v>1.0345</v>
      </c>
      <c r="N63" s="249">
        <f>Table_15[[#This Row],[Mezout]]*Table_15[[#This Row],[Price]]</f>
        <v>517.25</v>
      </c>
      <c r="O63" s="201"/>
      <c r="P63" s="251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hidden="1" customHeight="1" x14ac:dyDescent="0.3">
      <c r="A64" s="5"/>
      <c r="B64" s="5"/>
      <c r="C64" s="5"/>
      <c r="D64" s="5"/>
      <c r="E64" s="5"/>
      <c r="F64" s="5"/>
      <c r="G64" s="5"/>
      <c r="H64" s="91">
        <v>46194</v>
      </c>
      <c r="I64" s="90">
        <v>1000</v>
      </c>
      <c r="J64" s="90"/>
      <c r="K64" s="90"/>
      <c r="L64" s="90"/>
      <c r="M64" s="92"/>
      <c r="N64" s="249"/>
      <c r="O64" s="201" t="s">
        <v>223</v>
      </c>
      <c r="P64" s="251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hidden="1" customHeight="1" x14ac:dyDescent="0.3">
      <c r="A65" s="5"/>
      <c r="B65" s="5"/>
      <c r="C65" s="5"/>
      <c r="D65" s="5"/>
      <c r="E65" s="5"/>
      <c r="F65" s="5"/>
      <c r="G65" s="5"/>
      <c r="H65" s="91">
        <v>46195</v>
      </c>
      <c r="I65" s="90">
        <v>500</v>
      </c>
      <c r="J65" s="90">
        <v>1000</v>
      </c>
      <c r="K65" s="90"/>
      <c r="L65" s="90"/>
      <c r="M65" s="92"/>
      <c r="N65" s="249"/>
      <c r="O65" s="201" t="s">
        <v>223</v>
      </c>
      <c r="P65" s="251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hidden="1" customHeight="1" x14ac:dyDescent="0.3">
      <c r="A66" s="5"/>
      <c r="B66" s="5"/>
      <c r="C66" s="5"/>
      <c r="D66" s="5"/>
      <c r="E66" s="5"/>
      <c r="F66" s="5"/>
      <c r="G66" s="5"/>
      <c r="H66" s="91">
        <v>46136</v>
      </c>
      <c r="I66" s="90">
        <v>500</v>
      </c>
      <c r="J66" s="90">
        <v>500</v>
      </c>
      <c r="K66" s="90"/>
      <c r="L66" s="90"/>
      <c r="M66" s="92"/>
      <c r="N66" s="249"/>
      <c r="O66" s="201" t="s">
        <v>223</v>
      </c>
      <c r="P66" s="251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hidden="1" customHeight="1" x14ac:dyDescent="0.3">
      <c r="A67" s="5"/>
      <c r="B67" s="5"/>
      <c r="C67" s="5"/>
      <c r="D67" s="5"/>
      <c r="E67" s="5"/>
      <c r="F67" s="5"/>
      <c r="G67" s="5"/>
      <c r="H67" s="91">
        <v>46198</v>
      </c>
      <c r="I67" s="90"/>
      <c r="J67" s="90">
        <v>2975</v>
      </c>
      <c r="K67" s="90"/>
      <c r="L67" s="90"/>
      <c r="M67" s="92">
        <f>23.43/20</f>
        <v>1.1715</v>
      </c>
      <c r="N67" s="249">
        <f>Table_15[[#This Row],[Benzine 2]]*Table_15[[#This Row],[Price]]</f>
        <v>3485.2125000000001</v>
      </c>
      <c r="O67" s="201"/>
      <c r="P67" s="251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hidden="1" customHeight="1" x14ac:dyDescent="0.3">
      <c r="A68" s="5"/>
      <c r="B68" s="5"/>
      <c r="C68" s="5"/>
      <c r="D68" s="5"/>
      <c r="E68" s="5"/>
      <c r="F68" s="5"/>
      <c r="G68" s="5"/>
      <c r="H68" s="91">
        <v>46201</v>
      </c>
      <c r="I68" s="90">
        <v>1000</v>
      </c>
      <c r="J68" s="90"/>
      <c r="K68" s="90"/>
      <c r="L68" s="90"/>
      <c r="M68" s="92"/>
      <c r="N68" s="249"/>
      <c r="O68" s="201" t="s">
        <v>223</v>
      </c>
      <c r="P68" s="251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/>
      <c r="B69" s="5"/>
      <c r="C69" s="5"/>
      <c r="D69" s="5"/>
      <c r="E69" s="5"/>
      <c r="F69" s="5"/>
      <c r="G69" s="5"/>
      <c r="H69" s="91">
        <v>46204</v>
      </c>
      <c r="I69" s="90"/>
      <c r="J69" s="90">
        <v>1000</v>
      </c>
      <c r="K69" s="90"/>
      <c r="L69" s="90"/>
      <c r="M69" s="92"/>
      <c r="N69" s="249"/>
      <c r="O69" s="201" t="s">
        <v>223</v>
      </c>
      <c r="P69" s="251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5"/>
      <c r="B70" s="5"/>
      <c r="C70" s="5"/>
      <c r="D70" s="5"/>
      <c r="E70" s="5"/>
      <c r="F70" s="5"/>
      <c r="G70" s="5"/>
      <c r="H70" s="91">
        <v>46205</v>
      </c>
      <c r="I70" s="90"/>
      <c r="J70" s="90"/>
      <c r="K70" s="90"/>
      <c r="L70" s="90">
        <v>500</v>
      </c>
      <c r="M70" s="92"/>
      <c r="N70" s="249"/>
      <c r="O70" s="201" t="s">
        <v>223</v>
      </c>
      <c r="P70" s="251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/>
      <c r="B71" s="5"/>
      <c r="C71" s="5"/>
      <c r="D71" s="5"/>
      <c r="E71" s="5"/>
      <c r="F71" s="5"/>
      <c r="G71" s="5"/>
      <c r="H71" s="91">
        <v>46206</v>
      </c>
      <c r="I71" s="90">
        <v>500</v>
      </c>
      <c r="J71" s="90">
        <v>1000</v>
      </c>
      <c r="K71" s="90"/>
      <c r="L71" s="90"/>
      <c r="M71" s="92"/>
      <c r="N71" s="249"/>
      <c r="O71" s="201" t="s">
        <v>223</v>
      </c>
      <c r="P71" s="251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/>
      <c r="B72" s="5"/>
      <c r="C72" s="5"/>
      <c r="D72" s="5"/>
      <c r="E72" s="5"/>
      <c r="F72" s="5"/>
      <c r="G72" s="5"/>
      <c r="H72" s="91">
        <v>46209</v>
      </c>
      <c r="I72" s="90">
        <v>500</v>
      </c>
      <c r="J72" s="90">
        <v>1000</v>
      </c>
      <c r="K72" s="90"/>
      <c r="L72" s="90"/>
      <c r="M72" s="92"/>
      <c r="N72" s="249"/>
      <c r="O72" s="201" t="s">
        <v>223</v>
      </c>
      <c r="P72" s="251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5"/>
      <c r="B73" s="5"/>
      <c r="C73" s="5"/>
      <c r="D73" s="5"/>
      <c r="E73" s="5"/>
      <c r="F73" s="5"/>
      <c r="G73" s="5"/>
      <c r="H73" s="91">
        <v>46210</v>
      </c>
      <c r="I73" s="90"/>
      <c r="J73" s="90"/>
      <c r="K73" s="90"/>
      <c r="L73" s="90">
        <v>500</v>
      </c>
      <c r="M73" s="92"/>
      <c r="N73" s="249"/>
      <c r="O73" s="201" t="s">
        <v>223</v>
      </c>
      <c r="P73" s="251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/>
      <c r="B74" s="5"/>
      <c r="C74" s="5"/>
      <c r="D74" s="5"/>
      <c r="E74" s="5"/>
      <c r="F74" s="5"/>
      <c r="G74" s="5"/>
      <c r="H74" s="91">
        <v>46211</v>
      </c>
      <c r="I74" s="90"/>
      <c r="J74" s="90">
        <v>1000</v>
      </c>
      <c r="K74" s="90"/>
      <c r="L74" s="90"/>
      <c r="M74" s="92"/>
      <c r="N74" s="249"/>
      <c r="O74" s="201" t="s">
        <v>223</v>
      </c>
      <c r="P74" s="251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5"/>
      <c r="B75" s="5"/>
      <c r="C75" s="5"/>
      <c r="D75" s="5"/>
      <c r="E75" s="5"/>
      <c r="F75" s="5"/>
      <c r="G75" s="5"/>
      <c r="H75" s="91">
        <v>46212</v>
      </c>
      <c r="I75" s="90">
        <v>3015</v>
      </c>
      <c r="J75" s="90">
        <v>2960</v>
      </c>
      <c r="K75" s="90"/>
      <c r="L75" s="90"/>
      <c r="M75" s="92">
        <f>22.6/20</f>
        <v>1.1300000000000001</v>
      </c>
      <c r="N75" s="249">
        <f>Table_15[[#This Row],[Price]]*(Table_15[[#This Row],[Benzine 1]]+Table_15[[#This Row],[Benzine 2]])</f>
        <v>6751.7500000000009</v>
      </c>
      <c r="O75" s="201"/>
      <c r="P75" s="251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/>
      <c r="B76" s="5"/>
      <c r="C76" s="5"/>
      <c r="D76" s="5"/>
      <c r="E76" s="5"/>
      <c r="F76" s="5"/>
      <c r="G76" s="5"/>
      <c r="H76" s="91"/>
      <c r="I76" s="90"/>
      <c r="J76" s="90"/>
      <c r="K76" s="90"/>
      <c r="L76" s="90"/>
      <c r="M76" s="92"/>
      <c r="N76" s="249"/>
      <c r="O76" s="201"/>
      <c r="P76" s="251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/>
      <c r="B77" s="5"/>
      <c r="C77" s="5"/>
      <c r="D77" s="5"/>
      <c r="E77" s="5"/>
      <c r="F77" s="5"/>
      <c r="G77" s="5"/>
      <c r="H77" s="91"/>
      <c r="I77" s="90"/>
      <c r="J77" s="90"/>
      <c r="K77" s="90"/>
      <c r="L77" s="90"/>
      <c r="M77" s="92"/>
      <c r="N77" s="249"/>
      <c r="O77" s="201"/>
      <c r="P77" s="251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5"/>
      <c r="B78" s="5"/>
      <c r="C78" s="5"/>
      <c r="D78" s="5"/>
      <c r="E78" s="5"/>
      <c r="F78" s="5"/>
      <c r="G78" s="5"/>
      <c r="H78" s="100" t="s">
        <v>107</v>
      </c>
      <c r="I78" s="246">
        <f>SUM(I3:I77)</f>
        <v>65823</v>
      </c>
      <c r="J78" s="246">
        <f>SUM(J3:K77)</f>
        <v>68931</v>
      </c>
      <c r="K78" s="247">
        <v>0</v>
      </c>
      <c r="L78" s="246">
        <f>SUM(L3:L77)</f>
        <v>61071</v>
      </c>
      <c r="M78" s="248"/>
      <c r="N78" s="260">
        <f>SUM(N3:N77)</f>
        <v>157127.91100000002</v>
      </c>
      <c r="O78" s="428"/>
      <c r="P78" s="429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/>
      <c r="B79" s="5"/>
      <c r="C79" s="5"/>
      <c r="D79" s="5"/>
      <c r="E79" s="5"/>
      <c r="F79" s="5"/>
      <c r="G79" s="5"/>
      <c r="H79" s="11"/>
      <c r="I79" s="152"/>
      <c r="J79" s="152"/>
      <c r="K79" s="152"/>
      <c r="L79" s="152"/>
      <c r="M79" s="1">
        <v>0</v>
      </c>
      <c r="N79" s="152"/>
      <c r="O79" s="1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5"/>
      <c r="B80" s="5"/>
      <c r="C80" s="5"/>
      <c r="D80" s="5"/>
      <c r="E80" s="5"/>
      <c r="F80" s="5"/>
      <c r="G80" s="5"/>
      <c r="H80" s="11"/>
      <c r="I80" s="98"/>
      <c r="J80" s="5"/>
      <c r="K80" s="5"/>
      <c r="L80" s="5"/>
      <c r="M80" s="5"/>
      <c r="N80" s="101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/>
      <c r="B81" s="5"/>
      <c r="C81" s="5"/>
      <c r="D81" s="5"/>
      <c r="E81" s="5"/>
      <c r="F81" s="5"/>
      <c r="G81" s="5"/>
      <c r="H81" s="11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/>
      <c r="B82" s="5"/>
      <c r="C82" s="5"/>
      <c r="D82" s="5"/>
      <c r="E82" s="5"/>
      <c r="F82" s="5"/>
      <c r="G82" s="5"/>
      <c r="H82" s="11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5"/>
      <c r="B83" s="5"/>
      <c r="C83" s="5"/>
      <c r="D83" s="5"/>
      <c r="E83" s="5"/>
      <c r="F83" s="5"/>
      <c r="G83" s="5"/>
      <c r="H83" s="11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/>
      <c r="B84" s="5"/>
      <c r="C84" s="5"/>
      <c r="D84" s="5"/>
      <c r="E84" s="5"/>
      <c r="F84" s="5"/>
      <c r="G84" s="5"/>
      <c r="H84" s="11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5"/>
      <c r="B85" s="5"/>
      <c r="C85" s="5"/>
      <c r="D85" s="5"/>
      <c r="E85" s="5"/>
      <c r="F85" s="5"/>
      <c r="G85" s="5"/>
      <c r="H85" s="11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/>
      <c r="B86" s="5"/>
      <c r="C86" s="5"/>
      <c r="D86" s="5"/>
      <c r="E86" s="5"/>
      <c r="F86" s="5"/>
      <c r="G86" s="5"/>
      <c r="H86" s="11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/>
      <c r="B87" s="5"/>
      <c r="C87" s="5"/>
      <c r="D87" s="5"/>
      <c r="E87" s="5"/>
      <c r="F87" s="5"/>
      <c r="G87" s="5"/>
      <c r="H87" s="11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5"/>
      <c r="B88" s="5"/>
      <c r="C88" s="5"/>
      <c r="D88" s="5"/>
      <c r="E88" s="5"/>
      <c r="F88" s="5"/>
      <c r="G88" s="5"/>
      <c r="H88" s="11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/>
      <c r="B89" s="5"/>
      <c r="C89" s="5"/>
      <c r="D89" s="5"/>
      <c r="E89" s="5"/>
      <c r="F89" s="5"/>
      <c r="G89" s="5"/>
      <c r="H89" s="11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5"/>
      <c r="B90" s="5"/>
      <c r="C90" s="5"/>
      <c r="D90" s="5"/>
      <c r="E90" s="5"/>
      <c r="F90" s="5"/>
      <c r="G90" s="5"/>
      <c r="H90" s="11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/>
      <c r="B91" s="5"/>
      <c r="C91" s="5"/>
      <c r="D91" s="5"/>
      <c r="E91" s="5"/>
      <c r="F91" s="5"/>
      <c r="G91" s="5"/>
      <c r="H91" s="11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/>
      <c r="B92" s="5"/>
      <c r="C92" s="5"/>
      <c r="D92" s="5"/>
      <c r="E92" s="5"/>
      <c r="F92" s="5"/>
      <c r="G92" s="5"/>
      <c r="H92" s="11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5"/>
      <c r="B93" s="5"/>
      <c r="C93" s="5"/>
      <c r="D93" s="5"/>
      <c r="E93" s="5"/>
      <c r="F93" s="5"/>
      <c r="G93" s="5"/>
      <c r="H93" s="11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/>
      <c r="B94" s="5"/>
      <c r="C94" s="5"/>
      <c r="D94" s="5"/>
      <c r="E94" s="5"/>
      <c r="F94" s="5"/>
      <c r="G94" s="5"/>
      <c r="H94" s="11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5"/>
      <c r="B95" s="5"/>
      <c r="C95" s="5"/>
      <c r="D95" s="5"/>
      <c r="E95" s="5"/>
      <c r="F95" s="5"/>
      <c r="G95" s="5"/>
      <c r="H95" s="11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/>
      <c r="B96" s="5"/>
      <c r="C96" s="5"/>
      <c r="D96" s="5"/>
      <c r="E96" s="5"/>
      <c r="F96" s="5"/>
      <c r="G96" s="5"/>
      <c r="H96" s="11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5"/>
      <c r="E97" s="5"/>
      <c r="F97" s="5"/>
      <c r="G97" s="5"/>
      <c r="H97" s="11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5"/>
      <c r="B98" s="5"/>
      <c r="C98" s="5"/>
      <c r="D98" s="5"/>
      <c r="E98" s="5"/>
      <c r="F98" s="5"/>
      <c r="G98" s="5"/>
      <c r="H98" s="11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5"/>
      <c r="B99" s="5"/>
      <c r="C99" s="5"/>
      <c r="D99" s="5"/>
      <c r="E99" s="5"/>
      <c r="F99" s="5"/>
      <c r="G99" s="5"/>
      <c r="H99" s="11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5"/>
      <c r="B100" s="5"/>
      <c r="C100" s="5"/>
      <c r="D100" s="5"/>
      <c r="E100" s="5"/>
      <c r="F100" s="5"/>
      <c r="G100" s="5"/>
      <c r="H100" s="11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5"/>
      <c r="B101" s="5"/>
      <c r="C101" s="5"/>
      <c r="D101" s="5"/>
      <c r="E101" s="5"/>
      <c r="F101" s="5"/>
      <c r="G101" s="5"/>
      <c r="H101" s="11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5"/>
      <c r="B102" s="5"/>
      <c r="C102" s="5"/>
      <c r="D102" s="5"/>
      <c r="E102" s="5"/>
      <c r="F102" s="5"/>
      <c r="G102" s="5"/>
      <c r="H102" s="11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5"/>
      <c r="B103" s="5"/>
      <c r="C103" s="5"/>
      <c r="D103" s="5"/>
      <c r="E103" s="5"/>
      <c r="F103" s="5"/>
      <c r="G103" s="5"/>
      <c r="H103" s="11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5"/>
      <c r="E104" s="5"/>
      <c r="F104" s="5"/>
      <c r="G104" s="5"/>
      <c r="H104" s="11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5"/>
      <c r="E105" s="5"/>
      <c r="F105" s="5"/>
      <c r="G105" s="5"/>
      <c r="H105" s="1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5"/>
      <c r="E106" s="5"/>
      <c r="F106" s="5"/>
      <c r="G106" s="5"/>
      <c r="H106" s="11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5"/>
      <c r="E107" s="5"/>
      <c r="F107" s="5"/>
      <c r="G107" s="5"/>
      <c r="H107" s="11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5"/>
      <c r="E108" s="5"/>
      <c r="F108" s="5"/>
      <c r="G108" s="5"/>
      <c r="H108" s="11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5"/>
      <c r="E109" s="5"/>
      <c r="F109" s="5"/>
      <c r="G109" s="5"/>
      <c r="H109" s="11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5"/>
      <c r="E110" s="5"/>
      <c r="F110" s="5"/>
      <c r="G110" s="5"/>
      <c r="H110" s="11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5"/>
      <c r="E111" s="5"/>
      <c r="F111" s="5"/>
      <c r="G111" s="5"/>
      <c r="H111" s="11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5"/>
      <c r="E112" s="5"/>
      <c r="F112" s="5"/>
      <c r="G112" s="5"/>
      <c r="H112" s="11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5"/>
      <c r="E113" s="5"/>
      <c r="F113" s="5"/>
      <c r="G113" s="5"/>
      <c r="H113" s="1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5"/>
      <c r="E114" s="5"/>
      <c r="F114" s="5"/>
      <c r="G114" s="5"/>
      <c r="H114" s="11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5"/>
      <c r="E115" s="5"/>
      <c r="F115" s="5"/>
      <c r="G115" s="5"/>
      <c r="H115" s="11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5"/>
      <c r="E116" s="5"/>
      <c r="F116" s="5"/>
      <c r="G116" s="5"/>
      <c r="H116" s="11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5"/>
      <c r="E117" s="5"/>
      <c r="F117" s="5"/>
      <c r="G117" s="5"/>
      <c r="H117" s="11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5"/>
      <c r="E118" s="5"/>
      <c r="F118" s="5"/>
      <c r="G118" s="5"/>
      <c r="H118" s="11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5"/>
      <c r="E119" s="5"/>
      <c r="F119" s="5"/>
      <c r="G119" s="5"/>
      <c r="H119" s="11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5"/>
      <c r="E120" s="5"/>
      <c r="F120" s="5"/>
      <c r="G120" s="5"/>
      <c r="H120" s="11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5"/>
      <c r="E121" s="5"/>
      <c r="F121" s="5"/>
      <c r="G121" s="5"/>
      <c r="H121" s="11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5"/>
      <c r="E122" s="5"/>
      <c r="F122" s="5"/>
      <c r="G122" s="5"/>
      <c r="H122" s="11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5"/>
      <c r="E123" s="5"/>
      <c r="F123" s="5"/>
      <c r="G123" s="5"/>
      <c r="H123" s="11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5"/>
      <c r="E124" s="5"/>
      <c r="F124" s="5"/>
      <c r="G124" s="5"/>
      <c r="H124" s="11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5"/>
      <c r="E125" s="5"/>
      <c r="F125" s="5"/>
      <c r="G125" s="5"/>
      <c r="H125" s="11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5"/>
      <c r="E126" s="5"/>
      <c r="F126" s="5"/>
      <c r="G126" s="5"/>
      <c r="H126" s="11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5"/>
      <c r="E127" s="5"/>
      <c r="F127" s="5"/>
      <c r="G127" s="5"/>
      <c r="H127" s="11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5"/>
      <c r="E128" s="5"/>
      <c r="F128" s="5"/>
      <c r="G128" s="5"/>
      <c r="H128" s="11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5"/>
      <c r="E129" s="5"/>
      <c r="F129" s="5"/>
      <c r="G129" s="5"/>
      <c r="H129" s="11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5"/>
      <c r="E130" s="5"/>
      <c r="F130" s="5"/>
      <c r="G130" s="5"/>
      <c r="H130" s="11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5"/>
      <c r="E131" s="5"/>
      <c r="F131" s="5"/>
      <c r="G131" s="5"/>
      <c r="H131" s="11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5"/>
      <c r="E132" s="5"/>
      <c r="F132" s="5"/>
      <c r="G132" s="5"/>
      <c r="H132" s="11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5"/>
      <c r="E133" s="5"/>
      <c r="F133" s="5"/>
      <c r="G133" s="5"/>
      <c r="H133" s="11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5"/>
      <c r="E134" s="5"/>
      <c r="F134" s="5"/>
      <c r="G134" s="5"/>
      <c r="H134" s="11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5"/>
      <c r="E135" s="5"/>
      <c r="F135" s="5"/>
      <c r="G135" s="5"/>
      <c r="H135" s="11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5"/>
      <c r="E136" s="5"/>
      <c r="F136" s="5"/>
      <c r="G136" s="5"/>
      <c r="H136" s="11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5"/>
      <c r="E137" s="5"/>
      <c r="F137" s="5"/>
      <c r="G137" s="5"/>
      <c r="H137" s="11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5"/>
      <c r="E138" s="5"/>
      <c r="F138" s="5"/>
      <c r="G138" s="5"/>
      <c r="H138" s="11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5"/>
      <c r="E139" s="5"/>
      <c r="F139" s="5"/>
      <c r="G139" s="5"/>
      <c r="H139" s="11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5"/>
      <c r="E140" s="5"/>
      <c r="F140" s="5"/>
      <c r="G140" s="5"/>
      <c r="H140" s="11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5"/>
      <c r="E141" s="5"/>
      <c r="F141" s="5"/>
      <c r="G141" s="5"/>
      <c r="H141" s="11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5"/>
      <c r="E142" s="5"/>
      <c r="F142" s="5"/>
      <c r="G142" s="5"/>
      <c r="H142" s="11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5"/>
      <c r="E143" s="5"/>
      <c r="F143" s="5"/>
      <c r="G143" s="5"/>
      <c r="H143" s="11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5"/>
      <c r="E144" s="5"/>
      <c r="F144" s="5"/>
      <c r="G144" s="5"/>
      <c r="H144" s="11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5"/>
      <c r="E145" s="5"/>
      <c r="F145" s="5"/>
      <c r="G145" s="5"/>
      <c r="H145" s="11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5"/>
      <c r="E146" s="5"/>
      <c r="F146" s="5"/>
      <c r="G146" s="5"/>
      <c r="H146" s="11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5"/>
      <c r="E147" s="5"/>
      <c r="F147" s="5"/>
      <c r="G147" s="5"/>
      <c r="H147" s="11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5"/>
      <c r="E148" s="5"/>
      <c r="F148" s="5"/>
      <c r="G148" s="5"/>
      <c r="H148" s="11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5"/>
      <c r="E149" s="5"/>
      <c r="F149" s="5"/>
      <c r="G149" s="5"/>
      <c r="H149" s="11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5"/>
      <c r="E150" s="5"/>
      <c r="F150" s="5"/>
      <c r="G150" s="5"/>
      <c r="H150" s="11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5"/>
      <c r="E151" s="5"/>
      <c r="F151" s="5"/>
      <c r="G151" s="5"/>
      <c r="H151" s="11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5"/>
      <c r="E152" s="5"/>
      <c r="F152" s="5"/>
      <c r="G152" s="5"/>
      <c r="H152" s="11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5"/>
      <c r="E153" s="5"/>
      <c r="F153" s="5"/>
      <c r="G153" s="5"/>
      <c r="H153" s="11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5"/>
      <c r="E154" s="5"/>
      <c r="F154" s="5"/>
      <c r="G154" s="5"/>
      <c r="H154" s="11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5"/>
      <c r="E155" s="5"/>
      <c r="F155" s="5"/>
      <c r="G155" s="5"/>
      <c r="H155" s="11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5"/>
      <c r="E156" s="5"/>
      <c r="F156" s="5"/>
      <c r="G156" s="5"/>
      <c r="H156" s="11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5"/>
      <c r="E157" s="5"/>
      <c r="F157" s="5"/>
      <c r="G157" s="5"/>
      <c r="H157" s="11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5"/>
      <c r="E158" s="5"/>
      <c r="F158" s="5"/>
      <c r="G158" s="5"/>
      <c r="H158" s="11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5"/>
      <c r="E159" s="5"/>
      <c r="F159" s="5"/>
      <c r="G159" s="5"/>
      <c r="H159" s="11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5"/>
      <c r="E160" s="5"/>
      <c r="F160" s="5"/>
      <c r="G160" s="5"/>
      <c r="H160" s="11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5"/>
      <c r="E161" s="5"/>
      <c r="F161" s="5"/>
      <c r="G161" s="5"/>
      <c r="H161" s="11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5"/>
      <c r="E162" s="5"/>
      <c r="F162" s="5"/>
      <c r="G162" s="5"/>
      <c r="H162" s="11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5"/>
      <c r="E163" s="5"/>
      <c r="F163" s="5"/>
      <c r="G163" s="5"/>
      <c r="H163" s="11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5"/>
      <c r="E164" s="5"/>
      <c r="F164" s="5"/>
      <c r="G164" s="5"/>
      <c r="H164" s="11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5"/>
      <c r="E165" s="5"/>
      <c r="F165" s="5"/>
      <c r="G165" s="5"/>
      <c r="H165" s="11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5"/>
      <c r="E166" s="5"/>
      <c r="F166" s="5"/>
      <c r="G166" s="5"/>
      <c r="H166" s="11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5"/>
      <c r="E167" s="5"/>
      <c r="F167" s="5"/>
      <c r="G167" s="5"/>
      <c r="H167" s="11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5"/>
      <c r="E168" s="5"/>
      <c r="F168" s="5"/>
      <c r="G168" s="5"/>
      <c r="H168" s="1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5"/>
      <c r="E169" s="5"/>
      <c r="F169" s="5"/>
      <c r="G169" s="5"/>
      <c r="H169" s="11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5"/>
      <c r="E170" s="5"/>
      <c r="F170" s="5"/>
      <c r="G170" s="5"/>
      <c r="H170" s="11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5"/>
      <c r="E171" s="5"/>
      <c r="F171" s="5"/>
      <c r="G171" s="5"/>
      <c r="H171" s="11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5"/>
      <c r="E172" s="5"/>
      <c r="F172" s="5"/>
      <c r="G172" s="5"/>
      <c r="H172" s="11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5"/>
      <c r="E173" s="5"/>
      <c r="F173" s="5"/>
      <c r="G173" s="5"/>
      <c r="H173" s="11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5"/>
      <c r="E174" s="5"/>
      <c r="F174" s="5"/>
      <c r="G174" s="5"/>
      <c r="H174" s="11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5"/>
      <c r="E175" s="5"/>
      <c r="F175" s="5"/>
      <c r="G175" s="5"/>
      <c r="H175" s="11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5"/>
      <c r="E176" s="5"/>
      <c r="F176" s="5"/>
      <c r="G176" s="5"/>
      <c r="H176" s="11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5"/>
      <c r="E177" s="5"/>
      <c r="F177" s="5"/>
      <c r="G177" s="5"/>
      <c r="H177" s="11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5"/>
      <c r="E178" s="5"/>
      <c r="F178" s="5"/>
      <c r="G178" s="5"/>
      <c r="H178" s="11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5"/>
      <c r="E179" s="5"/>
      <c r="F179" s="5"/>
      <c r="G179" s="5"/>
      <c r="H179" s="11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5"/>
      <c r="E180" s="5"/>
      <c r="F180" s="5"/>
      <c r="G180" s="5"/>
      <c r="H180" s="11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5"/>
      <c r="E181" s="5"/>
      <c r="F181" s="5"/>
      <c r="G181" s="5"/>
      <c r="H181" s="11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5"/>
      <c r="E182" s="5"/>
      <c r="F182" s="5"/>
      <c r="G182" s="5"/>
      <c r="H182" s="11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5"/>
      <c r="E183" s="5"/>
      <c r="F183" s="5"/>
      <c r="G183" s="5"/>
      <c r="H183" s="11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5"/>
      <c r="E184" s="5"/>
      <c r="F184" s="5"/>
      <c r="G184" s="5"/>
      <c r="H184" s="11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5"/>
      <c r="E185" s="5"/>
      <c r="F185" s="5"/>
      <c r="G185" s="5"/>
      <c r="H185" s="11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5"/>
      <c r="E186" s="5"/>
      <c r="F186" s="5"/>
      <c r="G186" s="5"/>
      <c r="H186" s="11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5"/>
      <c r="E187" s="5"/>
      <c r="F187" s="5"/>
      <c r="G187" s="5"/>
      <c r="H187" s="11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5"/>
      <c r="E188" s="5"/>
      <c r="F188" s="5"/>
      <c r="G188" s="5"/>
      <c r="H188" s="11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5"/>
      <c r="E189" s="5"/>
      <c r="F189" s="5"/>
      <c r="G189" s="5"/>
      <c r="H189" s="11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5"/>
      <c r="E190" s="5"/>
      <c r="F190" s="5"/>
      <c r="G190" s="5"/>
      <c r="H190" s="11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5"/>
      <c r="E191" s="5"/>
      <c r="F191" s="5"/>
      <c r="G191" s="5"/>
      <c r="H191" s="11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5"/>
      <c r="E192" s="5"/>
      <c r="F192" s="5"/>
      <c r="G192" s="5"/>
      <c r="H192" s="11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5"/>
      <c r="E193" s="5"/>
      <c r="F193" s="5"/>
      <c r="G193" s="5"/>
      <c r="H193" s="11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5"/>
      <c r="E194" s="5"/>
      <c r="F194" s="5"/>
      <c r="G194" s="5"/>
      <c r="H194" s="11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5"/>
      <c r="E195" s="5"/>
      <c r="F195" s="5"/>
      <c r="G195" s="5"/>
      <c r="H195" s="11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5"/>
      <c r="E196" s="5"/>
      <c r="F196" s="5"/>
      <c r="G196" s="5"/>
      <c r="H196" s="11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5"/>
      <c r="E197" s="5"/>
      <c r="F197" s="5"/>
      <c r="G197" s="5"/>
      <c r="H197" s="11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5"/>
      <c r="E198" s="5"/>
      <c r="F198" s="5"/>
      <c r="G198" s="5"/>
      <c r="H198" s="11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5"/>
      <c r="E199" s="5"/>
      <c r="F199" s="5"/>
      <c r="G199" s="5"/>
      <c r="H199" s="1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5"/>
      <c r="E200" s="5"/>
      <c r="F200" s="5"/>
      <c r="G200" s="5"/>
      <c r="H200" s="1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5"/>
      <c r="E201" s="5"/>
      <c r="F201" s="5"/>
      <c r="G201" s="5"/>
      <c r="H201" s="1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5"/>
      <c r="E202" s="5"/>
      <c r="F202" s="5"/>
      <c r="G202" s="5"/>
      <c r="H202" s="1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5"/>
      <c r="E203" s="5"/>
      <c r="F203" s="5"/>
      <c r="G203" s="5"/>
      <c r="H203" s="1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5"/>
      <c r="E204" s="5"/>
      <c r="F204" s="5"/>
      <c r="G204" s="5"/>
      <c r="H204" s="1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5"/>
      <c r="E205" s="5"/>
      <c r="F205" s="5"/>
      <c r="G205" s="5"/>
      <c r="H205" s="1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5"/>
      <c r="E206" s="5"/>
      <c r="F206" s="5"/>
      <c r="G206" s="5"/>
      <c r="H206" s="1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5"/>
      <c r="E207" s="5"/>
      <c r="F207" s="5"/>
      <c r="G207" s="5"/>
      <c r="H207" s="1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5"/>
      <c r="E208" s="5"/>
      <c r="F208" s="5"/>
      <c r="G208" s="5"/>
      <c r="H208" s="1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5"/>
      <c r="E209" s="5"/>
      <c r="F209" s="5"/>
      <c r="G209" s="5"/>
      <c r="H209" s="1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5"/>
      <c r="E210" s="5"/>
      <c r="F210" s="5"/>
      <c r="G210" s="5"/>
      <c r="H210" s="1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5"/>
      <c r="E211" s="5"/>
      <c r="F211" s="5"/>
      <c r="G211" s="5"/>
      <c r="H211" s="1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5"/>
      <c r="E212" s="5"/>
      <c r="F212" s="5"/>
      <c r="G212" s="5"/>
      <c r="H212" s="1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5"/>
      <c r="E213" s="5"/>
      <c r="F213" s="5"/>
      <c r="G213" s="5"/>
      <c r="H213" s="1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5"/>
      <c r="E214" s="5"/>
      <c r="F214" s="5"/>
      <c r="G214" s="5"/>
      <c r="H214" s="1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5"/>
      <c r="E215" s="5"/>
      <c r="F215" s="5"/>
      <c r="G215" s="5"/>
      <c r="H215" s="1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5"/>
      <c r="E216" s="5"/>
      <c r="F216" s="5"/>
      <c r="G216" s="5"/>
      <c r="H216" s="1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5"/>
      <c r="E217" s="5"/>
      <c r="F217" s="5"/>
      <c r="G217" s="5"/>
      <c r="H217" s="1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5"/>
      <c r="E218" s="5"/>
      <c r="F218" s="5"/>
      <c r="G218" s="5"/>
      <c r="H218" s="1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5"/>
      <c r="E219" s="5"/>
      <c r="F219" s="5"/>
      <c r="G219" s="5"/>
      <c r="H219" s="1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5"/>
      <c r="E220" s="5"/>
      <c r="F220" s="5"/>
      <c r="G220" s="5"/>
      <c r="H220" s="1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5"/>
      <c r="E221" s="5"/>
      <c r="F221" s="5"/>
      <c r="G221" s="5"/>
      <c r="H221" s="1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5"/>
      <c r="E222" s="5"/>
      <c r="F222" s="5"/>
      <c r="G222" s="5"/>
      <c r="H222" s="1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5"/>
      <c r="E223" s="5"/>
      <c r="F223" s="5"/>
      <c r="G223" s="5"/>
      <c r="H223" s="1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5"/>
      <c r="E224" s="5"/>
      <c r="F224" s="5"/>
      <c r="G224" s="5"/>
      <c r="H224" s="1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5"/>
      <c r="E225" s="5"/>
      <c r="F225" s="5"/>
      <c r="G225" s="5"/>
      <c r="H225" s="1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5"/>
      <c r="E226" s="5"/>
      <c r="F226" s="5"/>
      <c r="G226" s="5"/>
      <c r="H226" s="1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5"/>
      <c r="E227" s="5"/>
      <c r="F227" s="5"/>
      <c r="G227" s="5"/>
      <c r="H227" s="1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5"/>
      <c r="E228" s="5"/>
      <c r="F228" s="5"/>
      <c r="G228" s="5"/>
      <c r="H228" s="1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5"/>
      <c r="E229" s="5"/>
      <c r="F229" s="5"/>
      <c r="G229" s="5"/>
      <c r="H229" s="1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5"/>
      <c r="E230" s="5"/>
      <c r="F230" s="5"/>
      <c r="G230" s="5"/>
      <c r="H230" s="1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5"/>
      <c r="E231" s="5"/>
      <c r="F231" s="5"/>
      <c r="G231" s="5"/>
      <c r="H231" s="1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5"/>
      <c r="E232" s="5"/>
      <c r="F232" s="5"/>
      <c r="G232" s="5"/>
      <c r="H232" s="1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5"/>
      <c r="E233" s="5"/>
      <c r="F233" s="5"/>
      <c r="G233" s="5"/>
      <c r="H233" s="1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5"/>
      <c r="E234" s="5"/>
      <c r="F234" s="5"/>
      <c r="G234" s="5"/>
      <c r="H234" s="1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5"/>
      <c r="E235" s="5"/>
      <c r="F235" s="5"/>
      <c r="G235" s="5"/>
      <c r="H235" s="1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5"/>
      <c r="E236" s="5"/>
      <c r="F236" s="5"/>
      <c r="G236" s="5"/>
      <c r="H236" s="1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5"/>
      <c r="E237" s="5"/>
      <c r="F237" s="5"/>
      <c r="G237" s="5"/>
      <c r="H237" s="1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3">
      <c r="A238" s="5"/>
      <c r="B238" s="5"/>
      <c r="C238" s="5"/>
      <c r="D238" s="5"/>
      <c r="E238" s="5"/>
      <c r="F238" s="5"/>
      <c r="G238" s="5"/>
      <c r="H238" s="1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3">
      <c r="A239" s="5"/>
      <c r="B239" s="5"/>
      <c r="C239" s="5"/>
      <c r="D239" s="5"/>
      <c r="E239" s="5"/>
      <c r="F239" s="5"/>
      <c r="G239" s="5"/>
      <c r="H239" s="1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3">
      <c r="A240" s="5"/>
      <c r="B240" s="5"/>
      <c r="C240" s="5"/>
      <c r="D240" s="5"/>
      <c r="E240" s="5"/>
      <c r="F240" s="5"/>
      <c r="G240" s="5"/>
      <c r="H240" s="1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3">
      <c r="A241" s="5"/>
      <c r="B241" s="5"/>
      <c r="C241" s="5"/>
      <c r="D241" s="5"/>
      <c r="E241" s="5"/>
      <c r="F241" s="5"/>
      <c r="G241" s="5"/>
      <c r="H241" s="1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3">
      <c r="A242" s="5"/>
      <c r="B242" s="5"/>
      <c r="C242" s="5"/>
      <c r="D242" s="5"/>
      <c r="E242" s="5"/>
      <c r="F242" s="5"/>
      <c r="G242" s="5"/>
      <c r="H242" s="1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3">
      <c r="A243" s="5"/>
      <c r="B243" s="5"/>
      <c r="C243" s="5"/>
      <c r="D243" s="5"/>
      <c r="E243" s="5"/>
      <c r="F243" s="5"/>
      <c r="G243" s="5"/>
      <c r="H243" s="1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3">
      <c r="A244" s="5"/>
      <c r="B244" s="5"/>
      <c r="C244" s="5"/>
      <c r="D244" s="5"/>
      <c r="E244" s="5"/>
      <c r="F244" s="5"/>
      <c r="G244" s="5"/>
      <c r="H244" s="1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3">
      <c r="A245" s="5"/>
      <c r="B245" s="5"/>
      <c r="C245" s="5"/>
      <c r="D245" s="5"/>
      <c r="E245" s="5"/>
      <c r="F245" s="5"/>
      <c r="G245" s="5"/>
      <c r="H245" s="1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3">
      <c r="A246" s="5"/>
      <c r="B246" s="5"/>
      <c r="C246" s="5"/>
      <c r="D246" s="5"/>
      <c r="E246" s="5"/>
      <c r="F246" s="5"/>
      <c r="G246" s="5"/>
      <c r="H246" s="1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3">
      <c r="A247" s="5"/>
      <c r="B247" s="5"/>
      <c r="C247" s="5"/>
      <c r="D247" s="5"/>
      <c r="E247" s="5"/>
      <c r="F247" s="5"/>
      <c r="G247" s="5"/>
      <c r="H247" s="1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3">
      <c r="A248" s="5"/>
      <c r="B248" s="5"/>
      <c r="C248" s="5"/>
      <c r="D248" s="5"/>
      <c r="E248" s="5"/>
      <c r="F248" s="5"/>
      <c r="G248" s="5"/>
      <c r="H248" s="1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3">
      <c r="A249" s="5"/>
      <c r="B249" s="5"/>
      <c r="C249" s="5"/>
      <c r="D249" s="5"/>
      <c r="E249" s="5"/>
      <c r="F249" s="5"/>
      <c r="G249" s="5"/>
      <c r="H249" s="1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3">
      <c r="A250" s="5"/>
      <c r="B250" s="5"/>
      <c r="C250" s="5"/>
      <c r="D250" s="5"/>
      <c r="E250" s="5"/>
      <c r="F250" s="5"/>
      <c r="G250" s="5"/>
      <c r="H250" s="1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3">
      <c r="A251" s="5"/>
      <c r="B251" s="5"/>
      <c r="C251" s="5"/>
      <c r="D251" s="5"/>
      <c r="E251" s="5"/>
      <c r="F251" s="5"/>
      <c r="G251" s="5"/>
      <c r="H251" s="1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3">
      <c r="A252" s="5"/>
      <c r="B252" s="5"/>
      <c r="C252" s="5"/>
      <c r="D252" s="5"/>
      <c r="E252" s="5"/>
      <c r="F252" s="5"/>
      <c r="G252" s="5"/>
      <c r="H252" s="1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3">
      <c r="A253" s="5"/>
      <c r="B253" s="5"/>
      <c r="C253" s="5"/>
      <c r="D253" s="5"/>
      <c r="E253" s="5"/>
      <c r="F253" s="5"/>
      <c r="G253" s="5"/>
      <c r="H253" s="1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3">
      <c r="A254" s="5"/>
      <c r="B254" s="5"/>
      <c r="C254" s="5"/>
      <c r="D254" s="5"/>
      <c r="E254" s="5"/>
      <c r="F254" s="5"/>
      <c r="G254" s="5"/>
      <c r="H254" s="1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3">
      <c r="A255" s="5"/>
      <c r="B255" s="5"/>
      <c r="C255" s="5"/>
      <c r="D255" s="5"/>
      <c r="E255" s="5"/>
      <c r="F255" s="5"/>
      <c r="G255" s="5"/>
      <c r="H255" s="1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3">
      <c r="A256" s="5"/>
      <c r="B256" s="5"/>
      <c r="C256" s="5"/>
      <c r="D256" s="5"/>
      <c r="E256" s="5"/>
      <c r="F256" s="5"/>
      <c r="G256" s="5"/>
      <c r="H256" s="1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3">
      <c r="A257" s="5"/>
      <c r="B257" s="5"/>
      <c r="C257" s="5"/>
      <c r="D257" s="5"/>
      <c r="E257" s="5"/>
      <c r="F257" s="5"/>
      <c r="G257" s="5"/>
      <c r="H257" s="1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3">
      <c r="A258" s="5"/>
      <c r="B258" s="5"/>
      <c r="C258" s="5"/>
      <c r="D258" s="5"/>
      <c r="E258" s="5"/>
      <c r="F258" s="5"/>
      <c r="G258" s="5"/>
      <c r="H258" s="1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">
      <c r="A259" s="5"/>
      <c r="B259" s="5"/>
      <c r="C259" s="5"/>
      <c r="D259" s="5"/>
      <c r="E259" s="5"/>
      <c r="F259" s="5"/>
      <c r="G259" s="5"/>
      <c r="H259" s="1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3">
      <c r="A260" s="5"/>
      <c r="B260" s="5"/>
      <c r="C260" s="5"/>
      <c r="D260" s="5"/>
      <c r="E260" s="5"/>
      <c r="F260" s="5"/>
      <c r="G260" s="5"/>
      <c r="H260" s="1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3">
      <c r="A261" s="5"/>
      <c r="B261" s="5"/>
      <c r="C261" s="5"/>
      <c r="D261" s="5"/>
      <c r="E261" s="5"/>
      <c r="F261" s="5"/>
      <c r="G261" s="5"/>
      <c r="H261" s="1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3">
      <c r="A262" s="5"/>
      <c r="B262" s="5"/>
      <c r="C262" s="5"/>
      <c r="D262" s="5"/>
      <c r="E262" s="5"/>
      <c r="F262" s="5"/>
      <c r="G262" s="5"/>
      <c r="H262" s="1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3">
      <c r="A263" s="5"/>
      <c r="B263" s="5"/>
      <c r="C263" s="5"/>
      <c r="D263" s="5"/>
      <c r="E263" s="5"/>
      <c r="F263" s="5"/>
      <c r="G263" s="5"/>
      <c r="H263" s="1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3">
      <c r="A264" s="5"/>
      <c r="B264" s="5"/>
      <c r="C264" s="5"/>
      <c r="D264" s="5"/>
      <c r="E264" s="5"/>
      <c r="F264" s="5"/>
      <c r="G264" s="5"/>
      <c r="H264" s="1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3">
      <c r="A265" s="5"/>
      <c r="B265" s="5"/>
      <c r="C265" s="5"/>
      <c r="D265" s="5"/>
      <c r="E265" s="5"/>
      <c r="F265" s="5"/>
      <c r="G265" s="5"/>
      <c r="H265" s="1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3">
      <c r="A266" s="5"/>
      <c r="B266" s="5"/>
      <c r="C266" s="5"/>
      <c r="D266" s="5"/>
      <c r="E266" s="5"/>
      <c r="F266" s="5"/>
      <c r="G266" s="5"/>
      <c r="H266" s="1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3">
      <c r="A267" s="5"/>
      <c r="B267" s="5"/>
      <c r="C267" s="5"/>
      <c r="D267" s="5"/>
      <c r="E267" s="5"/>
      <c r="F267" s="5"/>
      <c r="G267" s="5"/>
      <c r="H267" s="1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3">
      <c r="A268" s="5"/>
      <c r="B268" s="5"/>
      <c r="C268" s="5"/>
      <c r="D268" s="5"/>
      <c r="E268" s="5"/>
      <c r="F268" s="5"/>
      <c r="G268" s="5"/>
      <c r="H268" s="1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3">
      <c r="A269" s="5"/>
      <c r="B269" s="5"/>
      <c r="C269" s="5"/>
      <c r="D269" s="5"/>
      <c r="E269" s="5"/>
      <c r="F269" s="5"/>
      <c r="G269" s="5"/>
      <c r="H269" s="1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3">
      <c r="A270" s="5"/>
      <c r="B270" s="5"/>
      <c r="C270" s="5"/>
      <c r="D270" s="5"/>
      <c r="E270" s="5"/>
      <c r="F270" s="5"/>
      <c r="G270" s="5"/>
      <c r="H270" s="1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3">
      <c r="A271" s="5"/>
      <c r="B271" s="5"/>
      <c r="C271" s="5"/>
      <c r="D271" s="5"/>
      <c r="E271" s="5"/>
      <c r="F271" s="5"/>
      <c r="G271" s="5"/>
      <c r="H271" s="1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3">
      <c r="A272" s="5"/>
      <c r="B272" s="5"/>
      <c r="C272" s="5"/>
      <c r="D272" s="5"/>
      <c r="E272" s="5"/>
      <c r="F272" s="5"/>
      <c r="G272" s="5"/>
      <c r="H272" s="1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3">
      <c r="A273" s="5"/>
      <c r="B273" s="5"/>
      <c r="C273" s="5"/>
      <c r="D273" s="5"/>
      <c r="E273" s="5"/>
      <c r="F273" s="5"/>
      <c r="G273" s="5"/>
      <c r="H273" s="1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3">
      <c r="A274" s="5"/>
      <c r="B274" s="5"/>
      <c r="C274" s="5"/>
      <c r="D274" s="5"/>
      <c r="E274" s="5"/>
      <c r="F274" s="5"/>
      <c r="G274" s="5"/>
      <c r="H274" s="1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3">
      <c r="A275" s="5"/>
      <c r="B275" s="5"/>
      <c r="C275" s="5"/>
      <c r="D275" s="5"/>
      <c r="E275" s="5"/>
      <c r="F275" s="5"/>
      <c r="G275" s="5"/>
      <c r="H275" s="1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3">
      <c r="A276" s="5"/>
      <c r="B276" s="5"/>
      <c r="C276" s="5"/>
      <c r="D276" s="5"/>
      <c r="E276" s="5"/>
      <c r="F276" s="5"/>
      <c r="G276" s="5"/>
      <c r="H276" s="1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3">
      <c r="A277" s="5"/>
      <c r="B277" s="5"/>
      <c r="C277" s="5"/>
      <c r="D277" s="5"/>
      <c r="E277" s="5"/>
      <c r="F277" s="5"/>
      <c r="G277" s="5"/>
      <c r="H277" s="1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3">
      <c r="A278" s="5"/>
      <c r="B278" s="5"/>
      <c r="C278" s="5"/>
      <c r="D278" s="5"/>
      <c r="E278" s="5"/>
      <c r="F278" s="5"/>
      <c r="G278" s="5"/>
      <c r="H278" s="1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" customHeight="1" x14ac:dyDescent="0.3">
      <c r="H1001" s="5"/>
      <c r="I1001" s="5"/>
      <c r="J1001" s="5"/>
      <c r="K1001" s="5"/>
      <c r="L1001" s="5"/>
      <c r="M1001" s="5"/>
      <c r="N1001" s="5"/>
      <c r="O1001" s="5"/>
      <c r="P1001" s="5"/>
    </row>
    <row r="1002" spans="1:26" ht="15" customHeight="1" x14ac:dyDescent="0.3">
      <c r="H1002" s="5"/>
      <c r="I1002" s="5"/>
      <c r="J1002" s="5"/>
      <c r="K1002" s="5"/>
      <c r="L1002" s="5"/>
      <c r="M1002" s="5"/>
      <c r="N1002" s="5"/>
      <c r="O1002" s="5"/>
      <c r="P1002" s="5"/>
    </row>
    <row r="1003" spans="1:26" ht="15" customHeight="1" x14ac:dyDescent="0.3">
      <c r="H1003" s="5"/>
      <c r="I1003" s="5"/>
      <c r="J1003" s="5"/>
      <c r="K1003" s="5"/>
      <c r="L1003" s="5"/>
      <c r="M1003" s="5"/>
      <c r="N1003" s="5"/>
      <c r="O1003" s="5"/>
      <c r="P1003" s="5"/>
    </row>
    <row r="1004" spans="1:26" ht="15" customHeight="1" x14ac:dyDescent="0.3">
      <c r="H1004" s="5"/>
      <c r="I1004" s="5"/>
      <c r="J1004" s="5"/>
      <c r="K1004" s="5"/>
      <c r="L1004" s="5"/>
      <c r="M1004" s="5"/>
      <c r="N1004" s="5"/>
      <c r="O1004" s="5"/>
      <c r="P1004" s="5"/>
    </row>
    <row r="1005" spans="1:26" ht="15" customHeight="1" x14ac:dyDescent="0.3">
      <c r="H1005" s="5"/>
      <c r="I1005" s="5"/>
      <c r="J1005" s="5"/>
      <c r="K1005" s="5"/>
      <c r="L1005" s="5"/>
      <c r="M1005" s="5"/>
      <c r="N1005" s="5"/>
      <c r="O1005" s="5"/>
      <c r="P1005" s="5"/>
    </row>
    <row r="1006" spans="1:26" ht="15" customHeight="1" x14ac:dyDescent="0.3">
      <c r="H1006" s="5"/>
      <c r="I1006" s="5"/>
      <c r="J1006" s="5"/>
      <c r="K1006" s="5"/>
      <c r="L1006" s="5"/>
      <c r="M1006" s="5"/>
      <c r="N1006" s="5"/>
      <c r="O1006" s="5"/>
      <c r="P1006" s="5"/>
    </row>
    <row r="1007" spans="1:26" ht="15" customHeight="1" x14ac:dyDescent="0.3">
      <c r="H1007" s="5"/>
      <c r="I1007" s="5"/>
      <c r="J1007" s="5"/>
      <c r="K1007" s="5"/>
      <c r="L1007" s="5"/>
      <c r="M1007" s="5"/>
      <c r="N1007" s="5"/>
      <c r="O1007" s="5"/>
      <c r="P1007" s="5"/>
    </row>
    <row r="1008" spans="1:26" ht="15" customHeight="1" x14ac:dyDescent="0.3">
      <c r="H1008" s="5"/>
      <c r="I1008" s="5"/>
      <c r="J1008" s="5"/>
      <c r="K1008" s="5"/>
      <c r="L1008" s="5"/>
      <c r="M1008" s="5"/>
      <c r="N1008" s="5"/>
      <c r="O1008" s="5"/>
      <c r="P1008" s="5"/>
    </row>
    <row r="1009" spans="8:16" ht="15" customHeight="1" x14ac:dyDescent="0.3">
      <c r="H1009" s="5"/>
      <c r="I1009" s="5"/>
      <c r="J1009" s="5"/>
      <c r="K1009" s="5"/>
      <c r="L1009" s="5"/>
      <c r="M1009" s="5"/>
      <c r="N1009" s="5"/>
      <c r="O1009" s="5"/>
      <c r="P1009" s="5"/>
    </row>
    <row r="1010" spans="8:16" ht="15" customHeight="1" x14ac:dyDescent="0.3">
      <c r="H1010" s="5"/>
      <c r="I1010" s="5"/>
      <c r="J1010" s="5"/>
      <c r="K1010" s="5"/>
      <c r="L1010" s="5"/>
      <c r="M1010" s="5"/>
      <c r="N1010" s="5"/>
      <c r="O1010" s="5"/>
      <c r="P1010" s="5"/>
    </row>
    <row r="1011" spans="8:16" ht="15" customHeight="1" x14ac:dyDescent="0.3">
      <c r="H1011" s="5"/>
      <c r="I1011" s="5"/>
      <c r="J1011" s="5"/>
      <c r="K1011" s="5"/>
      <c r="L1011" s="5"/>
      <c r="M1011" s="5"/>
      <c r="N1011" s="5"/>
      <c r="O1011" s="5"/>
      <c r="P1011" s="5"/>
    </row>
    <row r="1012" spans="8:16" ht="15" customHeight="1" x14ac:dyDescent="0.3">
      <c r="H1012" s="5"/>
      <c r="I1012" s="5"/>
      <c r="J1012" s="5"/>
      <c r="K1012" s="5"/>
      <c r="L1012" s="5"/>
      <c r="M1012" s="5"/>
      <c r="N1012" s="5"/>
      <c r="O1012" s="5"/>
      <c r="P1012" s="5"/>
    </row>
    <row r="1013" spans="8:16" ht="15" customHeight="1" x14ac:dyDescent="0.3">
      <c r="H1013" s="5"/>
      <c r="I1013" s="5"/>
      <c r="J1013" s="5"/>
      <c r="K1013" s="5"/>
      <c r="L1013" s="5"/>
      <c r="M1013" s="5"/>
      <c r="N1013" s="5"/>
      <c r="O1013" s="5"/>
      <c r="P1013" s="5"/>
    </row>
    <row r="1014" spans="8:16" ht="15" customHeight="1" x14ac:dyDescent="0.3">
      <c r="H1014" s="5"/>
      <c r="I1014" s="5"/>
      <c r="J1014" s="5"/>
      <c r="K1014" s="5"/>
      <c r="L1014" s="5"/>
      <c r="M1014" s="5"/>
      <c r="N1014" s="5"/>
      <c r="O1014" s="5"/>
      <c r="P1014" s="5"/>
    </row>
    <row r="1015" spans="8:16" ht="15" customHeight="1" x14ac:dyDescent="0.3">
      <c r="H1015" s="5"/>
      <c r="I1015" s="5"/>
      <c r="J1015" s="5"/>
      <c r="K1015" s="5"/>
      <c r="L1015" s="5"/>
      <c r="M1015" s="5"/>
      <c r="N1015" s="5"/>
      <c r="O1015" s="5"/>
      <c r="P1015" s="5"/>
    </row>
    <row r="1016" spans="8:16" ht="15" customHeight="1" x14ac:dyDescent="0.3">
      <c r="H1016" s="5"/>
      <c r="I1016" s="5"/>
      <c r="J1016" s="5"/>
      <c r="K1016" s="5"/>
      <c r="L1016" s="5"/>
      <c r="M1016" s="5"/>
      <c r="N1016" s="5"/>
      <c r="O1016" s="5"/>
      <c r="P1016" s="5"/>
    </row>
    <row r="1017" spans="8:16" ht="15" customHeight="1" x14ac:dyDescent="0.3">
      <c r="H1017" s="5"/>
      <c r="I1017" s="5"/>
      <c r="J1017" s="5"/>
      <c r="K1017" s="5"/>
      <c r="L1017" s="5"/>
      <c r="M1017" s="5"/>
      <c r="N1017" s="5"/>
      <c r="O1017" s="5"/>
      <c r="P1017" s="5"/>
    </row>
    <row r="1018" spans="8:16" ht="15" customHeight="1" x14ac:dyDescent="0.3">
      <c r="H1018" s="5"/>
      <c r="I1018" s="5"/>
      <c r="J1018" s="5"/>
      <c r="K1018" s="5"/>
      <c r="L1018" s="5"/>
      <c r="M1018" s="5"/>
      <c r="N1018" s="5"/>
      <c r="O1018" s="5"/>
      <c r="P1018" s="5"/>
    </row>
    <row r="1019" spans="8:16" ht="15" customHeight="1" x14ac:dyDescent="0.3">
      <c r="H1019" s="5"/>
      <c r="I1019" s="5"/>
      <c r="J1019" s="5"/>
      <c r="K1019" s="5"/>
      <c r="L1019" s="5"/>
      <c r="M1019" s="5"/>
      <c r="N1019" s="5"/>
      <c r="O1019" s="5"/>
      <c r="P1019" s="5"/>
    </row>
    <row r="1020" spans="8:16" ht="15" customHeight="1" x14ac:dyDescent="0.3">
      <c r="H1020" s="5"/>
      <c r="I1020" s="5"/>
      <c r="J1020" s="5"/>
      <c r="K1020" s="5"/>
      <c r="L1020" s="5"/>
      <c r="M1020" s="5"/>
      <c r="N1020" s="5"/>
      <c r="O1020" s="5"/>
      <c r="P1020" s="5"/>
    </row>
    <row r="1021" spans="8:16" ht="15" customHeight="1" x14ac:dyDescent="0.3">
      <c r="H1021" s="5"/>
      <c r="I1021" s="5"/>
      <c r="J1021" s="5"/>
      <c r="K1021" s="5"/>
      <c r="L1021" s="5"/>
      <c r="M1021" s="5"/>
      <c r="N1021" s="5"/>
      <c r="O1021" s="5"/>
      <c r="P1021" s="5"/>
    </row>
    <row r="1022" spans="8:16" ht="15" customHeight="1" x14ac:dyDescent="0.3">
      <c r="H1022" s="5"/>
      <c r="I1022" s="5"/>
      <c r="J1022" s="5"/>
      <c r="K1022" s="5"/>
      <c r="L1022" s="5"/>
      <c r="M1022" s="5"/>
      <c r="N1022" s="5"/>
      <c r="O1022" s="5"/>
      <c r="P1022" s="5"/>
    </row>
    <row r="1023" spans="8:16" ht="15" customHeight="1" x14ac:dyDescent="0.3">
      <c r="H1023" s="5"/>
      <c r="I1023" s="5"/>
      <c r="J1023" s="5"/>
      <c r="K1023" s="5"/>
      <c r="L1023" s="5"/>
      <c r="M1023" s="5"/>
      <c r="N1023" s="5"/>
      <c r="O1023" s="5"/>
      <c r="P1023" s="5"/>
    </row>
    <row r="1024" spans="8:16" ht="15" customHeight="1" x14ac:dyDescent="0.3">
      <c r="H1024" s="5"/>
      <c r="I1024" s="5"/>
      <c r="J1024" s="5"/>
      <c r="K1024" s="5"/>
      <c r="L1024" s="5"/>
      <c r="M1024" s="5"/>
      <c r="N1024" s="5"/>
      <c r="O1024" s="5"/>
      <c r="P1024" s="5"/>
    </row>
    <row r="1025" spans="8:16" ht="15" customHeight="1" x14ac:dyDescent="0.3">
      <c r="H1025" s="5"/>
      <c r="I1025" s="5"/>
      <c r="J1025" s="5"/>
      <c r="K1025" s="5"/>
      <c r="L1025" s="5"/>
      <c r="M1025" s="5"/>
      <c r="N1025" s="5"/>
      <c r="O1025" s="5"/>
      <c r="P1025" s="5"/>
    </row>
    <row r="1026" spans="8:16" ht="15" customHeight="1" x14ac:dyDescent="0.3">
      <c r="H1026" s="5"/>
      <c r="I1026" s="5"/>
      <c r="J1026" s="5"/>
      <c r="K1026" s="5"/>
      <c r="L1026" s="5"/>
      <c r="M1026" s="5"/>
      <c r="N1026" s="5"/>
      <c r="O1026" s="5"/>
      <c r="P1026" s="5"/>
    </row>
    <row r="1027" spans="8:16" ht="15" customHeight="1" x14ac:dyDescent="0.3">
      <c r="H1027" s="5"/>
      <c r="I1027" s="5"/>
      <c r="J1027" s="5"/>
      <c r="K1027" s="5"/>
      <c r="L1027" s="5"/>
      <c r="M1027" s="5"/>
      <c r="N1027" s="5"/>
      <c r="O1027" s="5"/>
      <c r="P1027" s="5"/>
    </row>
    <row r="1028" spans="8:16" ht="15" customHeight="1" x14ac:dyDescent="0.3">
      <c r="H1028" s="5"/>
      <c r="I1028" s="5"/>
      <c r="J1028" s="5"/>
      <c r="K1028" s="5"/>
      <c r="L1028" s="5"/>
      <c r="M1028" s="5"/>
      <c r="N1028" s="5"/>
      <c r="O1028" s="5"/>
      <c r="P1028" s="5"/>
    </row>
    <row r="1029" spans="8:16" ht="15" customHeight="1" x14ac:dyDescent="0.3">
      <c r="H1029" s="5"/>
      <c r="I1029" s="5"/>
      <c r="J1029" s="5"/>
      <c r="K1029" s="5"/>
      <c r="L1029" s="5"/>
      <c r="M1029" s="5"/>
      <c r="N1029" s="5"/>
      <c r="O1029" s="5"/>
      <c r="P1029" s="5"/>
    </row>
    <row r="1030" spans="8:16" ht="15" customHeight="1" x14ac:dyDescent="0.3">
      <c r="H1030" s="5"/>
      <c r="I1030" s="5"/>
      <c r="J1030" s="5"/>
      <c r="K1030" s="5"/>
      <c r="L1030" s="5"/>
      <c r="M1030" s="5"/>
      <c r="N1030" s="5"/>
      <c r="O1030" s="5"/>
      <c r="P1030" s="5"/>
    </row>
    <row r="1031" spans="8:16" ht="15" customHeight="1" x14ac:dyDescent="0.3">
      <c r="H1031" s="5"/>
      <c r="I1031" s="5"/>
      <c r="J1031" s="5"/>
      <c r="K1031" s="5"/>
      <c r="L1031" s="5"/>
      <c r="M1031" s="5"/>
      <c r="N1031" s="5"/>
      <c r="O1031" s="5"/>
      <c r="P1031" s="5"/>
    </row>
    <row r="1032" spans="8:16" ht="15" customHeight="1" x14ac:dyDescent="0.3">
      <c r="H1032" s="5"/>
      <c r="I1032" s="5"/>
      <c r="J1032" s="5"/>
      <c r="K1032" s="5"/>
      <c r="L1032" s="5"/>
      <c r="M1032" s="5"/>
      <c r="N1032" s="5"/>
      <c r="O1032" s="5"/>
      <c r="P1032" s="5"/>
    </row>
    <row r="1033" spans="8:16" ht="15" customHeight="1" x14ac:dyDescent="0.3">
      <c r="H1033" s="5"/>
      <c r="I1033" s="5"/>
      <c r="J1033" s="5"/>
      <c r="K1033" s="5"/>
      <c r="L1033" s="5"/>
      <c r="M1033" s="5"/>
      <c r="N1033" s="5"/>
      <c r="O1033" s="5"/>
      <c r="P1033" s="5"/>
    </row>
    <row r="1034" spans="8:16" ht="15" customHeight="1" x14ac:dyDescent="0.3">
      <c r="H1034" s="5"/>
      <c r="I1034" s="5"/>
      <c r="J1034" s="5"/>
      <c r="K1034" s="5"/>
      <c r="L1034" s="5"/>
      <c r="M1034" s="5"/>
      <c r="N1034" s="5"/>
      <c r="O1034" s="5"/>
      <c r="P1034" s="5"/>
    </row>
    <row r="1035" spans="8:16" ht="15" customHeight="1" x14ac:dyDescent="0.3">
      <c r="H1035" s="5"/>
      <c r="I1035" s="5"/>
      <c r="J1035" s="5"/>
      <c r="K1035" s="5"/>
      <c r="L1035" s="5"/>
      <c r="M1035" s="5"/>
      <c r="N1035" s="5"/>
      <c r="O1035" s="5"/>
      <c r="P1035" s="5"/>
    </row>
    <row r="1036" spans="8:16" ht="15" customHeight="1" x14ac:dyDescent="0.3">
      <c r="H1036" s="5"/>
      <c r="I1036" s="5"/>
      <c r="J1036" s="5"/>
      <c r="K1036" s="5"/>
      <c r="L1036" s="5"/>
      <c r="M1036" s="5"/>
      <c r="N1036" s="5"/>
      <c r="O1036" s="5"/>
      <c r="P1036" s="5"/>
    </row>
    <row r="1037" spans="8:16" ht="15" customHeight="1" x14ac:dyDescent="0.3">
      <c r="H1037" s="5"/>
      <c r="I1037" s="5"/>
      <c r="J1037" s="5"/>
      <c r="K1037" s="5"/>
      <c r="L1037" s="5"/>
      <c r="M1037" s="5"/>
      <c r="N1037" s="5"/>
      <c r="O1037" s="5"/>
      <c r="P1037" s="5"/>
    </row>
    <row r="1038" spans="8:16" ht="15" customHeight="1" x14ac:dyDescent="0.3">
      <c r="H1038" s="5"/>
      <c r="I1038" s="5"/>
      <c r="J1038" s="5"/>
      <c r="K1038" s="5"/>
      <c r="L1038" s="5"/>
      <c r="M1038" s="5"/>
      <c r="N1038" s="5"/>
      <c r="O1038" s="5"/>
      <c r="P1038" s="5"/>
    </row>
    <row r="1039" spans="8:16" ht="15" customHeight="1" x14ac:dyDescent="0.3">
      <c r="H1039" s="5"/>
      <c r="I1039" s="5"/>
      <c r="J1039" s="5"/>
      <c r="K1039" s="5"/>
      <c r="L1039" s="5"/>
      <c r="M1039" s="5"/>
      <c r="N1039" s="5"/>
      <c r="O1039" s="5"/>
      <c r="P1039" s="5"/>
    </row>
    <row r="1040" spans="8:16" ht="15" customHeight="1" x14ac:dyDescent="0.3">
      <c r="H1040" s="5"/>
      <c r="I1040" s="5"/>
      <c r="J1040" s="5"/>
      <c r="K1040" s="5"/>
      <c r="L1040" s="5"/>
      <c r="M1040" s="5"/>
      <c r="N1040" s="5"/>
      <c r="O1040" s="5"/>
      <c r="P1040" s="5"/>
    </row>
    <row r="1041" spans="8:16" ht="15" customHeight="1" x14ac:dyDescent="0.3">
      <c r="H1041" s="5"/>
      <c r="I1041" s="5"/>
      <c r="J1041" s="5"/>
      <c r="K1041" s="5"/>
      <c r="L1041" s="5"/>
      <c r="M1041" s="5"/>
      <c r="N1041" s="5"/>
      <c r="O1041" s="5"/>
      <c r="P1041" s="5"/>
    </row>
  </sheetData>
  <mergeCells count="3">
    <mergeCell ref="A1:E1"/>
    <mergeCell ref="H1:P1"/>
    <mergeCell ref="O78:P78"/>
  </mergeCells>
  <conditionalFormatting sqref="E3:E4 E6">
    <cfRule type="cellIs" dxfId="0" priority="1" operator="lessThan">
      <formula>1500</formula>
    </cfRule>
  </conditionalFormatting>
  <pageMargins left="0.7" right="0.7" top="0.75" bottom="0.75" header="0" footer="0"/>
  <pageSetup orientation="landscape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Z1011"/>
  <sheetViews>
    <sheetView topLeftCell="A228" workbookViewId="0">
      <selection activeCell="A254" sqref="A254"/>
    </sheetView>
  </sheetViews>
  <sheetFormatPr defaultColWidth="14.44140625" defaultRowHeight="15" customHeight="1" x14ac:dyDescent="0.3"/>
  <cols>
    <col min="1" max="2" width="21.109375" customWidth="1"/>
    <col min="3" max="3" width="16.44140625" customWidth="1"/>
    <col min="4" max="4" width="15.44140625" customWidth="1"/>
    <col min="5" max="5" width="17" customWidth="1"/>
    <col min="6" max="6" width="20.5546875" customWidth="1"/>
    <col min="7" max="8" width="14.6640625" customWidth="1"/>
    <col min="9" max="9" width="28.44140625" customWidth="1"/>
    <col min="10" max="11" width="13.88671875" customWidth="1"/>
    <col min="12" max="12" width="11.6640625" customWidth="1"/>
    <col min="13" max="14" width="8.88671875" customWidth="1"/>
    <col min="15" max="26" width="8.6640625" customWidth="1"/>
  </cols>
  <sheetData>
    <row r="1" spans="1:26" ht="13.5" customHeight="1" x14ac:dyDescent="0.3">
      <c r="A1" s="1" t="s">
        <v>7</v>
      </c>
      <c r="B1" s="1"/>
      <c r="C1" s="2">
        <v>36249</v>
      </c>
      <c r="D1" s="2">
        <v>12951</v>
      </c>
      <c r="E1" s="2">
        <v>27540</v>
      </c>
      <c r="F1" s="2">
        <v>7191</v>
      </c>
      <c r="G1" s="2">
        <v>6614230</v>
      </c>
      <c r="H1" s="2">
        <v>6416973</v>
      </c>
      <c r="I1" s="5"/>
      <c r="J1" s="4" t="s">
        <v>8</v>
      </c>
      <c r="K1" s="3"/>
      <c r="L1" s="3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190" t="s">
        <v>9</v>
      </c>
      <c r="B2" s="190" t="s">
        <v>10</v>
      </c>
      <c r="C2" s="190" t="s">
        <v>11</v>
      </c>
      <c r="D2" s="190" t="s">
        <v>12</v>
      </c>
      <c r="E2" s="190" t="s">
        <v>13</v>
      </c>
      <c r="F2" s="190" t="s">
        <v>170</v>
      </c>
      <c r="G2" s="190" t="s">
        <v>15</v>
      </c>
      <c r="H2" s="190" t="s">
        <v>16</v>
      </c>
      <c r="I2" s="190" t="s">
        <v>17</v>
      </c>
      <c r="J2" s="190" t="s">
        <v>18</v>
      </c>
      <c r="K2" s="190" t="s">
        <v>19</v>
      </c>
      <c r="L2" s="190" t="s">
        <v>20</v>
      </c>
      <c r="M2" s="190" t="s">
        <v>107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 x14ac:dyDescent="0.3">
      <c r="A3" s="191" t="s">
        <v>7</v>
      </c>
      <c r="B3" s="191"/>
      <c r="C3" s="192">
        <v>2225570</v>
      </c>
      <c r="D3" s="192">
        <v>2554625</v>
      </c>
      <c r="E3" s="192">
        <v>2124991</v>
      </c>
      <c r="F3" s="192">
        <v>1414452</v>
      </c>
      <c r="G3" s="192">
        <v>2219523.466</v>
      </c>
      <c r="H3" s="192"/>
      <c r="I3" s="193"/>
      <c r="J3" s="193"/>
      <c r="K3" s="193"/>
      <c r="L3" s="193"/>
      <c r="M3" s="19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94">
        <v>46009</v>
      </c>
      <c r="B4" s="194"/>
      <c r="C4" s="193">
        <v>2225823</v>
      </c>
      <c r="D4" s="193">
        <v>2554625</v>
      </c>
      <c r="E4" s="193">
        <v>2125097</v>
      </c>
      <c r="F4" s="193">
        <v>1414759</v>
      </c>
      <c r="G4" s="193">
        <v>2219792.8199999998</v>
      </c>
      <c r="H4" s="193"/>
      <c r="I4" s="193"/>
      <c r="J4" s="193">
        <f>'ODOMETERS Tekrit'!$C4+'ODOMETERS Tekrit'!$D4-D3-C3</f>
        <v>253</v>
      </c>
      <c r="K4" s="193">
        <f>'ODOMETERS Tekrit'!$F4+'ODOMETERS Tekrit'!$E4-E3-F3</f>
        <v>413</v>
      </c>
      <c r="L4" s="195">
        <f>'ODOMETERS Tekrit'!$G4+'ODOMETERS Tekrit'!$H4-H3-G3</f>
        <v>269.35399999981746</v>
      </c>
      <c r="M4" s="193">
        <f>SUM('ODOMETERS Tekrit'!$J4:$L4)</f>
        <v>935.35399999981746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 x14ac:dyDescent="0.3">
      <c r="A5" s="194">
        <v>46010</v>
      </c>
      <c r="B5" s="194" t="s">
        <v>24</v>
      </c>
      <c r="C5" s="193">
        <v>2225933</v>
      </c>
      <c r="D5" s="193">
        <v>2554625</v>
      </c>
      <c r="E5" s="193">
        <v>2125219</v>
      </c>
      <c r="F5" s="193">
        <v>1414884</v>
      </c>
      <c r="G5" s="193">
        <v>2219909.7949999999</v>
      </c>
      <c r="H5" s="193"/>
      <c r="I5" s="193"/>
      <c r="J5" s="193">
        <f>'ODOMETERS Tekrit'!$C5+'ODOMETERS Tekrit'!$D5-D4-C4</f>
        <v>110</v>
      </c>
      <c r="K5" s="193">
        <f>'ODOMETERS Tekrit'!$F5+'ODOMETERS Tekrit'!$E5-E4-F4</f>
        <v>247</v>
      </c>
      <c r="L5" s="195">
        <f>'ODOMETERS Tekrit'!$G5+'ODOMETERS Tekrit'!$H5-H4-G4</f>
        <v>116.97500000009313</v>
      </c>
      <c r="M5" s="193">
        <f>SUM('ODOMETERS Tekrit'!$J5:$L5)</f>
        <v>473.97500000009313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 x14ac:dyDescent="0.3">
      <c r="A6" s="194">
        <v>46011</v>
      </c>
      <c r="B6" s="194"/>
      <c r="C6" s="193">
        <v>2226187</v>
      </c>
      <c r="D6" s="193">
        <v>2554625</v>
      </c>
      <c r="E6" s="193">
        <v>2125358</v>
      </c>
      <c r="F6" s="193">
        <v>1415268</v>
      </c>
      <c r="G6" s="193">
        <v>2220167.0299999998</v>
      </c>
      <c r="H6" s="193"/>
      <c r="I6" s="193"/>
      <c r="J6" s="193">
        <f>'ODOMETERS Tekrit'!$C6+'ODOMETERS Tekrit'!$D6-D5-C5</f>
        <v>254</v>
      </c>
      <c r="K6" s="193">
        <f>'ODOMETERS Tekrit'!$F6+'ODOMETERS Tekrit'!$E6-E5-F5</f>
        <v>523</v>
      </c>
      <c r="L6" s="195">
        <f>'ODOMETERS Tekrit'!$G6+'ODOMETERS Tekrit'!$H6-H5-G5</f>
        <v>257.23499999986961</v>
      </c>
      <c r="M6" s="193">
        <f>SUM('ODOMETERS Tekrit'!$J6:$L6)</f>
        <v>1034.2349999998696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3">
      <c r="A7" s="194">
        <v>46012</v>
      </c>
      <c r="B7" s="194"/>
      <c r="C7" s="193">
        <v>2226303</v>
      </c>
      <c r="D7" s="193">
        <v>2554625</v>
      </c>
      <c r="E7" s="193">
        <v>2125611</v>
      </c>
      <c r="F7" s="193">
        <v>1415829</v>
      </c>
      <c r="G7" s="193">
        <v>2220624.89</v>
      </c>
      <c r="H7" s="193"/>
      <c r="I7" s="193"/>
      <c r="J7" s="193">
        <f>'ODOMETERS Tekrit'!$C7+'ODOMETERS Tekrit'!$D7-D6-C6</f>
        <v>116</v>
      </c>
      <c r="K7" s="193">
        <f>'ODOMETERS Tekrit'!$F7+'ODOMETERS Tekrit'!$E7-E6-F6</f>
        <v>814</v>
      </c>
      <c r="L7" s="195">
        <f>'ODOMETERS Tekrit'!$G7+'ODOMETERS Tekrit'!$H7-H6-G6</f>
        <v>457.86000000033528</v>
      </c>
      <c r="M7" s="193">
        <f>SUM('ODOMETERS Tekrit'!$J7:$L7)</f>
        <v>1387.8600000003353</v>
      </c>
      <c r="N7" s="418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194">
        <v>46013</v>
      </c>
      <c r="B8" s="194"/>
      <c r="C8" s="193">
        <v>2226303</v>
      </c>
      <c r="D8" s="193">
        <v>2554625</v>
      </c>
      <c r="E8" s="193">
        <v>2125817</v>
      </c>
      <c r="F8" s="193">
        <v>1416036</v>
      </c>
      <c r="G8" s="193">
        <v>2220764.7999999998</v>
      </c>
      <c r="H8" s="193"/>
      <c r="I8" s="193"/>
      <c r="J8" s="193">
        <f>'ODOMETERS Tekrit'!$C8+'ODOMETERS Tekrit'!$D8-D7-C7</f>
        <v>0</v>
      </c>
      <c r="K8" s="193">
        <f>'ODOMETERS Tekrit'!$F8+'ODOMETERS Tekrit'!$E8-E7-F7</f>
        <v>413</v>
      </c>
      <c r="L8" s="195">
        <f>'ODOMETERS Tekrit'!$G8+'ODOMETERS Tekrit'!$H8-H7-G7</f>
        <v>139.90999999968335</v>
      </c>
      <c r="M8" s="193">
        <f>SUM('ODOMETERS Tekrit'!$J8:$L8)</f>
        <v>552.90999999968335</v>
      </c>
      <c r="N8" s="419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194">
        <v>46014</v>
      </c>
      <c r="B9" s="194" t="s">
        <v>24</v>
      </c>
      <c r="C9" s="193">
        <v>2226303</v>
      </c>
      <c r="D9" s="193">
        <v>2554625</v>
      </c>
      <c r="E9" s="193">
        <v>2125994</v>
      </c>
      <c r="F9" s="193">
        <v>1416131</v>
      </c>
      <c r="G9" s="193">
        <v>2220835</v>
      </c>
      <c r="H9" s="193"/>
      <c r="I9" s="193"/>
      <c r="J9" s="193">
        <f>'ODOMETERS Tekrit'!$C9+'ODOMETERS Tekrit'!$D9-D8-C8</f>
        <v>0</v>
      </c>
      <c r="K9" s="193">
        <f>'ODOMETERS Tekrit'!$F9+'ODOMETERS Tekrit'!$E9-E8-F8</f>
        <v>272</v>
      </c>
      <c r="L9" s="195">
        <f>'ODOMETERS Tekrit'!$G9+'ODOMETERS Tekrit'!$H9-H8-G8</f>
        <v>70.200000000186265</v>
      </c>
      <c r="M9" s="193">
        <f>SUM('ODOMETERS Tekrit'!$J9:$L9)</f>
        <v>342.20000000018626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194">
        <v>46014</v>
      </c>
      <c r="B10" s="194" t="s">
        <v>25</v>
      </c>
      <c r="C10" s="193">
        <v>2226303</v>
      </c>
      <c r="D10" s="193">
        <v>2554625</v>
      </c>
      <c r="E10" s="193">
        <v>2126149</v>
      </c>
      <c r="F10" s="193">
        <v>1416321</v>
      </c>
      <c r="G10" s="193">
        <v>2220962</v>
      </c>
      <c r="H10" s="193"/>
      <c r="I10" s="193"/>
      <c r="J10" s="193">
        <f>'ODOMETERS Tekrit'!$C10+'ODOMETERS Tekrit'!$D10-D9-C9</f>
        <v>0</v>
      </c>
      <c r="K10" s="193">
        <f>'ODOMETERS Tekrit'!$F10+'ODOMETERS Tekrit'!$E10-E9-F9</f>
        <v>345</v>
      </c>
      <c r="L10" s="195">
        <f>'ODOMETERS Tekrit'!$G10+'ODOMETERS Tekrit'!$H10-H9-G9</f>
        <v>127</v>
      </c>
      <c r="M10" s="193">
        <f>SUM('ODOMETERS Tekrit'!$J10:$L10)</f>
        <v>472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194">
        <v>46015</v>
      </c>
      <c r="B11" s="194"/>
      <c r="C11" s="193">
        <v>2226303</v>
      </c>
      <c r="D11" s="193">
        <v>2554625</v>
      </c>
      <c r="E11" s="193">
        <v>2126305</v>
      </c>
      <c r="F11" s="193">
        <v>1416714</v>
      </c>
      <c r="G11" s="193">
        <v>2221189</v>
      </c>
      <c r="H11" s="193"/>
      <c r="I11" s="193"/>
      <c r="J11" s="193">
        <f>'ODOMETERS Tekrit'!$C11+'ODOMETERS Tekrit'!$D11-D10-C10</f>
        <v>0</v>
      </c>
      <c r="K11" s="193">
        <f>'ODOMETERS Tekrit'!$F11+'ODOMETERS Tekrit'!$E11-E10-F10</f>
        <v>549</v>
      </c>
      <c r="L11" s="195">
        <f>'ODOMETERS Tekrit'!$G11+'ODOMETERS Tekrit'!$H11-H10-G10</f>
        <v>227</v>
      </c>
      <c r="M11" s="193">
        <f>SUM('ODOMETERS Tekrit'!$J11:$L11)</f>
        <v>776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194">
        <v>46016</v>
      </c>
      <c r="B12" s="193"/>
      <c r="C12" s="193">
        <v>2226303</v>
      </c>
      <c r="D12" s="193">
        <v>2554625</v>
      </c>
      <c r="E12" s="193">
        <v>2126523</v>
      </c>
      <c r="F12" s="193">
        <v>1417116</v>
      </c>
      <c r="G12" s="193">
        <v>2221533</v>
      </c>
      <c r="H12" s="193"/>
      <c r="I12" s="193"/>
      <c r="J12" s="193">
        <f>'ODOMETERS Tekrit'!$C12+'ODOMETERS Tekrit'!$D12-D11-C11</f>
        <v>0</v>
      </c>
      <c r="K12" s="193">
        <f>'ODOMETERS Tekrit'!$F12+'ODOMETERS Tekrit'!$E12-E11-F11</f>
        <v>620</v>
      </c>
      <c r="L12" s="195">
        <f>'ODOMETERS Tekrit'!$G12+'ODOMETERS Tekrit'!$H12-H11-G11</f>
        <v>344</v>
      </c>
      <c r="M12" s="193">
        <f>SUM('ODOMETERS Tekrit'!$J12:$L12)</f>
        <v>964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194">
        <v>46017</v>
      </c>
      <c r="B13" s="193"/>
      <c r="C13" s="193">
        <v>2226303</v>
      </c>
      <c r="D13" s="193">
        <v>2554625</v>
      </c>
      <c r="E13" s="193">
        <v>2126670</v>
      </c>
      <c r="F13" s="193">
        <v>1417491</v>
      </c>
      <c r="G13" s="193">
        <v>2221630</v>
      </c>
      <c r="H13" s="193"/>
      <c r="I13" s="193"/>
      <c r="J13" s="193">
        <f>'ODOMETERS Tekrit'!$C13+'ODOMETERS Tekrit'!$D13-D12-C12</f>
        <v>0</v>
      </c>
      <c r="K13" s="193">
        <f>'ODOMETERS Tekrit'!$F13+'ODOMETERS Tekrit'!$E13-E12-F12</f>
        <v>522</v>
      </c>
      <c r="L13" s="195">
        <f>'ODOMETERS Tekrit'!$G13+'ODOMETERS Tekrit'!$H13-H12-G12</f>
        <v>97</v>
      </c>
      <c r="M13" s="193">
        <f>SUM('ODOMETERS Tekrit'!$J13:$L13)</f>
        <v>619</v>
      </c>
      <c r="N13" s="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194">
        <v>46018</v>
      </c>
      <c r="B14" s="193"/>
      <c r="C14" s="193">
        <v>2226473</v>
      </c>
      <c r="D14" s="193">
        <v>2554625</v>
      </c>
      <c r="E14" s="193">
        <v>2126845</v>
      </c>
      <c r="F14" s="193">
        <v>1417995</v>
      </c>
      <c r="G14" s="193">
        <v>2222010</v>
      </c>
      <c r="H14" s="193"/>
      <c r="I14" s="193"/>
      <c r="J14" s="193">
        <f>'ODOMETERS Tekrit'!$C14+'ODOMETERS Tekrit'!$D14-D13-C13</f>
        <v>170</v>
      </c>
      <c r="K14" s="193">
        <f>'ODOMETERS Tekrit'!$F14+'ODOMETERS Tekrit'!$E14-E13-F13</f>
        <v>679</v>
      </c>
      <c r="L14" s="195">
        <f>'ODOMETERS Tekrit'!$G14+'ODOMETERS Tekrit'!$H14-H13-G13</f>
        <v>380</v>
      </c>
      <c r="M14" s="193">
        <f>SUM('ODOMETERS Tekrit'!$J14:$L14)</f>
        <v>1229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194">
        <v>46019</v>
      </c>
      <c r="B15" s="193"/>
      <c r="C15" s="193">
        <v>2227338</v>
      </c>
      <c r="D15" s="193">
        <v>2554625</v>
      </c>
      <c r="E15" s="193">
        <v>2126914</v>
      </c>
      <c r="F15" s="193">
        <v>1418207</v>
      </c>
      <c r="G15" s="193">
        <v>2222375</v>
      </c>
      <c r="H15" s="193"/>
      <c r="I15" s="196" t="s">
        <v>171</v>
      </c>
      <c r="J15" s="193">
        <f>'ODOMETERS Tekrit'!$C15+'ODOMETERS Tekrit'!$D15-D14-C14</f>
        <v>865</v>
      </c>
      <c r="K15" s="193">
        <f>'ODOMETERS Tekrit'!$F15+'ODOMETERS Tekrit'!$E15-E14-F14</f>
        <v>281</v>
      </c>
      <c r="L15" s="195">
        <f>'ODOMETERS Tekrit'!$G15+'ODOMETERS Tekrit'!$H15-H14-G14</f>
        <v>365</v>
      </c>
      <c r="M15" s="193">
        <f>SUM('ODOMETERS Tekrit'!$J15:$L15)</f>
        <v>1511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194">
        <v>46020</v>
      </c>
      <c r="B16" s="193"/>
      <c r="C16" s="193">
        <v>2227779</v>
      </c>
      <c r="D16" s="193">
        <v>2554625</v>
      </c>
      <c r="E16" s="193">
        <v>2126959</v>
      </c>
      <c r="F16" s="193">
        <v>1418234</v>
      </c>
      <c r="G16" s="193">
        <v>2222640</v>
      </c>
      <c r="H16" s="193"/>
      <c r="I16" s="193"/>
      <c r="J16" s="193">
        <f>'ODOMETERS Tekrit'!$C16+'ODOMETERS Tekrit'!$D16-D15-C15</f>
        <v>441</v>
      </c>
      <c r="K16" s="193">
        <f>'ODOMETERS Tekrit'!$F16+'ODOMETERS Tekrit'!$E16-E15-F15</f>
        <v>72</v>
      </c>
      <c r="L16" s="195">
        <f>'ODOMETERS Tekrit'!$G16+'ODOMETERS Tekrit'!$H16-H15-G15</f>
        <v>265</v>
      </c>
      <c r="M16" s="193">
        <f>SUM('ODOMETERS Tekrit'!$J16:$L16)</f>
        <v>778</v>
      </c>
      <c r="N16" s="41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194">
        <v>46021</v>
      </c>
      <c r="B17" s="193" t="s">
        <v>24</v>
      </c>
      <c r="C17" s="193">
        <v>2227980</v>
      </c>
      <c r="D17" s="193">
        <v>2554625</v>
      </c>
      <c r="E17" s="193">
        <v>2126959</v>
      </c>
      <c r="F17" s="193">
        <v>1418260</v>
      </c>
      <c r="G17" s="193">
        <v>2222837</v>
      </c>
      <c r="H17" s="193"/>
      <c r="I17" s="193"/>
      <c r="J17" s="193">
        <f>'ODOMETERS Tekrit'!$C17+'ODOMETERS Tekrit'!$D17-D16-C16</f>
        <v>201</v>
      </c>
      <c r="K17" s="193">
        <f>'ODOMETERS Tekrit'!$F17+'ODOMETERS Tekrit'!$E17-E16-F16</f>
        <v>26</v>
      </c>
      <c r="L17" s="195">
        <f>'ODOMETERS Tekrit'!$G17+'ODOMETERS Tekrit'!$H17-H16-G16</f>
        <v>197</v>
      </c>
      <c r="M17" s="193">
        <f>SUM('ODOMETERS Tekrit'!$J17:$L17)</f>
        <v>424</v>
      </c>
      <c r="N17" s="41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194">
        <v>46021</v>
      </c>
      <c r="B18" s="193" t="s">
        <v>25</v>
      </c>
      <c r="C18" s="193">
        <v>2228125</v>
      </c>
      <c r="D18" s="193">
        <v>2554625</v>
      </c>
      <c r="E18" s="193">
        <v>2126963</v>
      </c>
      <c r="F18" s="193">
        <v>1418347</v>
      </c>
      <c r="G18" s="193">
        <v>2222950</v>
      </c>
      <c r="H18" s="193"/>
      <c r="I18" s="193"/>
      <c r="J18" s="193">
        <f>'ODOMETERS Tekrit'!$C18+'ODOMETERS Tekrit'!$D18-D17-C17</f>
        <v>145</v>
      </c>
      <c r="K18" s="193">
        <f>'ODOMETERS Tekrit'!$F18+'ODOMETERS Tekrit'!$E18-E17-F17</f>
        <v>91</v>
      </c>
      <c r="L18" s="195">
        <f>'ODOMETERS Tekrit'!$G18+'ODOMETERS Tekrit'!$H18-H17-G17</f>
        <v>113</v>
      </c>
      <c r="M18" s="193">
        <f>SUM('ODOMETERS Tekrit'!$J18:$L18)</f>
        <v>349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194">
        <v>46022</v>
      </c>
      <c r="B19" s="193"/>
      <c r="C19" s="193">
        <v>2228693</v>
      </c>
      <c r="D19" s="193">
        <v>2554625</v>
      </c>
      <c r="E19" s="193">
        <v>2126971</v>
      </c>
      <c r="F19" s="193">
        <v>1418411</v>
      </c>
      <c r="G19" s="193">
        <v>2223187</v>
      </c>
      <c r="H19" s="193"/>
      <c r="I19" s="193"/>
      <c r="J19" s="193">
        <f>'ODOMETERS Tekrit'!$C19+'ODOMETERS Tekrit'!$D19-D18-C18</f>
        <v>568</v>
      </c>
      <c r="K19" s="193">
        <f>'ODOMETERS Tekrit'!$F19+'ODOMETERS Tekrit'!$E19-E18-F18</f>
        <v>72</v>
      </c>
      <c r="L19" s="195">
        <f>'ODOMETERS Tekrit'!$G19+'ODOMETERS Tekrit'!$H19-H18-G18</f>
        <v>237</v>
      </c>
      <c r="M19" s="193">
        <f>SUM('ODOMETERS Tekrit'!$J19:$L19)</f>
        <v>877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194">
        <v>46023</v>
      </c>
      <c r="B20" s="193"/>
      <c r="C20" s="193">
        <v>2228914</v>
      </c>
      <c r="D20" s="193">
        <v>2554625</v>
      </c>
      <c r="E20" s="193">
        <v>2126976</v>
      </c>
      <c r="F20" s="193">
        <v>1418649</v>
      </c>
      <c r="G20" s="193">
        <v>2223572</v>
      </c>
      <c r="H20" s="193"/>
      <c r="I20" s="193"/>
      <c r="J20" s="193">
        <f>'ODOMETERS Tekrit'!$C20+'ODOMETERS Tekrit'!$D20-D19-C19</f>
        <v>221</v>
      </c>
      <c r="K20" s="193">
        <f>'ODOMETERS Tekrit'!$F20+'ODOMETERS Tekrit'!$E20-E19-F19</f>
        <v>243</v>
      </c>
      <c r="L20" s="195">
        <f>'ODOMETERS Tekrit'!$G20+'ODOMETERS Tekrit'!$H20-H19-G19</f>
        <v>385</v>
      </c>
      <c r="M20" s="193">
        <f>SUM('ODOMETERS Tekrit'!$J20:$L20)</f>
        <v>849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194">
        <v>46024</v>
      </c>
      <c r="B21" s="193"/>
      <c r="C21" s="193">
        <v>2228929</v>
      </c>
      <c r="D21" s="193">
        <v>2554625</v>
      </c>
      <c r="E21" s="193">
        <v>2127355</v>
      </c>
      <c r="F21" s="193">
        <v>1419198</v>
      </c>
      <c r="G21" s="193">
        <v>2224195</v>
      </c>
      <c r="H21" s="193"/>
      <c r="I21" s="193"/>
      <c r="J21" s="193">
        <f>'ODOMETERS Tekrit'!$C21+'ODOMETERS Tekrit'!$D21-D20-C20</f>
        <v>15</v>
      </c>
      <c r="K21" s="193">
        <f>'ODOMETERS Tekrit'!$F21+'ODOMETERS Tekrit'!$E21-E20-F20</f>
        <v>928</v>
      </c>
      <c r="L21" s="195">
        <f>'ODOMETERS Tekrit'!$G21+'ODOMETERS Tekrit'!$H21-H20-G20</f>
        <v>623</v>
      </c>
      <c r="M21" s="193">
        <f>SUM('ODOMETERS Tekrit'!$J21:$L21)</f>
        <v>1566</v>
      </c>
      <c r="N21" s="418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197" t="s">
        <v>172</v>
      </c>
      <c r="B22" s="193"/>
      <c r="C22" s="193">
        <v>2228955</v>
      </c>
      <c r="D22" s="193">
        <v>2554625</v>
      </c>
      <c r="E22" s="193">
        <v>2127635</v>
      </c>
      <c r="F22" s="193">
        <v>1419965</v>
      </c>
      <c r="G22" s="193">
        <v>2224586</v>
      </c>
      <c r="H22" s="193"/>
      <c r="I22" s="193"/>
      <c r="J22" s="193">
        <f>'ODOMETERS Tekrit'!$C22+'ODOMETERS Tekrit'!$D22-D21-C21</f>
        <v>26</v>
      </c>
      <c r="K22" s="193">
        <f>'ODOMETERS Tekrit'!$F22+'ODOMETERS Tekrit'!$E22-E21-F21</f>
        <v>1047</v>
      </c>
      <c r="L22" s="195">
        <f>'ODOMETERS Tekrit'!$G22+'ODOMETERS Tekrit'!$H22-H21-G21</f>
        <v>391</v>
      </c>
      <c r="M22" s="193">
        <f>SUM('ODOMETERS Tekrit'!$J22:$L22)</f>
        <v>1464</v>
      </c>
      <c r="N22" s="419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194">
        <v>46027</v>
      </c>
      <c r="B23" s="193"/>
      <c r="C23" s="193">
        <f>C22+137</f>
        <v>2229092</v>
      </c>
      <c r="D23" s="193">
        <v>2554625</v>
      </c>
      <c r="E23" s="193">
        <v>2127822</v>
      </c>
      <c r="F23" s="193">
        <v>1420696</v>
      </c>
      <c r="G23" s="193">
        <v>2224907</v>
      </c>
      <c r="H23" s="193"/>
      <c r="I23" s="193"/>
      <c r="J23" s="193">
        <f>'ODOMETERS Tekrit'!$C23+'ODOMETERS Tekrit'!$D23-D22-C22</f>
        <v>137</v>
      </c>
      <c r="K23" s="193">
        <f>'ODOMETERS Tekrit'!$F23+'ODOMETERS Tekrit'!$E23-E22-F22</f>
        <v>918</v>
      </c>
      <c r="L23" s="195">
        <f>'ODOMETERS Tekrit'!$G23+'ODOMETERS Tekrit'!$H23-H22-G22</f>
        <v>321</v>
      </c>
      <c r="M23" s="193">
        <f>SUM('ODOMETERS Tekrit'!$J23:$L23)</f>
        <v>1376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194">
        <v>46028</v>
      </c>
      <c r="B24" s="193"/>
      <c r="C24" s="193">
        <v>2229208</v>
      </c>
      <c r="D24" s="193">
        <v>2554778</v>
      </c>
      <c r="E24" s="193">
        <v>2127904</v>
      </c>
      <c r="F24" s="193">
        <v>1420997</v>
      </c>
      <c r="G24" s="193">
        <v>2225121</v>
      </c>
      <c r="H24" s="193"/>
      <c r="I24" s="193"/>
      <c r="J24" s="193">
        <f>'ODOMETERS Tekrit'!$C24+'ODOMETERS Tekrit'!$D24-D23-C23</f>
        <v>269</v>
      </c>
      <c r="K24" s="193">
        <f>'ODOMETERS Tekrit'!$F24+'ODOMETERS Tekrit'!$E24-E23-F23</f>
        <v>383</v>
      </c>
      <c r="L24" s="195">
        <f>'ODOMETERS Tekrit'!$G24+'ODOMETERS Tekrit'!$H24-H23-G23</f>
        <v>214</v>
      </c>
      <c r="M24" s="193">
        <f>SUM('ODOMETERS Tekrit'!$J24:$L24)</f>
        <v>866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194">
        <v>46029</v>
      </c>
      <c r="B25" s="193" t="s">
        <v>24</v>
      </c>
      <c r="C25" s="193">
        <v>2229309</v>
      </c>
      <c r="D25" s="193">
        <v>2554895</v>
      </c>
      <c r="E25" s="193">
        <v>2127932</v>
      </c>
      <c r="F25" s="193">
        <v>1421004</v>
      </c>
      <c r="G25" s="193">
        <v>2225236</v>
      </c>
      <c r="H25" s="193"/>
      <c r="I25" s="193"/>
      <c r="J25" s="193">
        <f>'ODOMETERS Tekrit'!$C25+'ODOMETERS Tekrit'!$D25-D24-C24</f>
        <v>218</v>
      </c>
      <c r="K25" s="193">
        <f>'ODOMETERS Tekrit'!$F25+'ODOMETERS Tekrit'!$E25-E24-F24</f>
        <v>35</v>
      </c>
      <c r="L25" s="195">
        <f>'ODOMETERS Tekrit'!$G25+'ODOMETERS Tekrit'!$H25-H24-G24</f>
        <v>115</v>
      </c>
      <c r="M25" s="193">
        <f>SUM('ODOMETERS Tekrit'!$J25:$L25)</f>
        <v>368</v>
      </c>
      <c r="N25" s="418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194">
        <v>46030</v>
      </c>
      <c r="B26" s="193"/>
      <c r="C26" s="193">
        <v>2229705</v>
      </c>
      <c r="D26" s="193">
        <v>2555074</v>
      </c>
      <c r="E26" s="193">
        <v>2128023</v>
      </c>
      <c r="F26" s="193">
        <v>1421141</v>
      </c>
      <c r="G26" s="193">
        <v>2225606</v>
      </c>
      <c r="H26" s="193"/>
      <c r="I26" s="193"/>
      <c r="J26" s="193">
        <f>'ODOMETERS Tekrit'!$C26+'ODOMETERS Tekrit'!$D26-D25-C25</f>
        <v>575</v>
      </c>
      <c r="K26" s="193">
        <f>'ODOMETERS Tekrit'!$F26+'ODOMETERS Tekrit'!$E26-E25-F25</f>
        <v>228</v>
      </c>
      <c r="L26" s="195">
        <f>'ODOMETERS Tekrit'!$G26+'ODOMETERS Tekrit'!$H26-H25-G25</f>
        <v>370</v>
      </c>
      <c r="M26" s="193">
        <f>SUM('ODOMETERS Tekrit'!$J26:$L26)</f>
        <v>1173</v>
      </c>
      <c r="N26" s="419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194">
        <v>46031</v>
      </c>
      <c r="B27" s="193" t="s">
        <v>24</v>
      </c>
      <c r="C27" s="193">
        <v>2229819</v>
      </c>
      <c r="D27" s="193">
        <v>2555114</v>
      </c>
      <c r="E27" s="193">
        <v>2128154</v>
      </c>
      <c r="F27" s="193">
        <v>1421266</v>
      </c>
      <c r="G27" s="193">
        <v>2225875</v>
      </c>
      <c r="H27" s="193"/>
      <c r="I27" s="193"/>
      <c r="J27" s="193">
        <f>'ODOMETERS Tekrit'!$C27+'ODOMETERS Tekrit'!$D27-D26-C26</f>
        <v>154</v>
      </c>
      <c r="K27" s="193">
        <f>'ODOMETERS Tekrit'!$F27+'ODOMETERS Tekrit'!$E27-E26-F26</f>
        <v>256</v>
      </c>
      <c r="L27" s="195">
        <f>'ODOMETERS Tekrit'!$G27+'ODOMETERS Tekrit'!$H27-H26-G26</f>
        <v>269</v>
      </c>
      <c r="M27" s="193">
        <f>SUM('ODOMETERS Tekrit'!$J27:$L27)</f>
        <v>679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194">
        <v>46032</v>
      </c>
      <c r="B28" s="193"/>
      <c r="C28" s="193">
        <v>2229984</v>
      </c>
      <c r="D28" s="193">
        <v>2555183</v>
      </c>
      <c r="E28" s="193">
        <v>2128415</v>
      </c>
      <c r="F28" s="193">
        <v>1421569</v>
      </c>
      <c r="G28" s="193">
        <v>2227228</v>
      </c>
      <c r="H28" s="193"/>
      <c r="I28" s="193"/>
      <c r="J28" s="193">
        <f>'ODOMETERS Tekrit'!$C28+'ODOMETERS Tekrit'!$D28-D27-C27</f>
        <v>234</v>
      </c>
      <c r="K28" s="193">
        <f>'ODOMETERS Tekrit'!$F28+'ODOMETERS Tekrit'!$E28-E27-F27</f>
        <v>564</v>
      </c>
      <c r="L28" s="195">
        <f>'ODOMETERS Tekrit'!$G28+'ODOMETERS Tekrit'!$H28-H27-G27</f>
        <v>1353</v>
      </c>
      <c r="M28" s="193">
        <f>SUM('ODOMETERS Tekrit'!$J28:$L28)</f>
        <v>2151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194">
        <v>46033</v>
      </c>
      <c r="B29" s="193"/>
      <c r="C29" s="193">
        <v>2230032</v>
      </c>
      <c r="D29" s="193">
        <v>2555212</v>
      </c>
      <c r="E29" s="193">
        <v>2128520</v>
      </c>
      <c r="F29" s="193">
        <v>1421784</v>
      </c>
      <c r="G29" s="193">
        <v>2227410</v>
      </c>
      <c r="H29" s="193"/>
      <c r="I29" s="193"/>
      <c r="J29" s="193">
        <f>'ODOMETERS Tekrit'!$C29+'ODOMETERS Tekrit'!$D29-D28-C28</f>
        <v>77</v>
      </c>
      <c r="K29" s="193">
        <f>'ODOMETERS Tekrit'!$F29+'ODOMETERS Tekrit'!$E29-E28-F28</f>
        <v>320</v>
      </c>
      <c r="L29" s="195">
        <f>'ODOMETERS Tekrit'!$G29+'ODOMETERS Tekrit'!$H29-H28-G28</f>
        <v>182</v>
      </c>
      <c r="M29" s="193">
        <f>SUM('ODOMETERS Tekrit'!$J29:$L29)</f>
        <v>579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194">
        <v>46034</v>
      </c>
      <c r="B30" s="193"/>
      <c r="C30" s="193">
        <v>2230055</v>
      </c>
      <c r="D30" s="193">
        <v>2555262</v>
      </c>
      <c r="E30" s="193">
        <v>2128694</v>
      </c>
      <c r="F30" s="193">
        <v>1422131</v>
      </c>
      <c r="G30" s="193">
        <v>2227927</v>
      </c>
      <c r="H30" s="193"/>
      <c r="I30" s="193"/>
      <c r="J30" s="193">
        <f>'ODOMETERS Tekrit'!$C30+'ODOMETERS Tekrit'!$D30-D29-C29</f>
        <v>73</v>
      </c>
      <c r="K30" s="193">
        <f>'ODOMETERS Tekrit'!$F30+'ODOMETERS Tekrit'!$E30-E29-F29</f>
        <v>521</v>
      </c>
      <c r="L30" s="195">
        <f>'ODOMETERS Tekrit'!$G30+'ODOMETERS Tekrit'!$H30-H29-G29</f>
        <v>517</v>
      </c>
      <c r="M30" s="193">
        <f>SUM('ODOMETERS Tekrit'!$J30:$L30)</f>
        <v>1111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194">
        <v>46035</v>
      </c>
      <c r="B31" s="193" t="s">
        <v>24</v>
      </c>
      <c r="C31" s="193">
        <v>2230055</v>
      </c>
      <c r="D31" s="193">
        <v>2555265</v>
      </c>
      <c r="E31" s="193">
        <v>2128737</v>
      </c>
      <c r="F31" s="193">
        <v>1422389</v>
      </c>
      <c r="G31" s="193">
        <v>2228100</v>
      </c>
      <c r="H31" s="193"/>
      <c r="I31" s="193"/>
      <c r="J31" s="193">
        <f>'ODOMETERS Tekrit'!$C31+'ODOMETERS Tekrit'!$D31-D30-C30</f>
        <v>3</v>
      </c>
      <c r="K31" s="193">
        <f>'ODOMETERS Tekrit'!$F31+'ODOMETERS Tekrit'!$E31-E30-F30</f>
        <v>301</v>
      </c>
      <c r="L31" s="195">
        <f>'ODOMETERS Tekrit'!$G31+'ODOMETERS Tekrit'!$H31-H30-G30</f>
        <v>173</v>
      </c>
      <c r="M31" s="193">
        <f>SUM('ODOMETERS Tekrit'!$J31:$L31)</f>
        <v>477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194">
        <v>46035</v>
      </c>
      <c r="B32" s="193" t="s">
        <v>25</v>
      </c>
      <c r="C32" s="193">
        <v>2230055</v>
      </c>
      <c r="D32" s="193">
        <v>2555286</v>
      </c>
      <c r="E32" s="193">
        <v>2128760</v>
      </c>
      <c r="F32" s="193">
        <v>1422662</v>
      </c>
      <c r="G32" s="193">
        <v>2228325</v>
      </c>
      <c r="H32" s="193"/>
      <c r="I32" s="193"/>
      <c r="J32" s="193">
        <f>'ODOMETERS Tekrit'!$C32+'ODOMETERS Tekrit'!$D32-D31-C31</f>
        <v>21</v>
      </c>
      <c r="K32" s="193">
        <f>'ODOMETERS Tekrit'!$F32+'ODOMETERS Tekrit'!$E32-E31-F31</f>
        <v>296</v>
      </c>
      <c r="L32" s="195">
        <f>'ODOMETERS Tekrit'!$G32+'ODOMETERS Tekrit'!$H32-H31-G31</f>
        <v>225</v>
      </c>
      <c r="M32" s="193">
        <f>SUM('ODOMETERS Tekrit'!$J32:$L32)</f>
        <v>542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194">
        <v>46036</v>
      </c>
      <c r="B33" s="193"/>
      <c r="C33" s="193">
        <v>2230422</v>
      </c>
      <c r="D33" s="193">
        <v>2555493</v>
      </c>
      <c r="E33" s="193">
        <v>2128791</v>
      </c>
      <c r="F33" s="193">
        <v>1422766</v>
      </c>
      <c r="G33" s="193">
        <v>2228714</v>
      </c>
      <c r="H33" s="193"/>
      <c r="I33" s="193"/>
      <c r="J33" s="193">
        <f>'ODOMETERS Tekrit'!$C33+'ODOMETERS Tekrit'!$D33-D32-C32</f>
        <v>574</v>
      </c>
      <c r="K33" s="193">
        <f>'ODOMETERS Tekrit'!$F33+'ODOMETERS Tekrit'!$E33-E32-F32</f>
        <v>135</v>
      </c>
      <c r="L33" s="195">
        <f>'ODOMETERS Tekrit'!$G33+'ODOMETERS Tekrit'!$H33-H32-G32</f>
        <v>389</v>
      </c>
      <c r="M33" s="193">
        <f>SUM('ODOMETERS Tekrit'!$J33:$L33)</f>
        <v>1098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194">
        <v>46037</v>
      </c>
      <c r="B34" s="193"/>
      <c r="C34" s="193">
        <v>2230627</v>
      </c>
      <c r="D34" s="193">
        <v>2555640</v>
      </c>
      <c r="E34" s="193">
        <v>2128811</v>
      </c>
      <c r="F34" s="193">
        <v>1422797</v>
      </c>
      <c r="G34" s="193">
        <v>2228957</v>
      </c>
      <c r="H34" s="193"/>
      <c r="I34" s="193"/>
      <c r="J34" s="193">
        <f>'ODOMETERS Tekrit'!$C34+'ODOMETERS Tekrit'!$D34-D33-C33</f>
        <v>352</v>
      </c>
      <c r="K34" s="193">
        <f>'ODOMETERS Tekrit'!$F34+'ODOMETERS Tekrit'!$E34-E33-F33</f>
        <v>51</v>
      </c>
      <c r="L34" s="195">
        <f>'ODOMETERS Tekrit'!$G34+'ODOMETERS Tekrit'!$H34-H33-G33</f>
        <v>243</v>
      </c>
      <c r="M34" s="193">
        <f>SUM('ODOMETERS Tekrit'!$J34:$L34)</f>
        <v>646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194">
        <v>46038</v>
      </c>
      <c r="B35" s="193" t="s">
        <v>24</v>
      </c>
      <c r="C35" s="193">
        <v>2230682</v>
      </c>
      <c r="D35" s="193">
        <v>2555669</v>
      </c>
      <c r="E35" s="193">
        <v>2128876</v>
      </c>
      <c r="F35" s="193">
        <v>1422838</v>
      </c>
      <c r="G35" s="193">
        <v>2229049</v>
      </c>
      <c r="H35" s="193"/>
      <c r="I35" s="193"/>
      <c r="J35" s="193">
        <f>'ODOMETERS Tekrit'!$C35+'ODOMETERS Tekrit'!$D35-D34-C34</f>
        <v>84</v>
      </c>
      <c r="K35" s="193">
        <f>'ODOMETERS Tekrit'!$F35+'ODOMETERS Tekrit'!$E35-E34-F34</f>
        <v>106</v>
      </c>
      <c r="L35" s="195">
        <f>'ODOMETERS Tekrit'!$G35+'ODOMETERS Tekrit'!$H35-H34-G34</f>
        <v>92</v>
      </c>
      <c r="M35" s="193">
        <f>SUM('ODOMETERS Tekrit'!$J35:$L35)</f>
        <v>282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194">
        <v>46038</v>
      </c>
      <c r="B36" s="193" t="s">
        <v>25</v>
      </c>
      <c r="C36" s="193">
        <v>2230758</v>
      </c>
      <c r="D36" s="193">
        <v>2555738</v>
      </c>
      <c r="E36" s="193">
        <v>2128893</v>
      </c>
      <c r="F36" s="193">
        <v>1422913</v>
      </c>
      <c r="G36" s="193">
        <v>2229346</v>
      </c>
      <c r="H36" s="193"/>
      <c r="I36" s="193"/>
      <c r="J36" s="193">
        <f>'ODOMETERS Tekrit'!$C36+'ODOMETERS Tekrit'!$D36-D35-C35</f>
        <v>145</v>
      </c>
      <c r="K36" s="193">
        <f>'ODOMETERS Tekrit'!$F36+'ODOMETERS Tekrit'!$E36-E35-F35</f>
        <v>92</v>
      </c>
      <c r="L36" s="195">
        <f>'ODOMETERS Tekrit'!$G36+'ODOMETERS Tekrit'!$H36-H35-G35</f>
        <v>297</v>
      </c>
      <c r="M36" s="193">
        <f>SUM('ODOMETERS Tekrit'!$J36:$L36)</f>
        <v>534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194">
        <v>46039</v>
      </c>
      <c r="B37" s="193"/>
      <c r="C37" s="193">
        <v>2230908</v>
      </c>
      <c r="D37" s="193">
        <v>2555880</v>
      </c>
      <c r="E37" s="193">
        <v>2128933</v>
      </c>
      <c r="F37" s="193">
        <v>1423131</v>
      </c>
      <c r="G37" s="193">
        <v>2229754</v>
      </c>
      <c r="H37" s="193"/>
      <c r="I37" s="193"/>
      <c r="J37" s="193">
        <f>'ODOMETERS Tekrit'!$C37+'ODOMETERS Tekrit'!$D37-D36-C36</f>
        <v>292</v>
      </c>
      <c r="K37" s="193">
        <f>'ODOMETERS Tekrit'!$F37+'ODOMETERS Tekrit'!$E37-E36-F36</f>
        <v>258</v>
      </c>
      <c r="L37" s="195">
        <f>'ODOMETERS Tekrit'!$G37+'ODOMETERS Tekrit'!$H37-H36-G36</f>
        <v>408</v>
      </c>
      <c r="M37" s="193">
        <f>SUM('ODOMETERS Tekrit'!$J37:$L37)</f>
        <v>958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194">
        <v>46040</v>
      </c>
      <c r="B38" s="193"/>
      <c r="C38" s="193">
        <v>2231124</v>
      </c>
      <c r="D38" s="193">
        <v>2555991</v>
      </c>
      <c r="E38" s="193">
        <v>2129048</v>
      </c>
      <c r="F38" s="193">
        <v>1423305</v>
      </c>
      <c r="G38" s="193">
        <v>2230184</v>
      </c>
      <c r="H38" s="193"/>
      <c r="I38" s="193"/>
      <c r="J38" s="193">
        <f>'ODOMETERS Tekrit'!$C38+'ODOMETERS Tekrit'!$D38-D37-C37</f>
        <v>327</v>
      </c>
      <c r="K38" s="193">
        <f>'ODOMETERS Tekrit'!$F38+'ODOMETERS Tekrit'!$E38-E37-F37</f>
        <v>289</v>
      </c>
      <c r="L38" s="195">
        <f>'ODOMETERS Tekrit'!$G38+'ODOMETERS Tekrit'!$H38-H37-G37</f>
        <v>430</v>
      </c>
      <c r="M38" s="193">
        <f>SUM('ODOMETERS Tekrit'!$J38:$L38)</f>
        <v>1046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194">
        <v>46041</v>
      </c>
      <c r="B39" s="193"/>
      <c r="C39" s="193">
        <v>2231294</v>
      </c>
      <c r="D39" s="193">
        <v>2556091</v>
      </c>
      <c r="E39" s="193">
        <v>2129139</v>
      </c>
      <c r="F39" s="193">
        <v>1423393</v>
      </c>
      <c r="G39" s="193">
        <v>2230442</v>
      </c>
      <c r="H39" s="193"/>
      <c r="I39" s="193"/>
      <c r="J39" s="193">
        <f>'ODOMETERS Tekrit'!$C39+'ODOMETERS Tekrit'!$D39-D38-C38</f>
        <v>270</v>
      </c>
      <c r="K39" s="193">
        <f>'ODOMETERS Tekrit'!$F39+'ODOMETERS Tekrit'!$E39-E38-F38</f>
        <v>179</v>
      </c>
      <c r="L39" s="195">
        <f>'ODOMETERS Tekrit'!$G39+'ODOMETERS Tekrit'!$H39-H38-G38</f>
        <v>258</v>
      </c>
      <c r="M39" s="193">
        <f>SUM('ODOMETERS Tekrit'!$J39:$L39)</f>
        <v>707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194">
        <v>46042</v>
      </c>
      <c r="B40" s="193" t="s">
        <v>24</v>
      </c>
      <c r="C40" s="193">
        <v>2231355</v>
      </c>
      <c r="D40" s="193">
        <v>2556174</v>
      </c>
      <c r="E40" s="193">
        <v>2129184</v>
      </c>
      <c r="F40" s="193">
        <v>1423488</v>
      </c>
      <c r="G40" s="193">
        <v>2230599</v>
      </c>
      <c r="H40" s="193"/>
      <c r="I40" s="193"/>
      <c r="J40" s="193">
        <f>'ODOMETERS Tekrit'!$C40+'ODOMETERS Tekrit'!$D40-D39-C39</f>
        <v>144</v>
      </c>
      <c r="K40" s="193">
        <f>'ODOMETERS Tekrit'!$F40+'ODOMETERS Tekrit'!$E40-E39-F39</f>
        <v>140</v>
      </c>
      <c r="L40" s="195">
        <f>'ODOMETERS Tekrit'!$G40+'ODOMETERS Tekrit'!$H40-H39-G39</f>
        <v>157</v>
      </c>
      <c r="M40" s="193">
        <f>SUM('ODOMETERS Tekrit'!$J40:$L40)</f>
        <v>441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194">
        <v>46042</v>
      </c>
      <c r="B41" s="193" t="s">
        <v>25</v>
      </c>
      <c r="C41" s="193">
        <v>2231533</v>
      </c>
      <c r="D41" s="193">
        <v>2556239</v>
      </c>
      <c r="E41" s="193">
        <v>2129214</v>
      </c>
      <c r="F41" s="193">
        <v>1423551</v>
      </c>
      <c r="G41" s="193">
        <v>2230905</v>
      </c>
      <c r="H41" s="193"/>
      <c r="I41" s="193"/>
      <c r="J41" s="193">
        <f>'ODOMETERS Tekrit'!$C41+'ODOMETERS Tekrit'!$D41-D40-C40</f>
        <v>243</v>
      </c>
      <c r="K41" s="193">
        <f>'ODOMETERS Tekrit'!$F41+'ODOMETERS Tekrit'!$E41-E40-F40</f>
        <v>93</v>
      </c>
      <c r="L41" s="195">
        <f>'ODOMETERS Tekrit'!$G41+'ODOMETERS Tekrit'!$H41-H40-G40</f>
        <v>306</v>
      </c>
      <c r="M41" s="193">
        <f>SUM('ODOMETERS Tekrit'!$J41:$L41)</f>
        <v>642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194">
        <v>46043</v>
      </c>
      <c r="B42" s="193"/>
      <c r="C42" s="193">
        <v>2231707</v>
      </c>
      <c r="D42" s="193">
        <v>2556319</v>
      </c>
      <c r="E42" s="193">
        <v>2129313</v>
      </c>
      <c r="F42" s="193">
        <v>1423686</v>
      </c>
      <c r="G42" s="193">
        <v>2231565</v>
      </c>
      <c r="H42" s="193"/>
      <c r="I42" s="193"/>
      <c r="J42" s="193">
        <f>'ODOMETERS Tekrit'!$C42+'ODOMETERS Tekrit'!$D42-D41-C41</f>
        <v>254</v>
      </c>
      <c r="K42" s="193">
        <f>'ODOMETERS Tekrit'!$F42+'ODOMETERS Tekrit'!$E42-E41-F41</f>
        <v>234</v>
      </c>
      <c r="L42" s="195">
        <f>'ODOMETERS Tekrit'!$G42+'ODOMETERS Tekrit'!$H42-H41-G41</f>
        <v>660</v>
      </c>
      <c r="M42" s="193">
        <f>SUM('ODOMETERS Tekrit'!$J42:$L42)</f>
        <v>1148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194">
        <v>46044</v>
      </c>
      <c r="B43" s="193"/>
      <c r="C43" s="193">
        <v>2232009</v>
      </c>
      <c r="D43" s="193">
        <v>2556417</v>
      </c>
      <c r="E43" s="193">
        <v>2129369</v>
      </c>
      <c r="F43" s="193">
        <v>1423815</v>
      </c>
      <c r="G43" s="193">
        <v>2231932</v>
      </c>
      <c r="H43" s="193"/>
      <c r="I43" s="193"/>
      <c r="J43" s="193">
        <f>'ODOMETERS Tekrit'!$C43+'ODOMETERS Tekrit'!$D43-D42-C42</f>
        <v>400</v>
      </c>
      <c r="K43" s="193">
        <f>'ODOMETERS Tekrit'!$F43+'ODOMETERS Tekrit'!$E43-E42-F42</f>
        <v>185</v>
      </c>
      <c r="L43" s="195">
        <f>'ODOMETERS Tekrit'!$G43+'ODOMETERS Tekrit'!$H43-H42-G42</f>
        <v>367</v>
      </c>
      <c r="M43" s="193">
        <f>SUM('ODOMETERS Tekrit'!$J43:$L43)</f>
        <v>952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194">
        <v>46045</v>
      </c>
      <c r="B44" s="193" t="s">
        <v>24</v>
      </c>
      <c r="C44" s="193">
        <v>2232111</v>
      </c>
      <c r="D44" s="193">
        <v>2556456</v>
      </c>
      <c r="E44" s="193">
        <v>2129396</v>
      </c>
      <c r="F44" s="193">
        <v>1423977</v>
      </c>
      <c r="G44" s="193">
        <v>2232068</v>
      </c>
      <c r="H44" s="193"/>
      <c r="I44" s="193"/>
      <c r="J44" s="193">
        <f>'ODOMETERS Tekrit'!$C44+'ODOMETERS Tekrit'!$D44-D43-C43</f>
        <v>141</v>
      </c>
      <c r="K44" s="193">
        <f>'ODOMETERS Tekrit'!$F44+'ODOMETERS Tekrit'!$E44-E43-F43</f>
        <v>189</v>
      </c>
      <c r="L44" s="195">
        <f>'ODOMETERS Tekrit'!$G44+'ODOMETERS Tekrit'!$H44-H43-G43</f>
        <v>136</v>
      </c>
      <c r="M44" s="193">
        <f>SUM('ODOMETERS Tekrit'!$J44:$L44)</f>
        <v>466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194">
        <v>46045</v>
      </c>
      <c r="B45" s="193" t="s">
        <v>25</v>
      </c>
      <c r="C45" s="193">
        <v>2232178</v>
      </c>
      <c r="D45" s="193">
        <v>2556488</v>
      </c>
      <c r="E45" s="193">
        <v>2129432</v>
      </c>
      <c r="F45" s="193">
        <v>1424078</v>
      </c>
      <c r="G45" s="193">
        <v>2232283</v>
      </c>
      <c r="H45" s="193"/>
      <c r="I45" s="193"/>
      <c r="J45" s="193">
        <f>'ODOMETERS Tekrit'!$C45+'ODOMETERS Tekrit'!$D45-D44-C44</f>
        <v>99</v>
      </c>
      <c r="K45" s="193">
        <f>'ODOMETERS Tekrit'!$F45+'ODOMETERS Tekrit'!$E45-E44-F44</f>
        <v>137</v>
      </c>
      <c r="L45" s="195">
        <f>'ODOMETERS Tekrit'!$G45+'ODOMETERS Tekrit'!$H45-H44-G44</f>
        <v>215</v>
      </c>
      <c r="M45" s="193">
        <f>SUM('ODOMETERS Tekrit'!$J45:$L45)</f>
        <v>451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194">
        <v>46046</v>
      </c>
      <c r="B46" s="193"/>
      <c r="C46" s="193">
        <v>2232296</v>
      </c>
      <c r="D46" s="193">
        <v>2556624</v>
      </c>
      <c r="E46" s="193">
        <v>2129483</v>
      </c>
      <c r="F46" s="193">
        <v>1424239</v>
      </c>
      <c r="G46" s="193">
        <v>2232610</v>
      </c>
      <c r="H46" s="193"/>
      <c r="I46" s="193"/>
      <c r="J46" s="193">
        <f>'ODOMETERS Tekrit'!$C46+'ODOMETERS Tekrit'!$D46-D45-C45</f>
        <v>254</v>
      </c>
      <c r="K46" s="193">
        <f>'ODOMETERS Tekrit'!$F46+'ODOMETERS Tekrit'!$E46-E45-F45</f>
        <v>212</v>
      </c>
      <c r="L46" s="195">
        <f>'ODOMETERS Tekrit'!$G46+'ODOMETERS Tekrit'!$H46-H45-G45</f>
        <v>327</v>
      </c>
      <c r="M46" s="193">
        <f>SUM('ODOMETERS Tekrit'!$J46:$L46)</f>
        <v>793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194">
        <v>46047</v>
      </c>
      <c r="B47" s="193"/>
      <c r="C47" s="193">
        <v>2232580</v>
      </c>
      <c r="D47" s="193">
        <v>2556694</v>
      </c>
      <c r="E47" s="193">
        <v>2129568</v>
      </c>
      <c r="F47" s="193">
        <v>1424306</v>
      </c>
      <c r="G47" s="193">
        <v>2233068</v>
      </c>
      <c r="H47" s="193"/>
      <c r="I47" s="193"/>
      <c r="J47" s="193">
        <f>'ODOMETERS Tekrit'!$C47+'ODOMETERS Tekrit'!$D47-D46-C46</f>
        <v>354</v>
      </c>
      <c r="K47" s="193">
        <f>'ODOMETERS Tekrit'!$F47+'ODOMETERS Tekrit'!$E47-E46-F46</f>
        <v>152</v>
      </c>
      <c r="L47" s="195">
        <f>'ODOMETERS Tekrit'!$G47+'ODOMETERS Tekrit'!$H47-H46-G46</f>
        <v>458</v>
      </c>
      <c r="M47" s="193">
        <f>SUM('ODOMETERS Tekrit'!$J47:$L47)</f>
        <v>964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194">
        <v>46048</v>
      </c>
      <c r="B48" s="193"/>
      <c r="C48" s="193">
        <v>2232860</v>
      </c>
      <c r="D48" s="193">
        <v>2556831</v>
      </c>
      <c r="E48" s="193">
        <v>2129621</v>
      </c>
      <c r="F48" s="193">
        <v>1424441</v>
      </c>
      <c r="G48" s="193">
        <v>2233434</v>
      </c>
      <c r="H48" s="193"/>
      <c r="I48" s="193"/>
      <c r="J48" s="193">
        <f>'ODOMETERS Tekrit'!$C48+'ODOMETERS Tekrit'!$D48-D47-C47</f>
        <v>417</v>
      </c>
      <c r="K48" s="193">
        <f>'ODOMETERS Tekrit'!$F48+'ODOMETERS Tekrit'!$E48-E47-F47</f>
        <v>188</v>
      </c>
      <c r="L48" s="195">
        <f>'ODOMETERS Tekrit'!$G48+'ODOMETERS Tekrit'!$H48-H47-G47</f>
        <v>366</v>
      </c>
      <c r="M48" s="193">
        <f>SUM('ODOMETERS Tekrit'!$J48:$L48)</f>
        <v>971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194">
        <v>46049</v>
      </c>
      <c r="B49" s="193" t="s">
        <v>24</v>
      </c>
      <c r="C49" s="193">
        <v>2233097</v>
      </c>
      <c r="D49" s="193">
        <v>2556912</v>
      </c>
      <c r="E49" s="193">
        <v>2129666</v>
      </c>
      <c r="F49" s="193">
        <v>1424508</v>
      </c>
      <c r="G49" s="193">
        <v>2233549</v>
      </c>
      <c r="H49" s="193"/>
      <c r="I49" s="193"/>
      <c r="J49" s="193">
        <f>'ODOMETERS Tekrit'!$C49+'ODOMETERS Tekrit'!$D49-D48-C48</f>
        <v>318</v>
      </c>
      <c r="K49" s="193">
        <f>'ODOMETERS Tekrit'!$F49+'ODOMETERS Tekrit'!$E49-E48-F48</f>
        <v>112</v>
      </c>
      <c r="L49" s="195">
        <f>'ODOMETERS Tekrit'!$G49+'ODOMETERS Tekrit'!$H49-H48-G48</f>
        <v>115</v>
      </c>
      <c r="M49" s="193">
        <f>SUM('ODOMETERS Tekrit'!$J49:$L49)</f>
        <v>545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194">
        <v>46049</v>
      </c>
      <c r="B50" s="193" t="s">
        <v>25</v>
      </c>
      <c r="C50" s="193">
        <v>2233204</v>
      </c>
      <c r="D50" s="193">
        <v>2556978</v>
      </c>
      <c r="E50" s="193">
        <v>2129707</v>
      </c>
      <c r="F50" s="193">
        <v>1424508</v>
      </c>
      <c r="G50" s="193">
        <v>2233820</v>
      </c>
      <c r="H50" s="193"/>
      <c r="I50" s="193"/>
      <c r="J50" s="193">
        <f>'ODOMETERS Tekrit'!$C50+'ODOMETERS Tekrit'!$D50-D49-C49</f>
        <v>173</v>
      </c>
      <c r="K50" s="193">
        <f>'ODOMETERS Tekrit'!$F50+'ODOMETERS Tekrit'!$E50-E49-F49</f>
        <v>41</v>
      </c>
      <c r="L50" s="195">
        <f>'ODOMETERS Tekrit'!$G50+'ODOMETERS Tekrit'!$H50-H49-G49</f>
        <v>271</v>
      </c>
      <c r="M50" s="193">
        <f>SUM('ODOMETERS Tekrit'!$J50:$L50)</f>
        <v>485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194">
        <v>46050</v>
      </c>
      <c r="B51" s="193"/>
      <c r="C51" s="193">
        <v>2233493</v>
      </c>
      <c r="D51" s="193">
        <v>2557088</v>
      </c>
      <c r="E51" s="193">
        <v>2129734</v>
      </c>
      <c r="F51" s="193">
        <v>1424588</v>
      </c>
      <c r="G51" s="193">
        <v>2234261</v>
      </c>
      <c r="H51" s="193"/>
      <c r="I51" s="193"/>
      <c r="J51" s="193">
        <f>'ODOMETERS Tekrit'!$C51+'ODOMETERS Tekrit'!$D51-D50-C50</f>
        <v>399</v>
      </c>
      <c r="K51" s="193">
        <f>'ODOMETERS Tekrit'!$F51+'ODOMETERS Tekrit'!$E51-E50-F50</f>
        <v>107</v>
      </c>
      <c r="L51" s="195">
        <f>'ODOMETERS Tekrit'!$G51+'ODOMETERS Tekrit'!$H51-H50-G50</f>
        <v>441</v>
      </c>
      <c r="M51" s="193">
        <f>SUM('ODOMETERS Tekrit'!$J51:$L51)</f>
        <v>947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194">
        <v>46051</v>
      </c>
      <c r="B52" s="193"/>
      <c r="C52" s="193">
        <v>2233748</v>
      </c>
      <c r="D52" s="193">
        <v>2557221</v>
      </c>
      <c r="E52" s="193">
        <v>2129825</v>
      </c>
      <c r="F52" s="193">
        <v>1424716</v>
      </c>
      <c r="G52" s="193">
        <v>2234588</v>
      </c>
      <c r="H52" s="193"/>
      <c r="I52" s="193"/>
      <c r="J52" s="193">
        <f>'ODOMETERS Tekrit'!$C52+'ODOMETERS Tekrit'!$D52-D51-C51</f>
        <v>388</v>
      </c>
      <c r="K52" s="193">
        <f>'ODOMETERS Tekrit'!$F52+'ODOMETERS Tekrit'!$E52-E51-F51</f>
        <v>219</v>
      </c>
      <c r="L52" s="195">
        <f>'ODOMETERS Tekrit'!$G52+'ODOMETERS Tekrit'!$H52-H51-G51</f>
        <v>327</v>
      </c>
      <c r="M52" s="193">
        <f>SUM('ODOMETERS Tekrit'!$J52:$L52)</f>
        <v>934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198">
        <v>46052</v>
      </c>
      <c r="B53" s="173" t="s">
        <v>24</v>
      </c>
      <c r="C53" s="173">
        <v>2233895</v>
      </c>
      <c r="D53" s="173">
        <v>2557287</v>
      </c>
      <c r="E53" s="173">
        <v>2129885</v>
      </c>
      <c r="F53" s="173">
        <v>1424850</v>
      </c>
      <c r="G53" s="173">
        <v>2235126</v>
      </c>
      <c r="H53" s="173"/>
      <c r="I53" s="173"/>
      <c r="J53" s="193">
        <f>'ODOMETERS Tekrit'!$C53+'ODOMETERS Tekrit'!$D53-D52-C52</f>
        <v>213</v>
      </c>
      <c r="K53" s="193">
        <f>'ODOMETERS Tekrit'!$F53+'ODOMETERS Tekrit'!$E53-E52-F52</f>
        <v>194</v>
      </c>
      <c r="L53" s="195">
        <f>'ODOMETERS Tekrit'!$G53+'ODOMETERS Tekrit'!$H53-H52-G52</f>
        <v>538</v>
      </c>
      <c r="M53" s="193">
        <f>SUM('ODOMETERS Tekrit'!$J53:$L53)</f>
        <v>945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194">
        <v>46052</v>
      </c>
      <c r="B54" s="193" t="s">
        <v>25</v>
      </c>
      <c r="C54" s="193">
        <v>2234019</v>
      </c>
      <c r="D54" s="193">
        <v>2557320</v>
      </c>
      <c r="E54" s="193">
        <v>2129951</v>
      </c>
      <c r="F54" s="193">
        <v>1424934</v>
      </c>
      <c r="G54" s="193">
        <v>2235335</v>
      </c>
      <c r="H54" s="193"/>
      <c r="I54" s="193"/>
      <c r="J54" s="193">
        <f>'ODOMETERS Tekrit'!$C54+'ODOMETERS Tekrit'!$D54-D53-C53</f>
        <v>157</v>
      </c>
      <c r="K54" s="193">
        <f>'ODOMETERS Tekrit'!$F54+'ODOMETERS Tekrit'!$E54-E53-F53</f>
        <v>150</v>
      </c>
      <c r="L54" s="195">
        <f>'ODOMETERS Tekrit'!$G54+'ODOMETERS Tekrit'!$H54-H53-G53</f>
        <v>209</v>
      </c>
      <c r="M54" s="193">
        <f>SUM('ODOMETERS Tekrit'!$J54:$L54)</f>
        <v>516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194">
        <v>46053</v>
      </c>
      <c r="B55" s="193"/>
      <c r="C55" s="193">
        <v>2234291</v>
      </c>
      <c r="D55" s="193">
        <v>2557434</v>
      </c>
      <c r="E55" s="193">
        <v>2130052</v>
      </c>
      <c r="F55" s="193">
        <v>1425240</v>
      </c>
      <c r="G55" s="193">
        <v>2235758</v>
      </c>
      <c r="H55" s="193"/>
      <c r="I55" s="193"/>
      <c r="J55" s="193">
        <f>'ODOMETERS Tekrit'!$C55+'ODOMETERS Tekrit'!$D55-D54-C54</f>
        <v>386</v>
      </c>
      <c r="K55" s="193">
        <f>'ODOMETERS Tekrit'!$F55+'ODOMETERS Tekrit'!$E55-E54-F54</f>
        <v>407</v>
      </c>
      <c r="L55" s="195">
        <f>'ODOMETERS Tekrit'!$G55+'ODOMETERS Tekrit'!$H55-H54-G54</f>
        <v>423</v>
      </c>
      <c r="M55" s="193">
        <f>SUM('ODOMETERS Tekrit'!$J55:$L55)</f>
        <v>1216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194">
        <v>46054</v>
      </c>
      <c r="B56" s="193"/>
      <c r="C56" s="193">
        <v>2234449</v>
      </c>
      <c r="D56" s="193">
        <v>2557541</v>
      </c>
      <c r="E56" s="193">
        <v>2130108</v>
      </c>
      <c r="F56" s="193">
        <v>1425376</v>
      </c>
      <c r="G56" s="193">
        <v>2236199</v>
      </c>
      <c r="H56" s="193"/>
      <c r="I56" s="193"/>
      <c r="J56" s="193">
        <f>'ODOMETERS Tekrit'!$C56+'ODOMETERS Tekrit'!$D56-D55-C55</f>
        <v>265</v>
      </c>
      <c r="K56" s="193">
        <f>'ODOMETERS Tekrit'!$F56+'ODOMETERS Tekrit'!$E56-E55-F55</f>
        <v>192</v>
      </c>
      <c r="L56" s="195">
        <f>'ODOMETERS Tekrit'!$G56+'ODOMETERS Tekrit'!$H56-H55-G55</f>
        <v>441</v>
      </c>
      <c r="M56" s="193">
        <f>SUM('ODOMETERS Tekrit'!$J56:$L56)</f>
        <v>898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194">
        <v>46055</v>
      </c>
      <c r="B57" s="193"/>
      <c r="C57" s="193">
        <v>2234859</v>
      </c>
      <c r="D57" s="193">
        <v>2557774</v>
      </c>
      <c r="E57" s="193">
        <v>2130211</v>
      </c>
      <c r="F57" s="193">
        <v>1425597</v>
      </c>
      <c r="G57" s="193">
        <v>2236703</v>
      </c>
      <c r="H57" s="193"/>
      <c r="I57" s="193"/>
      <c r="J57" s="193">
        <f>'ODOMETERS Tekrit'!$C57+'ODOMETERS Tekrit'!$D57-D56-C56</f>
        <v>643</v>
      </c>
      <c r="K57" s="193">
        <f>'ODOMETERS Tekrit'!$F57+'ODOMETERS Tekrit'!$E57-E56-F56</f>
        <v>324</v>
      </c>
      <c r="L57" s="195">
        <f>'ODOMETERS Tekrit'!$G57+'ODOMETERS Tekrit'!$H57-H56-G56</f>
        <v>504</v>
      </c>
      <c r="M57" s="193">
        <f>SUM('ODOMETERS Tekrit'!$J57:$L57)</f>
        <v>1471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194">
        <v>46056</v>
      </c>
      <c r="B58" s="193" t="s">
        <v>24</v>
      </c>
      <c r="C58" s="193">
        <v>2235002</v>
      </c>
      <c r="D58" s="193">
        <v>2557923</v>
      </c>
      <c r="E58" s="193">
        <v>2130281</v>
      </c>
      <c r="F58" s="193">
        <v>1425688</v>
      </c>
      <c r="G58" s="193">
        <v>2236768</v>
      </c>
      <c r="H58" s="193"/>
      <c r="I58" s="193"/>
      <c r="J58" s="193">
        <f>'ODOMETERS Tekrit'!$C58+'ODOMETERS Tekrit'!$D58-D57-C57</f>
        <v>292</v>
      </c>
      <c r="K58" s="193">
        <f>'ODOMETERS Tekrit'!$F58+'ODOMETERS Tekrit'!$E58-E57-F57</f>
        <v>161</v>
      </c>
      <c r="L58" s="195">
        <f>'ODOMETERS Tekrit'!$G58+'ODOMETERS Tekrit'!$H58-H57-G57</f>
        <v>65</v>
      </c>
      <c r="M58" s="193">
        <f>SUM('ODOMETERS Tekrit'!$J58:$L58)</f>
        <v>518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194">
        <v>46056</v>
      </c>
      <c r="B59" s="193" t="s">
        <v>25</v>
      </c>
      <c r="C59" s="193">
        <v>2235123</v>
      </c>
      <c r="D59" s="193">
        <v>2557993</v>
      </c>
      <c r="E59" s="193">
        <v>2130303</v>
      </c>
      <c r="F59" s="193">
        <v>1425746</v>
      </c>
      <c r="G59" s="193">
        <v>2237347</v>
      </c>
      <c r="H59" s="193"/>
      <c r="I59" s="193"/>
      <c r="J59" s="193">
        <f>'ODOMETERS Tekrit'!$C59+'ODOMETERS Tekrit'!$D59-D58-C58</f>
        <v>191</v>
      </c>
      <c r="K59" s="193">
        <f>'ODOMETERS Tekrit'!$F59+'ODOMETERS Tekrit'!$E59-E58-F58</f>
        <v>80</v>
      </c>
      <c r="L59" s="195">
        <f>'ODOMETERS Tekrit'!$G59+'ODOMETERS Tekrit'!$H59-H58-G58</f>
        <v>579</v>
      </c>
      <c r="M59" s="193">
        <f>SUM('ODOMETERS Tekrit'!$J59:$L59)</f>
        <v>850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194">
        <v>46057</v>
      </c>
      <c r="B60" s="193"/>
      <c r="C60" s="193">
        <v>2235381</v>
      </c>
      <c r="D60" s="193">
        <v>2558073</v>
      </c>
      <c r="E60" s="193">
        <v>2130353</v>
      </c>
      <c r="F60" s="193">
        <v>1425912</v>
      </c>
      <c r="G60" s="193">
        <v>2237679</v>
      </c>
      <c r="H60" s="193"/>
      <c r="I60" s="193"/>
      <c r="J60" s="193">
        <f>'ODOMETERS Tekrit'!$C60+'ODOMETERS Tekrit'!$D60-D59-C59</f>
        <v>338</v>
      </c>
      <c r="K60" s="193">
        <f>'ODOMETERS Tekrit'!$F60+'ODOMETERS Tekrit'!$E60-E59-F59</f>
        <v>216</v>
      </c>
      <c r="L60" s="195">
        <f>'ODOMETERS Tekrit'!$G60+'ODOMETERS Tekrit'!$H60-H59-G59</f>
        <v>332</v>
      </c>
      <c r="M60" s="193">
        <f>SUM('ODOMETERS Tekrit'!$J60:$L60)</f>
        <v>886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194">
        <v>46058</v>
      </c>
      <c r="B61" s="193"/>
      <c r="C61" s="193">
        <v>2235685</v>
      </c>
      <c r="D61" s="193">
        <v>2558253</v>
      </c>
      <c r="E61" s="193">
        <v>2130418</v>
      </c>
      <c r="F61" s="193">
        <v>1426035</v>
      </c>
      <c r="G61" s="193">
        <v>2237951</v>
      </c>
      <c r="H61" s="193"/>
      <c r="I61" s="193"/>
      <c r="J61" s="193">
        <f>'ODOMETERS Tekrit'!$C61+'ODOMETERS Tekrit'!$D61-D60-C60</f>
        <v>484</v>
      </c>
      <c r="K61" s="193">
        <f>'ODOMETERS Tekrit'!$F61+'ODOMETERS Tekrit'!$E61-E60-F60</f>
        <v>188</v>
      </c>
      <c r="L61" s="195">
        <f>'ODOMETERS Tekrit'!$G61+'ODOMETERS Tekrit'!$H61-H60-G60</f>
        <v>272</v>
      </c>
      <c r="M61" s="193">
        <f>SUM('ODOMETERS Tekrit'!$J61:$L61)</f>
        <v>944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194">
        <v>46059</v>
      </c>
      <c r="B62" s="193" t="s">
        <v>24</v>
      </c>
      <c r="C62" s="193">
        <v>2235769</v>
      </c>
      <c r="D62" s="193">
        <v>2558331</v>
      </c>
      <c r="E62" s="193">
        <v>2130486</v>
      </c>
      <c r="F62" s="193">
        <v>1426073</v>
      </c>
      <c r="G62" s="193">
        <v>2238206</v>
      </c>
      <c r="H62" s="193"/>
      <c r="I62" s="193"/>
      <c r="J62" s="193">
        <f>'ODOMETERS Tekrit'!$C62+'ODOMETERS Tekrit'!$D62-D61-C61</f>
        <v>162</v>
      </c>
      <c r="K62" s="193">
        <f>'ODOMETERS Tekrit'!$F62+'ODOMETERS Tekrit'!$E62-E61-F61</f>
        <v>106</v>
      </c>
      <c r="L62" s="195">
        <f>'ODOMETERS Tekrit'!$G62+'ODOMETERS Tekrit'!$H62-H61-G61</f>
        <v>255</v>
      </c>
      <c r="M62" s="193">
        <f>SUM('ODOMETERS Tekrit'!$J62:$L62)</f>
        <v>523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194">
        <v>46059</v>
      </c>
      <c r="B63" s="193" t="s">
        <v>25</v>
      </c>
      <c r="C63" s="193">
        <v>2235848</v>
      </c>
      <c r="D63" s="193">
        <v>2558392</v>
      </c>
      <c r="E63" s="193">
        <v>2130559</v>
      </c>
      <c r="F63" s="193">
        <v>1426173</v>
      </c>
      <c r="G63" s="193">
        <v>2238428</v>
      </c>
      <c r="H63" s="193"/>
      <c r="I63" s="193"/>
      <c r="J63" s="193">
        <f>'ODOMETERS Tekrit'!$C63+'ODOMETERS Tekrit'!$D63-D62-C62</f>
        <v>140</v>
      </c>
      <c r="K63" s="193">
        <f>'ODOMETERS Tekrit'!$F63+'ODOMETERS Tekrit'!$E63-E62-F62</f>
        <v>173</v>
      </c>
      <c r="L63" s="195">
        <f>'ODOMETERS Tekrit'!$G63+'ODOMETERS Tekrit'!$H63-H62-G62</f>
        <v>222</v>
      </c>
      <c r="M63" s="193">
        <f>SUM('ODOMETERS Tekrit'!$J63:$L63)</f>
        <v>535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194">
        <v>46060</v>
      </c>
      <c r="B64" s="193"/>
      <c r="C64" s="193">
        <v>2236067</v>
      </c>
      <c r="D64" s="193">
        <v>2558517</v>
      </c>
      <c r="E64" s="193">
        <v>2130624</v>
      </c>
      <c r="F64" s="193">
        <v>1426256</v>
      </c>
      <c r="G64" s="193">
        <v>2238673</v>
      </c>
      <c r="H64" s="193"/>
      <c r="I64" s="193"/>
      <c r="J64" s="193">
        <f>'ODOMETERS Tekrit'!$C64+'ODOMETERS Tekrit'!$D64-D63-C63</f>
        <v>344</v>
      </c>
      <c r="K64" s="193">
        <f>'ODOMETERS Tekrit'!$F64+'ODOMETERS Tekrit'!$E64-E63-F63</f>
        <v>148</v>
      </c>
      <c r="L64" s="195">
        <f>'ODOMETERS Tekrit'!$G64+'ODOMETERS Tekrit'!$H64-H63-G63</f>
        <v>245</v>
      </c>
      <c r="M64" s="193">
        <f>SUM('ODOMETERS Tekrit'!$J64:$L64)</f>
        <v>737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194">
        <v>46061</v>
      </c>
      <c r="B65" s="193"/>
      <c r="C65" s="193">
        <v>2236342</v>
      </c>
      <c r="D65" s="193">
        <v>2558689</v>
      </c>
      <c r="E65" s="193">
        <v>2130709</v>
      </c>
      <c r="F65" s="193">
        <v>1426595</v>
      </c>
      <c r="G65" s="193">
        <v>2238907</v>
      </c>
      <c r="H65" s="193"/>
      <c r="I65" s="193"/>
      <c r="J65" s="193">
        <f>'ODOMETERS Tekrit'!$C65+'ODOMETERS Tekrit'!$D65-D64-C64</f>
        <v>447</v>
      </c>
      <c r="K65" s="193">
        <f>'ODOMETERS Tekrit'!$F65+'ODOMETERS Tekrit'!$E65-E64-F64</f>
        <v>424</v>
      </c>
      <c r="L65" s="195">
        <f>'ODOMETERS Tekrit'!$G65+'ODOMETERS Tekrit'!$H65-H64-G64</f>
        <v>234</v>
      </c>
      <c r="M65" s="193">
        <f>SUM('ODOMETERS Tekrit'!$J65:$L65)</f>
        <v>1105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200">
        <v>46062</v>
      </c>
      <c r="B66" s="199"/>
      <c r="C66" s="199">
        <v>2236471</v>
      </c>
      <c r="D66" s="199">
        <v>2558828</v>
      </c>
      <c r="E66" s="199">
        <v>2130770</v>
      </c>
      <c r="F66" s="199">
        <v>1426785</v>
      </c>
      <c r="G66" s="199">
        <v>2239236</v>
      </c>
      <c r="H66" s="199"/>
      <c r="I66" s="199"/>
      <c r="J66" s="193">
        <f>'ODOMETERS Tekrit'!$C66+'ODOMETERS Tekrit'!$D66-D65-C65</f>
        <v>268</v>
      </c>
      <c r="K66" s="193">
        <f>'ODOMETERS Tekrit'!$F66+'ODOMETERS Tekrit'!$E66-E65-F65</f>
        <v>251</v>
      </c>
      <c r="L66" s="195">
        <f>'ODOMETERS Tekrit'!$G66+'ODOMETERS Tekrit'!$H66-H65-G65</f>
        <v>329</v>
      </c>
      <c r="M66" s="193">
        <f>SUM('ODOMETERS Tekrit'!$J66:$L66)</f>
        <v>848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200">
        <v>46063</v>
      </c>
      <c r="B67" s="199" t="s">
        <v>24</v>
      </c>
      <c r="C67" s="199">
        <v>2236631</v>
      </c>
      <c r="D67" s="199">
        <v>2558888</v>
      </c>
      <c r="E67" s="199">
        <v>2130816</v>
      </c>
      <c r="F67" s="199">
        <v>1426892</v>
      </c>
      <c r="G67" s="199">
        <v>2239346</v>
      </c>
      <c r="H67" s="199"/>
      <c r="I67" s="199"/>
      <c r="J67" s="193">
        <f>'ODOMETERS Tekrit'!$C67+'ODOMETERS Tekrit'!$D67-D66-C66</f>
        <v>220</v>
      </c>
      <c r="K67" s="193">
        <f>'ODOMETERS Tekrit'!$F67+'ODOMETERS Tekrit'!$E67-E66-F66</f>
        <v>153</v>
      </c>
      <c r="L67" s="195">
        <f>'ODOMETERS Tekrit'!$G67+'ODOMETERS Tekrit'!$H67-H66-G66</f>
        <v>110</v>
      </c>
      <c r="M67" s="193">
        <f>SUM('ODOMETERS Tekrit'!$J67:$L67)</f>
        <v>483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200">
        <v>46063</v>
      </c>
      <c r="B68" s="199" t="s">
        <v>25</v>
      </c>
      <c r="C68" s="199">
        <v>2236804</v>
      </c>
      <c r="D68" s="199">
        <v>2558956</v>
      </c>
      <c r="E68" s="199">
        <v>2130858</v>
      </c>
      <c r="F68" s="199">
        <v>1426962</v>
      </c>
      <c r="G68" s="199">
        <v>2239568</v>
      </c>
      <c r="H68" s="199"/>
      <c r="I68" s="199"/>
      <c r="J68" s="193">
        <f>'ODOMETERS Tekrit'!$C68+'ODOMETERS Tekrit'!$D68-D67-C67</f>
        <v>241</v>
      </c>
      <c r="K68" s="193">
        <f>'ODOMETERS Tekrit'!$F68+'ODOMETERS Tekrit'!$E68-E67-F67</f>
        <v>112</v>
      </c>
      <c r="L68" s="195">
        <f>'ODOMETERS Tekrit'!$G68+'ODOMETERS Tekrit'!$H68-H67-G67</f>
        <v>222</v>
      </c>
      <c r="M68" s="193">
        <f>SUM('ODOMETERS Tekrit'!$J68:$L68)</f>
        <v>575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200">
        <v>46064</v>
      </c>
      <c r="B69" s="199"/>
      <c r="C69" s="199">
        <v>2236956</v>
      </c>
      <c r="D69" s="199">
        <v>2559072</v>
      </c>
      <c r="E69" s="199">
        <v>2130896</v>
      </c>
      <c r="F69" s="199">
        <v>1427052</v>
      </c>
      <c r="G69" s="199">
        <v>2240064</v>
      </c>
      <c r="H69" s="199"/>
      <c r="I69" s="199"/>
      <c r="J69" s="193">
        <f>'ODOMETERS Tekrit'!$C69+'ODOMETERS Tekrit'!$D69-D68-C68</f>
        <v>268</v>
      </c>
      <c r="K69" s="193">
        <f>'ODOMETERS Tekrit'!$F69+'ODOMETERS Tekrit'!$E69-E68-F68</f>
        <v>128</v>
      </c>
      <c r="L69" s="195">
        <f>'ODOMETERS Tekrit'!$G69+'ODOMETERS Tekrit'!$H69-H68-G68</f>
        <v>496</v>
      </c>
      <c r="M69" s="193">
        <f>SUM('ODOMETERS Tekrit'!$J69:$L69)</f>
        <v>892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200">
        <v>46065</v>
      </c>
      <c r="B70" s="199"/>
      <c r="C70" s="199">
        <v>2237223</v>
      </c>
      <c r="D70" s="199">
        <v>2559286</v>
      </c>
      <c r="E70" s="199">
        <v>2130973</v>
      </c>
      <c r="F70" s="199">
        <v>1427121</v>
      </c>
      <c r="G70" s="199">
        <v>2240371</v>
      </c>
      <c r="H70" s="199"/>
      <c r="I70" s="199"/>
      <c r="J70" s="193">
        <f>'ODOMETERS Tekrit'!$C70+'ODOMETERS Tekrit'!$D70-D69-C69</f>
        <v>481</v>
      </c>
      <c r="K70" s="193">
        <f>'ODOMETERS Tekrit'!$F70+'ODOMETERS Tekrit'!$E70-E69-F69</f>
        <v>146</v>
      </c>
      <c r="L70" s="195">
        <f>'ODOMETERS Tekrit'!$G70+'ODOMETERS Tekrit'!$H70-H69-G69</f>
        <v>307</v>
      </c>
      <c r="M70" s="193">
        <f>SUM('ODOMETERS Tekrit'!$J70:$L70)</f>
        <v>934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218">
        <v>46066</v>
      </c>
      <c r="B71" s="201" t="s">
        <v>24</v>
      </c>
      <c r="C71" s="201">
        <v>2237344</v>
      </c>
      <c r="D71" s="201">
        <v>2559349</v>
      </c>
      <c r="E71" s="201">
        <v>2131047</v>
      </c>
      <c r="F71" s="201">
        <v>1427166</v>
      </c>
      <c r="G71" s="201">
        <v>2240412</v>
      </c>
      <c r="H71" s="201"/>
      <c r="I71" s="201"/>
      <c r="J71" s="193">
        <f>'ODOMETERS Tekrit'!$C71+'ODOMETERS Tekrit'!$D71-D70-C70</f>
        <v>184</v>
      </c>
      <c r="K71" s="193">
        <f>'ODOMETERS Tekrit'!$F71+'ODOMETERS Tekrit'!$E71-E70-F70</f>
        <v>119</v>
      </c>
      <c r="L71" s="195">
        <f>'ODOMETERS Tekrit'!$G71+'ODOMETERS Tekrit'!$H71-H70-G70</f>
        <v>41</v>
      </c>
      <c r="M71" s="193">
        <f>SUM('ODOMETERS Tekrit'!$J71:$L71)</f>
        <v>344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200">
        <v>46066</v>
      </c>
      <c r="B72" s="199" t="s">
        <v>25</v>
      </c>
      <c r="C72" s="199">
        <v>2237401</v>
      </c>
      <c r="D72" s="199">
        <v>2559404</v>
      </c>
      <c r="E72" s="199">
        <v>2131095</v>
      </c>
      <c r="F72" s="199">
        <v>1427229</v>
      </c>
      <c r="G72" s="199">
        <v>2240514</v>
      </c>
      <c r="H72" s="199"/>
      <c r="I72" s="199"/>
      <c r="J72" s="193">
        <f>'ODOMETERS Tekrit'!$C72+'ODOMETERS Tekrit'!$D72-D71-C71</f>
        <v>112</v>
      </c>
      <c r="K72" s="193">
        <f>'ODOMETERS Tekrit'!$F72+'ODOMETERS Tekrit'!$E72-E71-F71</f>
        <v>111</v>
      </c>
      <c r="L72" s="195">
        <f>'ODOMETERS Tekrit'!$G72+'ODOMETERS Tekrit'!$H72-H71-G71</f>
        <v>102</v>
      </c>
      <c r="M72" s="193">
        <f>SUM('ODOMETERS Tekrit'!$J72:$L72)</f>
        <v>325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200">
        <v>46067</v>
      </c>
      <c r="B73" s="199"/>
      <c r="C73" s="199">
        <v>2237590</v>
      </c>
      <c r="D73" s="199">
        <v>2559488</v>
      </c>
      <c r="E73" s="199">
        <v>2131199</v>
      </c>
      <c r="F73" s="199">
        <v>1427407</v>
      </c>
      <c r="G73" s="199">
        <v>2240826</v>
      </c>
      <c r="H73" s="199"/>
      <c r="I73" s="199"/>
      <c r="J73" s="193">
        <f>'ODOMETERS Tekrit'!$C73+'ODOMETERS Tekrit'!$D73-D72-C72</f>
        <v>273</v>
      </c>
      <c r="K73" s="193">
        <f>'ODOMETERS Tekrit'!$F73+'ODOMETERS Tekrit'!$E73-E72-F72</f>
        <v>282</v>
      </c>
      <c r="L73" s="195">
        <f>'ODOMETERS Tekrit'!$G73+'ODOMETERS Tekrit'!$H73-H72-G72</f>
        <v>312</v>
      </c>
      <c r="M73" s="193">
        <f>SUM('ODOMETERS Tekrit'!$J73:$L73)</f>
        <v>867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200">
        <v>46068</v>
      </c>
      <c r="B74" s="199"/>
      <c r="C74" s="199">
        <v>2237741</v>
      </c>
      <c r="D74" s="199">
        <v>2559641</v>
      </c>
      <c r="E74" s="199">
        <v>2131320</v>
      </c>
      <c r="F74" s="199">
        <v>1427722</v>
      </c>
      <c r="G74" s="199">
        <v>2241031</v>
      </c>
      <c r="H74" s="199"/>
      <c r="I74" s="199"/>
      <c r="J74" s="193">
        <f>'ODOMETERS Tekrit'!$C74+'ODOMETERS Tekrit'!$D74-D73-C73</f>
        <v>304</v>
      </c>
      <c r="K74" s="193">
        <f>'ODOMETERS Tekrit'!$F74+'ODOMETERS Tekrit'!$E74-E73-F73</f>
        <v>436</v>
      </c>
      <c r="L74" s="195">
        <f>'ODOMETERS Tekrit'!$G74+'ODOMETERS Tekrit'!$H74-H73-G73</f>
        <v>205</v>
      </c>
      <c r="M74" s="193">
        <f>SUM('ODOMETERS Tekrit'!$J74:$L74)</f>
        <v>945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200">
        <v>46069</v>
      </c>
      <c r="B75" s="199"/>
      <c r="C75" s="199">
        <v>2237884</v>
      </c>
      <c r="D75" s="199">
        <v>2559794</v>
      </c>
      <c r="E75" s="199">
        <v>2131354</v>
      </c>
      <c r="F75" s="199">
        <v>1427885</v>
      </c>
      <c r="G75" s="199">
        <v>2241205</v>
      </c>
      <c r="H75" s="199"/>
      <c r="I75" s="199"/>
      <c r="J75" s="193">
        <f>'ODOMETERS Tekrit'!$C75+'ODOMETERS Tekrit'!$D75-D74-C74</f>
        <v>296</v>
      </c>
      <c r="K75" s="193">
        <f>'ODOMETERS Tekrit'!$F75+'ODOMETERS Tekrit'!$E75-E74-F74</f>
        <v>197</v>
      </c>
      <c r="L75" s="195">
        <f>'ODOMETERS Tekrit'!$G75+'ODOMETERS Tekrit'!$H75-H74-G74</f>
        <v>174</v>
      </c>
      <c r="M75" s="193">
        <f>SUM('ODOMETERS Tekrit'!$J75:$L75)</f>
        <v>667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200">
        <v>46070</v>
      </c>
      <c r="B76" s="199" t="s">
        <v>24</v>
      </c>
      <c r="C76" s="199">
        <v>2237966</v>
      </c>
      <c r="D76" s="199">
        <v>2559832</v>
      </c>
      <c r="E76" s="199">
        <v>2131416</v>
      </c>
      <c r="F76" s="199">
        <v>1427967</v>
      </c>
      <c r="G76" s="199">
        <v>2241260</v>
      </c>
      <c r="H76" s="199"/>
      <c r="I76" s="199"/>
      <c r="J76" s="193">
        <f>'ODOMETERS Tekrit'!$C76+'ODOMETERS Tekrit'!$D76-D75-C75</f>
        <v>120</v>
      </c>
      <c r="K76" s="193">
        <f>'ODOMETERS Tekrit'!$F76+'ODOMETERS Tekrit'!$E76-E75-F75</f>
        <v>144</v>
      </c>
      <c r="L76" s="195">
        <f>'ODOMETERS Tekrit'!$G76+'ODOMETERS Tekrit'!$H76-H75-G75</f>
        <v>55</v>
      </c>
      <c r="M76" s="193">
        <f>SUM('ODOMETERS Tekrit'!$J76:$L76)</f>
        <v>319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200">
        <v>46070</v>
      </c>
      <c r="B77" s="199" t="s">
        <v>25</v>
      </c>
      <c r="C77" s="199">
        <v>2238028</v>
      </c>
      <c r="D77" s="199">
        <v>2559924</v>
      </c>
      <c r="E77" s="199">
        <v>2131443</v>
      </c>
      <c r="F77" s="199">
        <v>1428016</v>
      </c>
      <c r="G77" s="199">
        <v>2241579</v>
      </c>
      <c r="H77" s="199"/>
      <c r="I77" s="199"/>
      <c r="J77" s="193">
        <f>'ODOMETERS Tekrit'!$C77+'ODOMETERS Tekrit'!$D77-D76-C76</f>
        <v>154</v>
      </c>
      <c r="K77" s="193">
        <f>'ODOMETERS Tekrit'!$F77+'ODOMETERS Tekrit'!$E77-E76-F76</f>
        <v>76</v>
      </c>
      <c r="L77" s="195">
        <f>'ODOMETERS Tekrit'!$G77+'ODOMETERS Tekrit'!$H77-H76-G76</f>
        <v>319</v>
      </c>
      <c r="M77" s="193">
        <f>SUM('ODOMETERS Tekrit'!$J77:$L77)</f>
        <v>549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200">
        <v>46071</v>
      </c>
      <c r="B78" s="199"/>
      <c r="C78" s="199">
        <v>2238367</v>
      </c>
      <c r="D78" s="199">
        <v>2560054</v>
      </c>
      <c r="E78" s="199">
        <v>2131503</v>
      </c>
      <c r="F78" s="199">
        <v>1428115</v>
      </c>
      <c r="G78" s="199">
        <v>2241795</v>
      </c>
      <c r="H78" s="199"/>
      <c r="I78" s="199"/>
      <c r="J78" s="193">
        <f>'ODOMETERS Tekrit'!$C78+'ODOMETERS Tekrit'!$D78-D77-C77</f>
        <v>469</v>
      </c>
      <c r="K78" s="193">
        <f>'ODOMETERS Tekrit'!$F78+'ODOMETERS Tekrit'!$E78-E77-F77</f>
        <v>159</v>
      </c>
      <c r="L78" s="195">
        <f>'ODOMETERS Tekrit'!$G78+'ODOMETERS Tekrit'!$H78-H77-G77</f>
        <v>216</v>
      </c>
      <c r="M78" s="193">
        <f>SUM('ODOMETERS Tekrit'!$J78:$L78)</f>
        <v>844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200">
        <v>46072</v>
      </c>
      <c r="B79" s="199"/>
      <c r="C79" s="199">
        <v>2238512</v>
      </c>
      <c r="D79" s="199">
        <v>2560160</v>
      </c>
      <c r="E79" s="199">
        <v>2131557</v>
      </c>
      <c r="F79" s="199">
        <v>1428352</v>
      </c>
      <c r="G79" s="199">
        <v>2241995</v>
      </c>
      <c r="H79" s="199"/>
      <c r="I79" s="199"/>
      <c r="J79" s="193">
        <f>'ODOMETERS Tekrit'!$C79+'ODOMETERS Tekrit'!$D79-D78-C78</f>
        <v>251</v>
      </c>
      <c r="K79" s="193">
        <f>'ODOMETERS Tekrit'!$F79+'ODOMETERS Tekrit'!$E79-E78-F78</f>
        <v>291</v>
      </c>
      <c r="L79" s="195">
        <f>'ODOMETERS Tekrit'!$G79+'ODOMETERS Tekrit'!$H79-H78-G78</f>
        <v>200</v>
      </c>
      <c r="M79" s="193">
        <f>SUM('ODOMETERS Tekrit'!$J79:$L79)</f>
        <v>742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200">
        <v>46073</v>
      </c>
      <c r="B80" s="199" t="s">
        <v>24</v>
      </c>
      <c r="C80" s="199">
        <v>2238663</v>
      </c>
      <c r="D80" s="199">
        <v>2560264</v>
      </c>
      <c r="E80" s="199">
        <v>2131647</v>
      </c>
      <c r="F80" s="199">
        <v>1428487</v>
      </c>
      <c r="G80" s="199">
        <v>2242110</v>
      </c>
      <c r="H80" s="199"/>
      <c r="I80" s="199"/>
      <c r="J80" s="193">
        <f>'ODOMETERS Tekrit'!$C80+'ODOMETERS Tekrit'!$D80-D79-C79</f>
        <v>255</v>
      </c>
      <c r="K80" s="193">
        <f>'ODOMETERS Tekrit'!$F80+'ODOMETERS Tekrit'!$E80-E79-F79</f>
        <v>225</v>
      </c>
      <c r="L80" s="195">
        <f>'ODOMETERS Tekrit'!$G80+'ODOMETERS Tekrit'!$H80-H79-G79</f>
        <v>115</v>
      </c>
      <c r="M80" s="193">
        <f>SUM('ODOMETERS Tekrit'!$J80:$L80)</f>
        <v>595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200">
        <v>46073</v>
      </c>
      <c r="B81" s="199" t="s">
        <v>25</v>
      </c>
      <c r="C81" s="199">
        <v>2238696</v>
      </c>
      <c r="D81" s="199">
        <v>2560295</v>
      </c>
      <c r="E81" s="199">
        <v>2131710</v>
      </c>
      <c r="F81" s="199">
        <v>1428637</v>
      </c>
      <c r="G81" s="199">
        <v>2242157</v>
      </c>
      <c r="H81" s="199"/>
      <c r="I81" s="199"/>
      <c r="J81" s="193">
        <f>'ODOMETERS Tekrit'!$C81+'ODOMETERS Tekrit'!$D81-D80-C80</f>
        <v>64</v>
      </c>
      <c r="K81" s="193">
        <f>'ODOMETERS Tekrit'!$F81+'ODOMETERS Tekrit'!$E81-E80-F80</f>
        <v>213</v>
      </c>
      <c r="L81" s="195">
        <f>'ODOMETERS Tekrit'!$G81+'ODOMETERS Tekrit'!$H81-H80-G80</f>
        <v>47</v>
      </c>
      <c r="M81" s="193">
        <f>SUM('ODOMETERS Tekrit'!$J81:$L81)</f>
        <v>324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200">
        <v>46074</v>
      </c>
      <c r="B82" s="199"/>
      <c r="C82" s="199">
        <v>2238832</v>
      </c>
      <c r="D82" s="199">
        <v>2560355</v>
      </c>
      <c r="E82" s="199">
        <v>2131912</v>
      </c>
      <c r="F82" s="199">
        <v>1428886</v>
      </c>
      <c r="G82" s="199">
        <v>2242363</v>
      </c>
      <c r="H82" s="199"/>
      <c r="I82" s="199"/>
      <c r="J82" s="193">
        <f>'ODOMETERS Tekrit'!$C82+'ODOMETERS Tekrit'!$D82-D81-C81</f>
        <v>196</v>
      </c>
      <c r="K82" s="193">
        <f>'ODOMETERS Tekrit'!$F82+'ODOMETERS Tekrit'!$E82-E81-F81</f>
        <v>451</v>
      </c>
      <c r="L82" s="195">
        <f>'ODOMETERS Tekrit'!$G82+'ODOMETERS Tekrit'!$H82-H81-G81</f>
        <v>206</v>
      </c>
      <c r="M82" s="193">
        <f>SUM('ODOMETERS Tekrit'!$J82:$L82)</f>
        <v>853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200">
        <v>46075</v>
      </c>
      <c r="B83" s="199"/>
      <c r="C83" s="199">
        <v>2238882</v>
      </c>
      <c r="D83" s="199">
        <v>2560511</v>
      </c>
      <c r="E83" s="199">
        <v>2132120</v>
      </c>
      <c r="F83" s="199">
        <v>1429296</v>
      </c>
      <c r="G83" s="199">
        <v>2242610</v>
      </c>
      <c r="H83" s="199"/>
      <c r="I83" s="199"/>
      <c r="J83" s="193">
        <f>'ODOMETERS Tekrit'!$C83+'ODOMETERS Tekrit'!$D83-D82-C82</f>
        <v>206</v>
      </c>
      <c r="K83" s="193">
        <f>'ODOMETERS Tekrit'!$F83+'ODOMETERS Tekrit'!$E83-E82-F82</f>
        <v>618</v>
      </c>
      <c r="L83" s="195">
        <f>'ODOMETERS Tekrit'!$G83+'ODOMETERS Tekrit'!$H83-H82-G82</f>
        <v>247</v>
      </c>
      <c r="M83" s="193">
        <f>SUM('ODOMETERS Tekrit'!$J83:$L83)</f>
        <v>1071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200">
        <v>46076</v>
      </c>
      <c r="B84" s="199"/>
      <c r="C84" s="199">
        <v>2238890</v>
      </c>
      <c r="D84" s="199">
        <v>2560599</v>
      </c>
      <c r="E84" s="199">
        <v>2132328</v>
      </c>
      <c r="F84" s="199">
        <v>1429847</v>
      </c>
      <c r="G84" s="199">
        <v>2242918</v>
      </c>
      <c r="H84" s="199"/>
      <c r="I84" s="199"/>
      <c r="J84" s="193">
        <f>'ODOMETERS Tekrit'!$C84+'ODOMETERS Tekrit'!$D84-D83-C83</f>
        <v>96</v>
      </c>
      <c r="K84" s="193">
        <f>'ODOMETERS Tekrit'!$F84+'ODOMETERS Tekrit'!$E84-E83-F83</f>
        <v>759</v>
      </c>
      <c r="L84" s="195">
        <f>'ODOMETERS Tekrit'!$G84+'ODOMETERS Tekrit'!$H84-H83-G83</f>
        <v>308</v>
      </c>
      <c r="M84" s="193">
        <f>SUM('ODOMETERS Tekrit'!$J84:$L84)</f>
        <v>1163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200">
        <v>46077</v>
      </c>
      <c r="B85" s="199" t="s">
        <v>24</v>
      </c>
      <c r="C85" s="199">
        <v>2239100</v>
      </c>
      <c r="D85" s="199">
        <v>2560751</v>
      </c>
      <c r="E85" s="199">
        <v>2132386</v>
      </c>
      <c r="F85" s="199">
        <v>1429922</v>
      </c>
      <c r="G85" s="199">
        <v>2243145</v>
      </c>
      <c r="H85" s="199"/>
      <c r="I85" s="199"/>
      <c r="J85" s="193">
        <f>'ODOMETERS Tekrit'!$C85+'ODOMETERS Tekrit'!$D85-D84-C84</f>
        <v>362</v>
      </c>
      <c r="K85" s="193">
        <f>'ODOMETERS Tekrit'!$F85+'ODOMETERS Tekrit'!$E85-E84-F84</f>
        <v>133</v>
      </c>
      <c r="L85" s="195">
        <f>'ODOMETERS Tekrit'!$G85+'ODOMETERS Tekrit'!$H85-H84-G84</f>
        <v>227</v>
      </c>
      <c r="M85" s="193">
        <f>SUM('ODOMETERS Tekrit'!$J85:$L85)</f>
        <v>722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200">
        <v>46077</v>
      </c>
      <c r="B86" s="199" t="s">
        <v>25</v>
      </c>
      <c r="C86" s="199">
        <v>2239244</v>
      </c>
      <c r="D86" s="199">
        <v>2560804</v>
      </c>
      <c r="E86" s="199">
        <v>2132410</v>
      </c>
      <c r="F86" s="199">
        <v>1429996</v>
      </c>
      <c r="G86" s="199">
        <v>2243197</v>
      </c>
      <c r="H86" s="199"/>
      <c r="I86" s="199"/>
      <c r="J86" s="193">
        <f>'ODOMETERS Tekrit'!$C86+'ODOMETERS Tekrit'!$D86-D85-C85</f>
        <v>197</v>
      </c>
      <c r="K86" s="193">
        <f>'ODOMETERS Tekrit'!$F86+'ODOMETERS Tekrit'!$E86-E85-F85</f>
        <v>98</v>
      </c>
      <c r="L86" s="195">
        <f>'ODOMETERS Tekrit'!$G86+'ODOMETERS Tekrit'!$H86-H85-G85</f>
        <v>52</v>
      </c>
      <c r="M86" s="193">
        <f>SUM('ODOMETERS Tekrit'!$J86:$L86)</f>
        <v>347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218">
        <v>46078</v>
      </c>
      <c r="B87" s="201"/>
      <c r="C87" s="201">
        <v>2239637</v>
      </c>
      <c r="D87" s="201">
        <v>2561022</v>
      </c>
      <c r="E87" s="201">
        <v>2132439</v>
      </c>
      <c r="F87" s="201">
        <v>1430032</v>
      </c>
      <c r="G87" s="201">
        <v>2243423</v>
      </c>
      <c r="H87" s="201"/>
      <c r="I87" s="201"/>
      <c r="J87" s="193">
        <f>'ODOMETERS Tekrit'!$C87+'ODOMETERS Tekrit'!$D87-D86-C86</f>
        <v>611</v>
      </c>
      <c r="K87" s="193">
        <f>'ODOMETERS Tekrit'!$F87+'ODOMETERS Tekrit'!$E87-E86-F86</f>
        <v>65</v>
      </c>
      <c r="L87" s="195">
        <f>'ODOMETERS Tekrit'!$G87+'ODOMETERS Tekrit'!$H87-H86-G86</f>
        <v>226</v>
      </c>
      <c r="M87" s="193">
        <f>SUM('ODOMETERS Tekrit'!$J87:$L87)</f>
        <v>902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200">
        <v>46079</v>
      </c>
      <c r="B88" s="199"/>
      <c r="C88" s="199">
        <v>2240086</v>
      </c>
      <c r="D88" s="199">
        <v>2561306</v>
      </c>
      <c r="E88" s="199">
        <v>2132439</v>
      </c>
      <c r="F88" s="199">
        <v>1430042</v>
      </c>
      <c r="G88" s="199">
        <v>2243791</v>
      </c>
      <c r="H88" s="199"/>
      <c r="I88" s="199"/>
      <c r="J88" s="193">
        <f>'ODOMETERS Tekrit'!$C88+'ODOMETERS Tekrit'!$D88-D87-C87</f>
        <v>733</v>
      </c>
      <c r="K88" s="193">
        <f>'ODOMETERS Tekrit'!$F88+'ODOMETERS Tekrit'!$E88-E87-F87</f>
        <v>10</v>
      </c>
      <c r="L88" s="195">
        <f>'ODOMETERS Tekrit'!$G88+'ODOMETERS Tekrit'!$H88-H87-G87</f>
        <v>368</v>
      </c>
      <c r="M88" s="193">
        <f>SUM('ODOMETERS Tekrit'!$J88:$L88)</f>
        <v>1111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200">
        <v>46080</v>
      </c>
      <c r="B89" s="199" t="s">
        <v>24</v>
      </c>
      <c r="C89" s="199">
        <v>2240318</v>
      </c>
      <c r="D89" s="199">
        <v>2561529</v>
      </c>
      <c r="E89" s="199">
        <v>2132439</v>
      </c>
      <c r="F89" s="199">
        <v>1430042</v>
      </c>
      <c r="G89" s="199">
        <v>2244020</v>
      </c>
      <c r="H89" s="199"/>
      <c r="I89" s="199"/>
      <c r="J89" s="193">
        <f>'ODOMETERS Tekrit'!$C89+'ODOMETERS Tekrit'!$D89-D88-C88</f>
        <v>455</v>
      </c>
      <c r="K89" s="193">
        <f>'ODOMETERS Tekrit'!$F89+'ODOMETERS Tekrit'!$E89-E88-F88</f>
        <v>0</v>
      </c>
      <c r="L89" s="195">
        <f>'ODOMETERS Tekrit'!$G89+'ODOMETERS Tekrit'!$H89-H88-G88</f>
        <v>229</v>
      </c>
      <c r="M89" s="193">
        <f>SUM('ODOMETERS Tekrit'!$J89:$L89)</f>
        <v>684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200">
        <v>46080</v>
      </c>
      <c r="B90" s="199" t="s">
        <v>25</v>
      </c>
      <c r="C90" s="199">
        <v>2240437</v>
      </c>
      <c r="D90" s="199">
        <v>2561584</v>
      </c>
      <c r="E90" s="199">
        <v>2132445</v>
      </c>
      <c r="F90" s="199">
        <v>1430111</v>
      </c>
      <c r="G90" s="199">
        <v>2244279</v>
      </c>
      <c r="H90" s="199"/>
      <c r="I90" s="199"/>
      <c r="J90" s="193">
        <f>'ODOMETERS Tekrit'!$C90+'ODOMETERS Tekrit'!$D90-D89-C89</f>
        <v>174</v>
      </c>
      <c r="K90" s="193">
        <f>'ODOMETERS Tekrit'!$F90+'ODOMETERS Tekrit'!$E90-E89-F89</f>
        <v>75</v>
      </c>
      <c r="L90" s="195">
        <f>'ODOMETERS Tekrit'!$G90+'ODOMETERS Tekrit'!$H90-H89-G89</f>
        <v>259</v>
      </c>
      <c r="M90" s="193">
        <f>SUM('ODOMETERS Tekrit'!$J90:$L90)</f>
        <v>508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200">
        <v>46081</v>
      </c>
      <c r="B91" s="199"/>
      <c r="C91" s="199">
        <v>2240779</v>
      </c>
      <c r="D91" s="199">
        <v>2561771</v>
      </c>
      <c r="E91" s="199">
        <v>2132641</v>
      </c>
      <c r="F91" s="199">
        <v>1431054</v>
      </c>
      <c r="G91" s="199">
        <v>2245061</v>
      </c>
      <c r="H91" s="199"/>
      <c r="I91" s="199"/>
      <c r="J91" s="193">
        <f>'ODOMETERS Tekrit'!$C91+'ODOMETERS Tekrit'!$D91-D90-C90</f>
        <v>529</v>
      </c>
      <c r="K91" s="193">
        <f>'ODOMETERS Tekrit'!$F91+'ODOMETERS Tekrit'!$E91-E90-F90</f>
        <v>1139</v>
      </c>
      <c r="L91" s="195">
        <f>'ODOMETERS Tekrit'!$G91+'ODOMETERS Tekrit'!$H91-H90-G90</f>
        <v>782</v>
      </c>
      <c r="M91" s="193">
        <f>SUM('ODOMETERS Tekrit'!$J91:$L91)</f>
        <v>2450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200">
        <v>46082</v>
      </c>
      <c r="B92" s="199"/>
      <c r="C92" s="199">
        <v>2240952</v>
      </c>
      <c r="D92" s="199">
        <v>2561866</v>
      </c>
      <c r="E92" s="199">
        <v>2132710</v>
      </c>
      <c r="F92" s="199">
        <v>1431254</v>
      </c>
      <c r="G92" s="199">
        <v>2245354</v>
      </c>
      <c r="H92" s="199"/>
      <c r="I92" s="199"/>
      <c r="J92" s="193">
        <f>'ODOMETERS Tekrit'!$C92+'ODOMETERS Tekrit'!$D92-D91-C91</f>
        <v>268</v>
      </c>
      <c r="K92" s="193">
        <f>'ODOMETERS Tekrit'!$F92+'ODOMETERS Tekrit'!$E92-E91-F91</f>
        <v>269</v>
      </c>
      <c r="L92" s="195">
        <f>'ODOMETERS Tekrit'!$G92+'ODOMETERS Tekrit'!$H92-H91-G91</f>
        <v>293</v>
      </c>
      <c r="M92" s="193">
        <f>SUM('ODOMETERS Tekrit'!$J92:$L92)</f>
        <v>830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200">
        <v>46083</v>
      </c>
      <c r="B93" s="199"/>
      <c r="C93" s="199">
        <v>2241165</v>
      </c>
      <c r="D93" s="199">
        <v>2561954</v>
      </c>
      <c r="E93" s="199">
        <v>2132830</v>
      </c>
      <c r="F93" s="199">
        <v>1431461</v>
      </c>
      <c r="G93" s="199">
        <v>2245752</v>
      </c>
      <c r="H93" s="199"/>
      <c r="I93" s="199"/>
      <c r="J93" s="193">
        <f>'ODOMETERS Tekrit'!$C93+'ODOMETERS Tekrit'!$D93-D92-C92</f>
        <v>301</v>
      </c>
      <c r="K93" s="193">
        <f>'ODOMETERS Tekrit'!$F93+'ODOMETERS Tekrit'!$E93-E92-F92</f>
        <v>327</v>
      </c>
      <c r="L93" s="195">
        <f>'ODOMETERS Tekrit'!$G93+'ODOMETERS Tekrit'!$H93-H92-G92</f>
        <v>398</v>
      </c>
      <c r="M93" s="193">
        <f>SUM('ODOMETERS Tekrit'!$J93:$L93)</f>
        <v>1026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200">
        <v>46084</v>
      </c>
      <c r="B94" s="199" t="s">
        <v>24</v>
      </c>
      <c r="C94" s="199">
        <v>2241205</v>
      </c>
      <c r="D94" s="199">
        <v>2562056</v>
      </c>
      <c r="E94" s="199">
        <v>2132915</v>
      </c>
      <c r="F94" s="199">
        <v>1431733</v>
      </c>
      <c r="G94" s="199">
        <v>2246360</v>
      </c>
      <c r="H94" s="199"/>
      <c r="I94" s="199"/>
      <c r="J94" s="193">
        <f>'ODOMETERS Tekrit'!$C94+'ODOMETERS Tekrit'!$D94-D93-C93</f>
        <v>142</v>
      </c>
      <c r="K94" s="193">
        <f>'ODOMETERS Tekrit'!$F94+'ODOMETERS Tekrit'!$E94-E93-F93</f>
        <v>357</v>
      </c>
      <c r="L94" s="195">
        <f>'ODOMETERS Tekrit'!$G94+'ODOMETERS Tekrit'!$H94-H93-G93</f>
        <v>608</v>
      </c>
      <c r="M94" s="193">
        <f>SUM('ODOMETERS Tekrit'!$J94:$L94)</f>
        <v>1107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200">
        <v>46084</v>
      </c>
      <c r="B95" s="199" t="s">
        <v>25</v>
      </c>
      <c r="C95" s="199">
        <v>2241248</v>
      </c>
      <c r="D95" s="199">
        <v>2562084</v>
      </c>
      <c r="E95" s="199">
        <v>2132956</v>
      </c>
      <c r="F95" s="199">
        <v>1431816</v>
      </c>
      <c r="G95" s="199">
        <v>2246689</v>
      </c>
      <c r="H95" s="199"/>
      <c r="I95" s="199"/>
      <c r="J95" s="193">
        <f>'ODOMETERS Tekrit'!$C95+'ODOMETERS Tekrit'!$D95-D94-C94</f>
        <v>71</v>
      </c>
      <c r="K95" s="193">
        <f>'ODOMETERS Tekrit'!$F95+'ODOMETERS Tekrit'!$E95-E94-F94</f>
        <v>124</v>
      </c>
      <c r="L95" s="195">
        <f>'ODOMETERS Tekrit'!$G95+'ODOMETERS Tekrit'!$H95-H94-G94</f>
        <v>329</v>
      </c>
      <c r="M95" s="193">
        <f>SUM('ODOMETERS Tekrit'!$J95:$L95)</f>
        <v>524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200">
        <v>46085</v>
      </c>
      <c r="B96" s="199"/>
      <c r="C96" s="199">
        <v>2241528</v>
      </c>
      <c r="D96" s="199">
        <v>2562250</v>
      </c>
      <c r="E96" s="199">
        <v>2133040</v>
      </c>
      <c r="F96" s="199">
        <v>1432103</v>
      </c>
      <c r="G96" s="199">
        <v>2247739</v>
      </c>
      <c r="H96" s="199"/>
      <c r="I96" s="199"/>
      <c r="J96" s="193">
        <f>'ODOMETERS Tekrit'!$C96+'ODOMETERS Tekrit'!$D96-D95-C95</f>
        <v>446</v>
      </c>
      <c r="K96" s="193">
        <f>'ODOMETERS Tekrit'!$F96+'ODOMETERS Tekrit'!$E96-E95-F95</f>
        <v>371</v>
      </c>
      <c r="L96" s="195">
        <f>'ODOMETERS Tekrit'!$G96+'ODOMETERS Tekrit'!$H96-H95-G95</f>
        <v>1050</v>
      </c>
      <c r="M96" s="193">
        <f>SUM('ODOMETERS Tekrit'!$J96:$L96)</f>
        <v>1867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200">
        <v>46086</v>
      </c>
      <c r="B97" s="199"/>
      <c r="C97" s="199">
        <v>2241745</v>
      </c>
      <c r="D97" s="199">
        <v>2562374</v>
      </c>
      <c r="E97" s="199">
        <v>2133119</v>
      </c>
      <c r="F97" s="199">
        <v>1432233</v>
      </c>
      <c r="G97" s="199">
        <v>2248018</v>
      </c>
      <c r="H97" s="199"/>
      <c r="I97" s="199"/>
      <c r="J97" s="193">
        <f>'ODOMETERS Tekrit'!$C97+'ODOMETERS Tekrit'!$D97-D96-C96</f>
        <v>341</v>
      </c>
      <c r="K97" s="193">
        <f>'ODOMETERS Tekrit'!$F97+'ODOMETERS Tekrit'!$E97-E96-F96</f>
        <v>209</v>
      </c>
      <c r="L97" s="195">
        <f>'ODOMETERS Tekrit'!$G97+'ODOMETERS Tekrit'!$H97-H96-G96</f>
        <v>279</v>
      </c>
      <c r="M97" s="193">
        <f>SUM('ODOMETERS Tekrit'!$J97:$L97)</f>
        <v>829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0">
        <v>46087</v>
      </c>
      <c r="B98" s="199" t="s">
        <v>24</v>
      </c>
      <c r="C98" s="199">
        <v>2241813</v>
      </c>
      <c r="D98" s="199">
        <v>2562446</v>
      </c>
      <c r="E98" s="199">
        <v>2133146</v>
      </c>
      <c r="F98" s="199">
        <v>1432287</v>
      </c>
      <c r="G98" s="199">
        <v>2248259</v>
      </c>
      <c r="H98" s="199"/>
      <c r="I98" s="199"/>
      <c r="J98" s="193">
        <f>'ODOMETERS Tekrit'!$C98+'ODOMETERS Tekrit'!$D98-D97-C97</f>
        <v>140</v>
      </c>
      <c r="K98" s="193">
        <f>'ODOMETERS Tekrit'!$F98+'ODOMETERS Tekrit'!$E98-E97-F97</f>
        <v>81</v>
      </c>
      <c r="L98" s="195">
        <f>'ODOMETERS Tekrit'!$G98+'ODOMETERS Tekrit'!$H98-H97-G97</f>
        <v>241</v>
      </c>
      <c r="M98" s="193">
        <f>SUM('ODOMETERS Tekrit'!$J98:$L98)</f>
        <v>462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00">
        <v>46087</v>
      </c>
      <c r="B99" s="199" t="s">
        <v>25</v>
      </c>
      <c r="C99" s="199">
        <v>2241935</v>
      </c>
      <c r="D99" s="199">
        <v>2562509</v>
      </c>
      <c r="E99" s="199">
        <v>2133176</v>
      </c>
      <c r="F99" s="199">
        <v>1432377</v>
      </c>
      <c r="G99" s="199">
        <v>2248442</v>
      </c>
      <c r="H99" s="199"/>
      <c r="I99" s="199"/>
      <c r="J99" s="193">
        <f>'ODOMETERS Tekrit'!$C99+'ODOMETERS Tekrit'!$D99-D98-C98</f>
        <v>185</v>
      </c>
      <c r="K99" s="193">
        <f>'ODOMETERS Tekrit'!$F99+'ODOMETERS Tekrit'!$E99-E98-F98</f>
        <v>120</v>
      </c>
      <c r="L99" s="195">
        <f>'ODOMETERS Tekrit'!$G99+'ODOMETERS Tekrit'!$H99-H98-G98</f>
        <v>183</v>
      </c>
      <c r="M99" s="193">
        <f>SUM('ODOMETERS Tekrit'!$J99:$L99)</f>
        <v>488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00">
        <v>46088</v>
      </c>
      <c r="B100" s="199"/>
      <c r="C100" s="199">
        <v>2242282</v>
      </c>
      <c r="D100" s="199">
        <v>2562667</v>
      </c>
      <c r="E100" s="199">
        <v>2133229</v>
      </c>
      <c r="F100" s="199">
        <v>1432573</v>
      </c>
      <c r="G100" s="199">
        <v>2249181</v>
      </c>
      <c r="H100" s="199"/>
      <c r="I100" s="199"/>
      <c r="J100" s="193">
        <f>'ODOMETERS Tekrit'!$C100+'ODOMETERS Tekrit'!$D100-D99-C99</f>
        <v>505</v>
      </c>
      <c r="K100" s="193">
        <f>'ODOMETERS Tekrit'!$F100+'ODOMETERS Tekrit'!$E100-E99-F99</f>
        <v>249</v>
      </c>
      <c r="L100" s="195">
        <f>'ODOMETERS Tekrit'!$G100+'ODOMETERS Tekrit'!$H100-H99-G99</f>
        <v>739</v>
      </c>
      <c r="M100" s="193">
        <f>SUM('ODOMETERS Tekrit'!$J100:$L100)</f>
        <v>1493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00">
        <v>46089</v>
      </c>
      <c r="B101" s="199"/>
      <c r="C101" s="199">
        <v>2242656</v>
      </c>
      <c r="D101" s="199">
        <v>2562815</v>
      </c>
      <c r="E101" s="199">
        <v>2133421</v>
      </c>
      <c r="F101" s="199">
        <v>1432775</v>
      </c>
      <c r="G101" s="199">
        <v>2249667</v>
      </c>
      <c r="H101" s="199"/>
      <c r="I101" s="199"/>
      <c r="J101" s="193">
        <f>'ODOMETERS Tekrit'!$C101+'ODOMETERS Tekrit'!$D101-D100-C100</f>
        <v>522</v>
      </c>
      <c r="K101" s="193">
        <f>'ODOMETERS Tekrit'!$F101+'ODOMETERS Tekrit'!$E101-E100-F100</f>
        <v>394</v>
      </c>
      <c r="L101" s="195">
        <f>'ODOMETERS Tekrit'!$G101+'ODOMETERS Tekrit'!$H101-H100-G100</f>
        <v>486</v>
      </c>
      <c r="M101" s="193">
        <f>SUM('ODOMETERS Tekrit'!$J101:$L101)</f>
        <v>1402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00">
        <v>46090</v>
      </c>
      <c r="B102" s="199"/>
      <c r="C102" s="199">
        <v>2242954</v>
      </c>
      <c r="D102" s="199">
        <v>2563091</v>
      </c>
      <c r="E102" s="199">
        <v>2133469</v>
      </c>
      <c r="F102" s="199">
        <v>1432822</v>
      </c>
      <c r="G102" s="199">
        <v>2250227</v>
      </c>
      <c r="H102" s="199"/>
      <c r="I102" s="199"/>
      <c r="J102" s="193">
        <f>'ODOMETERS Tekrit'!$C102+'ODOMETERS Tekrit'!$D102-D101-C101</f>
        <v>574</v>
      </c>
      <c r="K102" s="193">
        <f>'ODOMETERS Tekrit'!$F102+'ODOMETERS Tekrit'!$E102-E101-F101</f>
        <v>95</v>
      </c>
      <c r="L102" s="195">
        <f>'ODOMETERS Tekrit'!$G102+'ODOMETERS Tekrit'!$H102-H101-G101</f>
        <v>560</v>
      </c>
      <c r="M102" s="193">
        <f>SUM('ODOMETERS Tekrit'!$J102:$L102)</f>
        <v>1229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200">
        <v>46091</v>
      </c>
      <c r="B103" s="199" t="s">
        <v>24</v>
      </c>
      <c r="C103" s="199">
        <v>2242954</v>
      </c>
      <c r="D103" s="199">
        <v>2563126</v>
      </c>
      <c r="E103" s="199">
        <v>2133505</v>
      </c>
      <c r="F103" s="199">
        <v>1432831</v>
      </c>
      <c r="G103" s="199">
        <v>2252239</v>
      </c>
      <c r="H103" s="199"/>
      <c r="I103" s="199"/>
      <c r="J103" s="193">
        <f>'ODOMETERS Tekrit'!$C103+'ODOMETERS Tekrit'!$D103-D102-C102</f>
        <v>35</v>
      </c>
      <c r="K103" s="193">
        <f>'ODOMETERS Tekrit'!$F103+'ODOMETERS Tekrit'!$E103-E102-F102</f>
        <v>45</v>
      </c>
      <c r="L103" s="195">
        <f>'ODOMETERS Tekrit'!$G103+'ODOMETERS Tekrit'!$H103-H102-G102</f>
        <v>2012</v>
      </c>
      <c r="M103" s="193">
        <f>SUM('ODOMETERS Tekrit'!$J103:$L103)</f>
        <v>2092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200">
        <v>46091</v>
      </c>
      <c r="B104" s="199" t="s">
        <v>25</v>
      </c>
      <c r="C104" s="199">
        <v>2243042</v>
      </c>
      <c r="D104" s="199">
        <v>2563189</v>
      </c>
      <c r="E104" s="199">
        <v>2133529</v>
      </c>
      <c r="F104" s="199">
        <v>1432989</v>
      </c>
      <c r="G104" s="199">
        <v>2252699</v>
      </c>
      <c r="H104" s="199"/>
      <c r="I104" s="199"/>
      <c r="J104" s="193">
        <f>'ODOMETERS Tekrit'!$C104+'ODOMETERS Tekrit'!$D104-D103-C103</f>
        <v>151</v>
      </c>
      <c r="K104" s="193">
        <f>'ODOMETERS Tekrit'!$F104+'ODOMETERS Tekrit'!$E104-E103-F103</f>
        <v>182</v>
      </c>
      <c r="L104" s="195">
        <f>'ODOMETERS Tekrit'!$G104+'ODOMETERS Tekrit'!$H104-H103-G103</f>
        <v>460</v>
      </c>
      <c r="M104" s="193">
        <f>SUM('ODOMETERS Tekrit'!$J104:$L104)</f>
        <v>793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200">
        <v>46092</v>
      </c>
      <c r="B105" s="199"/>
      <c r="C105" s="199">
        <v>2243288</v>
      </c>
      <c r="D105" s="199">
        <v>2563378</v>
      </c>
      <c r="E105" s="199">
        <v>2133598</v>
      </c>
      <c r="F105" s="199">
        <v>1433151</v>
      </c>
      <c r="G105" s="199">
        <v>2252964</v>
      </c>
      <c r="H105" s="199"/>
      <c r="I105" s="199"/>
      <c r="J105" s="193">
        <f>'ODOMETERS Tekrit'!$C105+'ODOMETERS Tekrit'!$D105-D104-C104</f>
        <v>435</v>
      </c>
      <c r="K105" s="193">
        <f>'ODOMETERS Tekrit'!$F105+'ODOMETERS Tekrit'!$E105-E104-F104</f>
        <v>231</v>
      </c>
      <c r="L105" s="195">
        <f>'ODOMETERS Tekrit'!$G105+'ODOMETERS Tekrit'!$H105-H104-G104</f>
        <v>265</v>
      </c>
      <c r="M105" s="193">
        <f>SUM('ODOMETERS Tekrit'!$J105:$L105)</f>
        <v>931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200">
        <v>46093</v>
      </c>
      <c r="B106" s="199"/>
      <c r="C106" s="199">
        <v>2243580</v>
      </c>
      <c r="D106" s="199">
        <v>2563551</v>
      </c>
      <c r="E106" s="199">
        <v>2133709</v>
      </c>
      <c r="F106" s="199">
        <v>1433423</v>
      </c>
      <c r="G106" s="199">
        <v>2253201</v>
      </c>
      <c r="H106" s="199"/>
      <c r="I106" s="199"/>
      <c r="J106" s="193">
        <f>'ODOMETERS Tekrit'!$C106+'ODOMETERS Tekrit'!$D106-D105-C105</f>
        <v>465</v>
      </c>
      <c r="K106" s="193">
        <f>'ODOMETERS Tekrit'!$F106+'ODOMETERS Tekrit'!$E106-E105-F105</f>
        <v>383</v>
      </c>
      <c r="L106" s="195">
        <f>'ODOMETERS Tekrit'!$G106+'ODOMETERS Tekrit'!$H106-H105-G105</f>
        <v>237</v>
      </c>
      <c r="M106" s="193">
        <f>SUM('ODOMETERS Tekrit'!$J106:$L106)</f>
        <v>1085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200">
        <v>46094</v>
      </c>
      <c r="B107" s="199" t="s">
        <v>24</v>
      </c>
      <c r="C107" s="199">
        <v>2243779</v>
      </c>
      <c r="D107" s="199">
        <v>2563648</v>
      </c>
      <c r="E107" s="199">
        <v>2133753</v>
      </c>
      <c r="F107" s="199">
        <v>1433623</v>
      </c>
      <c r="G107" s="199">
        <v>2253285</v>
      </c>
      <c r="H107" s="199"/>
      <c r="I107" s="199"/>
      <c r="J107" s="193">
        <f>'ODOMETERS Tekrit'!$C107+'ODOMETERS Tekrit'!$D107-D106-C106</f>
        <v>296</v>
      </c>
      <c r="K107" s="193">
        <f>'ODOMETERS Tekrit'!$F107+'ODOMETERS Tekrit'!$E107-E106-F106</f>
        <v>244</v>
      </c>
      <c r="L107" s="195">
        <f>'ODOMETERS Tekrit'!$G107+'ODOMETERS Tekrit'!$H107-H106-G106</f>
        <v>84</v>
      </c>
      <c r="M107" s="193">
        <f>SUM('ODOMETERS Tekrit'!$J107:$L107)</f>
        <v>624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200">
        <v>46094</v>
      </c>
      <c r="B108" s="199" t="s">
        <v>25</v>
      </c>
      <c r="C108" s="199">
        <v>2243861</v>
      </c>
      <c r="D108" s="199">
        <v>2563709</v>
      </c>
      <c r="E108" s="199">
        <v>2133807</v>
      </c>
      <c r="F108" s="199">
        <v>1433728</v>
      </c>
      <c r="G108" s="199">
        <v>2253354</v>
      </c>
      <c r="H108" s="199"/>
      <c r="I108" s="199"/>
      <c r="J108" s="193">
        <f>'ODOMETERS Tekrit'!$C108+'ODOMETERS Tekrit'!$D108-D107-C107</f>
        <v>143</v>
      </c>
      <c r="K108" s="193">
        <f>'ODOMETERS Tekrit'!$F108+'ODOMETERS Tekrit'!$E108-E107-F107</f>
        <v>159</v>
      </c>
      <c r="L108" s="195">
        <f>'ODOMETERS Tekrit'!$G108+'ODOMETERS Tekrit'!$H108-H107-G107</f>
        <v>69</v>
      </c>
      <c r="M108" s="193">
        <f>SUM('ODOMETERS Tekrit'!$J108:$L108)</f>
        <v>371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200">
        <v>46095</v>
      </c>
      <c r="B109" s="199"/>
      <c r="C109" s="199">
        <v>2243920</v>
      </c>
      <c r="D109" s="199">
        <v>2563938</v>
      </c>
      <c r="E109" s="199">
        <v>2133897</v>
      </c>
      <c r="F109" s="199">
        <v>1433924</v>
      </c>
      <c r="G109" s="199">
        <v>2253601</v>
      </c>
      <c r="H109" s="199"/>
      <c r="I109" s="199"/>
      <c r="J109" s="193">
        <f>'ODOMETERS Tekrit'!$C109+'ODOMETERS Tekrit'!$D109-D108-C108</f>
        <v>288</v>
      </c>
      <c r="K109" s="193">
        <f>'ODOMETERS Tekrit'!$F109+'ODOMETERS Tekrit'!$E109-E108-F108</f>
        <v>286</v>
      </c>
      <c r="L109" s="195">
        <f>'ODOMETERS Tekrit'!$G109+'ODOMETERS Tekrit'!$H109-H108-G108</f>
        <v>247</v>
      </c>
      <c r="M109" s="193">
        <f>SUM('ODOMETERS Tekrit'!$J109:$L109)</f>
        <v>821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200">
        <v>46096</v>
      </c>
      <c r="B110" s="199"/>
      <c r="C110" s="199">
        <v>2244211</v>
      </c>
      <c r="D110" s="199">
        <v>2564153</v>
      </c>
      <c r="E110" s="199">
        <v>2134025</v>
      </c>
      <c r="F110" s="199">
        <v>1434059</v>
      </c>
      <c r="G110" s="199">
        <v>2254010</v>
      </c>
      <c r="H110" s="199"/>
      <c r="I110" s="199"/>
      <c r="J110" s="193">
        <f>'ODOMETERS Tekrit'!$C110+'ODOMETERS Tekrit'!$D110-D109-C109</f>
        <v>506</v>
      </c>
      <c r="K110" s="193">
        <f>'ODOMETERS Tekrit'!$F110+'ODOMETERS Tekrit'!$E110-E109-F109</f>
        <v>263</v>
      </c>
      <c r="L110" s="195">
        <f>'ODOMETERS Tekrit'!$G110+'ODOMETERS Tekrit'!$H110-H109-G109</f>
        <v>409</v>
      </c>
      <c r="M110" s="193">
        <f>SUM('ODOMETERS Tekrit'!$J110:$L110)</f>
        <v>1178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200">
        <v>46097</v>
      </c>
      <c r="B111" s="199"/>
      <c r="C111" s="199">
        <v>2244600</v>
      </c>
      <c r="D111" s="199">
        <v>2564320</v>
      </c>
      <c r="E111" s="199">
        <v>2134144</v>
      </c>
      <c r="F111" s="199">
        <v>1434261</v>
      </c>
      <c r="G111" s="199">
        <v>2254381</v>
      </c>
      <c r="H111" s="199"/>
      <c r="I111" s="199"/>
      <c r="J111" s="193">
        <f>'ODOMETERS Tekrit'!$C111+'ODOMETERS Tekrit'!$D111-D110-C110</f>
        <v>556</v>
      </c>
      <c r="K111" s="193">
        <f>'ODOMETERS Tekrit'!$F111+'ODOMETERS Tekrit'!$E111-E110-F110</f>
        <v>321</v>
      </c>
      <c r="L111" s="195">
        <f>'ODOMETERS Tekrit'!$G111+'ODOMETERS Tekrit'!$H111-H110-G110</f>
        <v>371</v>
      </c>
      <c r="M111" s="193">
        <f>SUM('ODOMETERS Tekrit'!$J111:$L111)</f>
        <v>1248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200">
        <v>46098</v>
      </c>
      <c r="B112" s="199" t="s">
        <v>24</v>
      </c>
      <c r="C112" s="199">
        <v>2244777</v>
      </c>
      <c r="D112" s="199">
        <v>2564448</v>
      </c>
      <c r="E112" s="199">
        <v>2134220</v>
      </c>
      <c r="F112" s="199">
        <v>1434461</v>
      </c>
      <c r="G112" s="199">
        <v>2254542</v>
      </c>
      <c r="H112" s="199"/>
      <c r="I112" s="199"/>
      <c r="J112" s="193">
        <f>'ODOMETERS Tekrit'!$C112+'ODOMETERS Tekrit'!$D112-D111-C111</f>
        <v>305</v>
      </c>
      <c r="K112" s="193">
        <f>'ODOMETERS Tekrit'!$F112+'ODOMETERS Tekrit'!$E112-E111-F111</f>
        <v>276</v>
      </c>
      <c r="L112" s="195">
        <f>'ODOMETERS Tekrit'!$G112+'ODOMETERS Tekrit'!$H112-H111-G111</f>
        <v>161</v>
      </c>
      <c r="M112" s="193">
        <f>SUM('ODOMETERS Tekrit'!$J112:$L112)</f>
        <v>742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200">
        <v>46098</v>
      </c>
      <c r="B113" s="199" t="s">
        <v>25</v>
      </c>
      <c r="C113" s="199">
        <v>2244830</v>
      </c>
      <c r="D113" s="199">
        <v>2564512</v>
      </c>
      <c r="E113" s="199">
        <v>2134245</v>
      </c>
      <c r="F113" s="199">
        <v>1434558</v>
      </c>
      <c r="G113" s="199">
        <v>2254583</v>
      </c>
      <c r="H113" s="199"/>
      <c r="I113" s="199"/>
      <c r="J113" s="193">
        <f>'ODOMETERS Tekrit'!$C113+'ODOMETERS Tekrit'!$D113-D112-C112</f>
        <v>117</v>
      </c>
      <c r="K113" s="193">
        <f>'ODOMETERS Tekrit'!$F113+'ODOMETERS Tekrit'!$E113-E112-F112</f>
        <v>122</v>
      </c>
      <c r="L113" s="195">
        <f>'ODOMETERS Tekrit'!$G113+'ODOMETERS Tekrit'!$H113-H112-G112</f>
        <v>41</v>
      </c>
      <c r="M113" s="193">
        <f>SUM('ODOMETERS Tekrit'!$J113:$L113)</f>
        <v>280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200">
        <v>46099</v>
      </c>
      <c r="B114" s="199"/>
      <c r="C114" s="199">
        <v>2245142</v>
      </c>
      <c r="D114" s="199">
        <v>2564704</v>
      </c>
      <c r="E114" s="199">
        <v>2134365</v>
      </c>
      <c r="F114" s="199">
        <v>1434777</v>
      </c>
      <c r="G114" s="199">
        <v>2255011</v>
      </c>
      <c r="H114" s="199"/>
      <c r="I114" s="199"/>
      <c r="J114" s="193">
        <f>'ODOMETERS Tekrit'!$C114+'ODOMETERS Tekrit'!$D114-D113-C113</f>
        <v>504</v>
      </c>
      <c r="K114" s="193">
        <f>'ODOMETERS Tekrit'!$F114+'ODOMETERS Tekrit'!$E114-E113-F113</f>
        <v>339</v>
      </c>
      <c r="L114" s="195">
        <f>'ODOMETERS Tekrit'!$G114+'ODOMETERS Tekrit'!$H114-H113-G113</f>
        <v>428</v>
      </c>
      <c r="M114" s="193">
        <f>SUM('ODOMETERS Tekrit'!$J114:$L114)</f>
        <v>1271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200">
        <v>46100</v>
      </c>
      <c r="B115" s="199" t="s">
        <v>24</v>
      </c>
      <c r="C115" s="199">
        <v>2245389</v>
      </c>
      <c r="D115" s="199">
        <v>2564876</v>
      </c>
      <c r="E115" s="199">
        <v>2134423</v>
      </c>
      <c r="F115" s="199">
        <v>1434992</v>
      </c>
      <c r="G115" s="199">
        <v>2255166</v>
      </c>
      <c r="H115" s="199"/>
      <c r="I115" s="199"/>
      <c r="J115" s="193">
        <f>'ODOMETERS Tekrit'!$C115+'ODOMETERS Tekrit'!$D115-D114-C114</f>
        <v>419</v>
      </c>
      <c r="K115" s="193">
        <f>'ODOMETERS Tekrit'!$F115+'ODOMETERS Tekrit'!$E115-E114-F114</f>
        <v>273</v>
      </c>
      <c r="L115" s="195">
        <f>'ODOMETERS Tekrit'!$G115+'ODOMETERS Tekrit'!$H115-H114-G114</f>
        <v>155</v>
      </c>
      <c r="M115" s="193">
        <f>SUM('ODOMETERS Tekrit'!$J115:$L115)</f>
        <v>847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200">
        <v>46100</v>
      </c>
      <c r="B116" s="199" t="s">
        <v>25</v>
      </c>
      <c r="C116" s="199">
        <v>2245475</v>
      </c>
      <c r="D116" s="199">
        <v>2564894</v>
      </c>
      <c r="E116" s="199">
        <v>2134518</v>
      </c>
      <c r="F116" s="199">
        <v>1435259</v>
      </c>
      <c r="G116" s="199">
        <v>2255361</v>
      </c>
      <c r="H116" s="199"/>
      <c r="I116" s="199"/>
      <c r="J116" s="193">
        <f>'ODOMETERS Tekrit'!$C116+'ODOMETERS Tekrit'!$D116-D115-C115</f>
        <v>104</v>
      </c>
      <c r="K116" s="193">
        <f>'ODOMETERS Tekrit'!$F116+'ODOMETERS Tekrit'!$E116-E115-F115</f>
        <v>362</v>
      </c>
      <c r="L116" s="195">
        <f>'ODOMETERS Tekrit'!$G116+'ODOMETERS Tekrit'!$H116-H115-G115</f>
        <v>195</v>
      </c>
      <c r="M116" s="193">
        <f>SUM('ODOMETERS Tekrit'!$J116:$L116)</f>
        <v>661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200">
        <v>46101</v>
      </c>
      <c r="B117" s="199"/>
      <c r="C117" s="199">
        <v>2245662</v>
      </c>
      <c r="D117" s="199">
        <v>2565038</v>
      </c>
      <c r="E117" s="199">
        <v>2134897</v>
      </c>
      <c r="F117" s="199">
        <v>1436252</v>
      </c>
      <c r="G117" s="199">
        <v>2256155</v>
      </c>
      <c r="H117" s="199"/>
      <c r="I117" s="199"/>
      <c r="J117" s="193">
        <f>'ODOMETERS Tekrit'!$C117+'ODOMETERS Tekrit'!$D117-D116-C116</f>
        <v>331</v>
      </c>
      <c r="K117" s="193">
        <f>'ODOMETERS Tekrit'!$F117+'ODOMETERS Tekrit'!$E117-E116-F116</f>
        <v>1372</v>
      </c>
      <c r="L117" s="195">
        <f>'ODOMETERS Tekrit'!$G117+'ODOMETERS Tekrit'!$H117-H116-G116</f>
        <v>794</v>
      </c>
      <c r="M117" s="193">
        <f>SUM('ODOMETERS Tekrit'!$J117:$L117)</f>
        <v>2497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200">
        <v>46102</v>
      </c>
      <c r="B118" s="199"/>
      <c r="C118" s="199">
        <v>2245807</v>
      </c>
      <c r="D118" s="199">
        <v>2565187</v>
      </c>
      <c r="E118" s="199">
        <v>2135119</v>
      </c>
      <c r="F118" s="199">
        <v>1436947</v>
      </c>
      <c r="G118" s="199">
        <v>2256571</v>
      </c>
      <c r="H118" s="199"/>
      <c r="I118" s="199"/>
      <c r="J118" s="193">
        <f>'ODOMETERS Tekrit'!$C118+'ODOMETERS Tekrit'!$D118-D117-C117</f>
        <v>294</v>
      </c>
      <c r="K118" s="193">
        <f>'ODOMETERS Tekrit'!$F118+'ODOMETERS Tekrit'!$E118-E117-F117</f>
        <v>917</v>
      </c>
      <c r="L118" s="195">
        <f>'ODOMETERS Tekrit'!$G118+'ODOMETERS Tekrit'!$H118-H117-G117</f>
        <v>416</v>
      </c>
      <c r="M118" s="193">
        <f>SUM('ODOMETERS Tekrit'!$J118:$L118)</f>
        <v>1627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200">
        <v>46103</v>
      </c>
      <c r="B119" s="199"/>
      <c r="C119" s="199">
        <v>2246085</v>
      </c>
      <c r="D119" s="199">
        <v>2565325</v>
      </c>
      <c r="E119" s="199">
        <v>2135252</v>
      </c>
      <c r="F119" s="199">
        <v>1437300</v>
      </c>
      <c r="G119" s="199">
        <v>2256845</v>
      </c>
      <c r="H119" s="199"/>
      <c r="I119" s="199"/>
      <c r="J119" s="193">
        <f>'ODOMETERS Tekrit'!$C119+'ODOMETERS Tekrit'!$D119-D118-C118</f>
        <v>416</v>
      </c>
      <c r="K119" s="193">
        <f>'ODOMETERS Tekrit'!$F119+'ODOMETERS Tekrit'!$E119-E118-F118</f>
        <v>486</v>
      </c>
      <c r="L119" s="195">
        <f>'ODOMETERS Tekrit'!$G119+'ODOMETERS Tekrit'!$H119-H118-G118</f>
        <v>274</v>
      </c>
      <c r="M119" s="193">
        <f>SUM('ODOMETERS Tekrit'!$J119:$L119)</f>
        <v>1176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200">
        <v>46104</v>
      </c>
      <c r="B120" s="199"/>
      <c r="C120" s="199">
        <v>2246506</v>
      </c>
      <c r="D120" s="199">
        <v>2565504</v>
      </c>
      <c r="E120" s="199">
        <v>2135341</v>
      </c>
      <c r="F120" s="199">
        <v>1437496</v>
      </c>
      <c r="G120" s="199">
        <v>2257274</v>
      </c>
      <c r="H120" s="199"/>
      <c r="I120" s="199"/>
      <c r="J120" s="193">
        <f>'ODOMETERS Tekrit'!$C120+'ODOMETERS Tekrit'!$D120-D119-C119</f>
        <v>600</v>
      </c>
      <c r="K120" s="193">
        <f>'ODOMETERS Tekrit'!$F120+'ODOMETERS Tekrit'!$E120-E119-F119</f>
        <v>285</v>
      </c>
      <c r="L120" s="195">
        <f>'ODOMETERS Tekrit'!$G120+'ODOMETERS Tekrit'!$H120-H119-G119</f>
        <v>429</v>
      </c>
      <c r="M120" s="193">
        <f>SUM('ODOMETERS Tekrit'!$J120:$L120)</f>
        <v>1314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200">
        <v>46105</v>
      </c>
      <c r="B121" s="199" t="s">
        <v>24</v>
      </c>
      <c r="C121" s="199">
        <v>2246726</v>
      </c>
      <c r="D121" s="199">
        <v>2565564</v>
      </c>
      <c r="E121" s="199">
        <v>2135393</v>
      </c>
      <c r="F121" s="199">
        <v>1437586</v>
      </c>
      <c r="G121" s="199">
        <v>2257517</v>
      </c>
      <c r="H121" s="199"/>
      <c r="I121" s="199"/>
      <c r="J121" s="193">
        <f>'ODOMETERS Tekrit'!$C121+'ODOMETERS Tekrit'!$D121-D120-C120</f>
        <v>280</v>
      </c>
      <c r="K121" s="193">
        <f>'ODOMETERS Tekrit'!$F121+'ODOMETERS Tekrit'!$E121-E120-F120</f>
        <v>142</v>
      </c>
      <c r="L121" s="195">
        <f>'ODOMETERS Tekrit'!$G121+'ODOMETERS Tekrit'!$H121-H120-G120</f>
        <v>243</v>
      </c>
      <c r="M121" s="193">
        <f>SUM('ODOMETERS Tekrit'!$J121:$L121)</f>
        <v>665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200">
        <v>46105</v>
      </c>
      <c r="B122" s="199" t="s">
        <v>25</v>
      </c>
      <c r="C122" s="199">
        <v>2246939</v>
      </c>
      <c r="D122" s="199">
        <v>2565610</v>
      </c>
      <c r="E122" s="199">
        <v>2135418</v>
      </c>
      <c r="F122" s="199">
        <v>1437617</v>
      </c>
      <c r="G122" s="199">
        <v>2258223</v>
      </c>
      <c r="H122" s="199"/>
      <c r="I122" s="199"/>
      <c r="J122" s="193">
        <f>'ODOMETERS Tekrit'!$C122+'ODOMETERS Tekrit'!$D122-D121-C121</f>
        <v>259</v>
      </c>
      <c r="K122" s="193">
        <f>'ODOMETERS Tekrit'!$F122+'ODOMETERS Tekrit'!$E122-E121-F121</f>
        <v>56</v>
      </c>
      <c r="L122" s="195">
        <f>'ODOMETERS Tekrit'!$G122+'ODOMETERS Tekrit'!$H122-H121-G121</f>
        <v>706</v>
      </c>
      <c r="M122" s="193">
        <f>SUM('ODOMETERS Tekrit'!$J122:$L122)</f>
        <v>1021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200">
        <v>46106</v>
      </c>
      <c r="B123" s="199"/>
      <c r="C123" s="199">
        <v>2247123</v>
      </c>
      <c r="D123" s="199">
        <v>2565757</v>
      </c>
      <c r="E123" s="199">
        <v>2135512</v>
      </c>
      <c r="F123" s="199">
        <v>1437727</v>
      </c>
      <c r="G123" s="199">
        <v>2258672</v>
      </c>
      <c r="H123" s="199"/>
      <c r="I123" s="199"/>
      <c r="J123" s="193">
        <f>'ODOMETERS Tekrit'!$C123+'ODOMETERS Tekrit'!$D123-D122-C122</f>
        <v>331</v>
      </c>
      <c r="K123" s="193">
        <f>'ODOMETERS Tekrit'!$F123+'ODOMETERS Tekrit'!$E123-E122-F122</f>
        <v>204</v>
      </c>
      <c r="L123" s="195">
        <f>'ODOMETERS Tekrit'!$G123+'ODOMETERS Tekrit'!$H123-H122-G122</f>
        <v>449</v>
      </c>
      <c r="M123" s="193">
        <f>SUM('ODOMETERS Tekrit'!$J123:$L123)</f>
        <v>984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200">
        <v>46107</v>
      </c>
      <c r="B124" s="199"/>
      <c r="C124" s="199">
        <v>2247403</v>
      </c>
      <c r="D124" s="199">
        <v>2565864</v>
      </c>
      <c r="E124" s="199">
        <v>2135575</v>
      </c>
      <c r="F124" s="199">
        <v>1437883</v>
      </c>
      <c r="G124" s="199">
        <v>2259069</v>
      </c>
      <c r="H124" s="199"/>
      <c r="I124" s="199"/>
      <c r="J124" s="193">
        <f>'ODOMETERS Tekrit'!$C124+'ODOMETERS Tekrit'!$D124-D123-C123</f>
        <v>387</v>
      </c>
      <c r="K124" s="193">
        <f>'ODOMETERS Tekrit'!$F124+'ODOMETERS Tekrit'!$E124-E123-F123</f>
        <v>219</v>
      </c>
      <c r="L124" s="195">
        <f>'ODOMETERS Tekrit'!$G124+'ODOMETERS Tekrit'!$H124-H123-G123</f>
        <v>397</v>
      </c>
      <c r="M124" s="193">
        <f>SUM('ODOMETERS Tekrit'!$J124:$L124)</f>
        <v>1003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200">
        <v>46108</v>
      </c>
      <c r="B125" s="199" t="s">
        <v>24</v>
      </c>
      <c r="C125" s="199">
        <v>2247469</v>
      </c>
      <c r="D125" s="199">
        <v>2565906</v>
      </c>
      <c r="E125" s="199">
        <v>2135674</v>
      </c>
      <c r="F125" s="199">
        <v>1438073</v>
      </c>
      <c r="G125" s="199">
        <v>2259281</v>
      </c>
      <c r="H125" s="199"/>
      <c r="I125" s="199"/>
      <c r="J125" s="193">
        <f>'ODOMETERS Tekrit'!$C125+'ODOMETERS Tekrit'!$D125-D124-C124</f>
        <v>108</v>
      </c>
      <c r="K125" s="193">
        <f>'ODOMETERS Tekrit'!$F125+'ODOMETERS Tekrit'!$E125-E124-F124</f>
        <v>289</v>
      </c>
      <c r="L125" s="195">
        <f>'ODOMETERS Tekrit'!$G125+'ODOMETERS Tekrit'!$H125-H124-G124</f>
        <v>212</v>
      </c>
      <c r="M125" s="193">
        <f>SUM('ODOMETERS Tekrit'!$J125:$L125)</f>
        <v>609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200">
        <v>46108</v>
      </c>
      <c r="B126" s="199" t="s">
        <v>25</v>
      </c>
      <c r="C126" s="199">
        <v>2247504</v>
      </c>
      <c r="D126" s="199">
        <v>2565927</v>
      </c>
      <c r="E126" s="199">
        <v>2135711</v>
      </c>
      <c r="F126" s="199">
        <v>1438173</v>
      </c>
      <c r="G126" s="199">
        <v>2259359</v>
      </c>
      <c r="H126" s="199"/>
      <c r="I126" s="199"/>
      <c r="J126" s="193">
        <f>'ODOMETERS Tekrit'!$C126+'ODOMETERS Tekrit'!$D126-D125-C125</f>
        <v>56</v>
      </c>
      <c r="K126" s="193">
        <f>'ODOMETERS Tekrit'!$F126+'ODOMETERS Tekrit'!$E126-E125-F125</f>
        <v>137</v>
      </c>
      <c r="L126" s="195">
        <f>'ODOMETERS Tekrit'!$G126+'ODOMETERS Tekrit'!$H126-H125-G125</f>
        <v>78</v>
      </c>
      <c r="M126" s="193">
        <f>SUM('ODOMETERS Tekrit'!$J126:$L126)</f>
        <v>271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200">
        <v>46109</v>
      </c>
      <c r="B127" s="199"/>
      <c r="C127" s="199">
        <v>2247745</v>
      </c>
      <c r="D127" s="199">
        <v>2566072</v>
      </c>
      <c r="E127" s="199">
        <v>2135829</v>
      </c>
      <c r="F127" s="199">
        <v>1438394</v>
      </c>
      <c r="G127" s="199">
        <v>2259583</v>
      </c>
      <c r="H127" s="199"/>
      <c r="I127" s="199"/>
      <c r="J127" s="193">
        <f>'ODOMETERS Tekrit'!$C127+'ODOMETERS Tekrit'!$D127-D126-C126</f>
        <v>386</v>
      </c>
      <c r="K127" s="193">
        <f>'ODOMETERS Tekrit'!$F127+'ODOMETERS Tekrit'!$E127-E126-F126</f>
        <v>339</v>
      </c>
      <c r="L127" s="195">
        <f>'ODOMETERS Tekrit'!$G127+'ODOMETERS Tekrit'!$H127-H126-G126</f>
        <v>224</v>
      </c>
      <c r="M127" s="193">
        <f>SUM('ODOMETERS Tekrit'!$J127:$L127)</f>
        <v>949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200">
        <v>46110</v>
      </c>
      <c r="B128" s="199"/>
      <c r="C128" s="199">
        <v>2248035</v>
      </c>
      <c r="D128" s="199">
        <v>2566233</v>
      </c>
      <c r="E128" s="199">
        <v>2135887</v>
      </c>
      <c r="F128" s="199">
        <v>1438604</v>
      </c>
      <c r="G128" s="199">
        <v>2260017</v>
      </c>
      <c r="H128" s="199"/>
      <c r="I128" s="199"/>
      <c r="J128" s="193">
        <f>'ODOMETERS Tekrit'!$C128+'ODOMETERS Tekrit'!$D128-D127-C127</f>
        <v>451</v>
      </c>
      <c r="K128" s="193">
        <f>'ODOMETERS Tekrit'!$F128+'ODOMETERS Tekrit'!$E128-E127-F127</f>
        <v>268</v>
      </c>
      <c r="L128" s="195">
        <f>'ODOMETERS Tekrit'!$G128+'ODOMETERS Tekrit'!$H128-H127-G127</f>
        <v>434</v>
      </c>
      <c r="M128" s="193">
        <f>SUM('ODOMETERS Tekrit'!$J128:$L128)</f>
        <v>1153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200">
        <v>46111</v>
      </c>
      <c r="B129" s="199"/>
      <c r="C129" s="199">
        <v>2248301</v>
      </c>
      <c r="D129" s="199">
        <v>2566348</v>
      </c>
      <c r="E129" s="199">
        <v>2135945</v>
      </c>
      <c r="F129" s="199">
        <v>1438786</v>
      </c>
      <c r="G129" s="199">
        <v>2260397</v>
      </c>
      <c r="H129" s="199"/>
      <c r="I129" s="199"/>
      <c r="J129" s="193">
        <f>'ODOMETERS Tekrit'!$C129+'ODOMETERS Tekrit'!$D129-D128-C128</f>
        <v>381</v>
      </c>
      <c r="K129" s="193">
        <f>'ODOMETERS Tekrit'!$F129+'ODOMETERS Tekrit'!$E129-E128-F128</f>
        <v>240</v>
      </c>
      <c r="L129" s="195">
        <f>'ODOMETERS Tekrit'!$G129+'ODOMETERS Tekrit'!$H129-H128-G128</f>
        <v>380</v>
      </c>
      <c r="M129" s="193">
        <f>SUM('ODOMETERS Tekrit'!$J129:$L129)</f>
        <v>1001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200">
        <v>46112</v>
      </c>
      <c r="B130" s="199" t="s">
        <v>24</v>
      </c>
      <c r="C130" s="199">
        <v>2248502</v>
      </c>
      <c r="D130" s="199">
        <v>2566426</v>
      </c>
      <c r="E130" s="199">
        <v>2135961</v>
      </c>
      <c r="F130" s="199">
        <v>1438893</v>
      </c>
      <c r="G130" s="199">
        <v>2260782</v>
      </c>
      <c r="H130" s="199"/>
      <c r="I130" s="199"/>
      <c r="J130" s="193">
        <f>'ODOMETERS Tekrit'!$C130+'ODOMETERS Tekrit'!$D130-D129-C129</f>
        <v>279</v>
      </c>
      <c r="K130" s="193">
        <f>'ODOMETERS Tekrit'!$F130+'ODOMETERS Tekrit'!$E130-E129-F129</f>
        <v>123</v>
      </c>
      <c r="L130" s="195">
        <f>'ODOMETERS Tekrit'!$G130+'ODOMETERS Tekrit'!$H130-H129-G129</f>
        <v>385</v>
      </c>
      <c r="M130" s="193">
        <f>SUM('ODOMETERS Tekrit'!$J130:$L130)</f>
        <v>787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200">
        <v>46112</v>
      </c>
      <c r="B131" s="199" t="s">
        <v>25</v>
      </c>
      <c r="C131" s="199">
        <v>2248630</v>
      </c>
      <c r="D131" s="199">
        <v>2566488</v>
      </c>
      <c r="E131" s="199">
        <v>2135973</v>
      </c>
      <c r="F131" s="199">
        <v>1438953</v>
      </c>
      <c r="G131" s="199">
        <v>2260858</v>
      </c>
      <c r="H131" s="199"/>
      <c r="I131" s="199"/>
      <c r="J131" s="193">
        <f>'ODOMETERS Tekrit'!$C131+'ODOMETERS Tekrit'!$D131-D130-C130</f>
        <v>190</v>
      </c>
      <c r="K131" s="193">
        <f>'ODOMETERS Tekrit'!$F131+'ODOMETERS Tekrit'!$E131-E130-F130</f>
        <v>72</v>
      </c>
      <c r="L131" s="195">
        <f>'ODOMETERS Tekrit'!$G131+'ODOMETERS Tekrit'!$H131-H130-G130</f>
        <v>76</v>
      </c>
      <c r="M131" s="193">
        <f>SUM('ODOMETERS Tekrit'!$J131:$L131)</f>
        <v>338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200">
        <v>46113</v>
      </c>
      <c r="B132" s="199"/>
      <c r="C132" s="199">
        <v>2248805</v>
      </c>
      <c r="D132" s="199">
        <v>2566579</v>
      </c>
      <c r="E132" s="199">
        <v>2136074</v>
      </c>
      <c r="F132" s="199">
        <v>1439048</v>
      </c>
      <c r="G132" s="199">
        <v>2261113</v>
      </c>
      <c r="H132" s="199"/>
      <c r="I132" s="199"/>
      <c r="J132" s="193">
        <f>'ODOMETERS Tekrit'!$C132+'ODOMETERS Tekrit'!$D132-D131-C131</f>
        <v>266</v>
      </c>
      <c r="K132" s="193">
        <f>'ODOMETERS Tekrit'!$F132+'ODOMETERS Tekrit'!$E132-E131-F131</f>
        <v>196</v>
      </c>
      <c r="L132" s="195">
        <f>'ODOMETERS Tekrit'!$G132+'ODOMETERS Tekrit'!$H132-H131-G131</f>
        <v>255</v>
      </c>
      <c r="M132" s="193">
        <f>SUM('ODOMETERS Tekrit'!$J132:$L132)</f>
        <v>717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200">
        <v>46114</v>
      </c>
      <c r="B133" s="199" t="s">
        <v>24</v>
      </c>
      <c r="C133" s="199">
        <v>2249013</v>
      </c>
      <c r="D133" s="199">
        <v>2566649</v>
      </c>
      <c r="E133" s="199">
        <v>2136111</v>
      </c>
      <c r="F133" s="199">
        <v>1439131</v>
      </c>
      <c r="G133" s="199">
        <v>2261239</v>
      </c>
      <c r="H133" s="199"/>
      <c r="I133" s="199"/>
      <c r="J133" s="193">
        <f>'ODOMETERS Tekrit'!$C133+'ODOMETERS Tekrit'!$D133-D132-C132</f>
        <v>278</v>
      </c>
      <c r="K133" s="193">
        <f>'ODOMETERS Tekrit'!$F133+'ODOMETERS Tekrit'!$E133-E132-F132</f>
        <v>120</v>
      </c>
      <c r="L133" s="195">
        <f>'ODOMETERS Tekrit'!$G133+'ODOMETERS Tekrit'!$H133-H132-G132</f>
        <v>126</v>
      </c>
      <c r="M133" s="193">
        <f>SUM('ODOMETERS Tekrit'!$J133:$L133)</f>
        <v>524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200">
        <v>46114</v>
      </c>
      <c r="B134" s="199" t="s">
        <v>25</v>
      </c>
      <c r="C134" s="199">
        <v>2249141</v>
      </c>
      <c r="D134" s="199">
        <v>2566689</v>
      </c>
      <c r="E134" s="199">
        <v>2136140</v>
      </c>
      <c r="F134" s="199">
        <v>1439190</v>
      </c>
      <c r="G134" s="199">
        <v>2261307</v>
      </c>
      <c r="H134" s="199"/>
      <c r="I134" s="199"/>
      <c r="J134" s="193">
        <f>'ODOMETERS Tekrit'!$C134+'ODOMETERS Tekrit'!$D134-D133-C133</f>
        <v>168</v>
      </c>
      <c r="K134" s="193">
        <f>'ODOMETERS Tekrit'!$F134+'ODOMETERS Tekrit'!$E134-E133-F133</f>
        <v>88</v>
      </c>
      <c r="L134" s="195">
        <f>'ODOMETERS Tekrit'!$G134+'ODOMETERS Tekrit'!$H134-H133-G133</f>
        <v>68</v>
      </c>
      <c r="M134" s="193">
        <f>SUM('ODOMETERS Tekrit'!$J134:$L134)</f>
        <v>324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200">
        <v>46115</v>
      </c>
      <c r="B135" s="199"/>
      <c r="C135" s="199">
        <v>2249421</v>
      </c>
      <c r="D135" s="199">
        <v>2566822</v>
      </c>
      <c r="E135" s="199">
        <v>2136205</v>
      </c>
      <c r="F135" s="199">
        <v>1439318</v>
      </c>
      <c r="G135" s="199">
        <v>2261490</v>
      </c>
      <c r="H135" s="199"/>
      <c r="I135" s="199"/>
      <c r="J135" s="193">
        <f>'ODOMETERS Tekrit'!$C135+'ODOMETERS Tekrit'!$D135-D134-C134</f>
        <v>413</v>
      </c>
      <c r="K135" s="193">
        <f>'ODOMETERS Tekrit'!$F135+'ODOMETERS Tekrit'!$E135-E134-F134</f>
        <v>193</v>
      </c>
      <c r="L135" s="195">
        <f>'ODOMETERS Tekrit'!$G135+'ODOMETERS Tekrit'!$H135-H134-G134</f>
        <v>183</v>
      </c>
      <c r="M135" s="193">
        <f>SUM('ODOMETERS Tekrit'!$J135:$L135)</f>
        <v>789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200">
        <v>46116</v>
      </c>
      <c r="B136" s="199"/>
      <c r="C136" s="199">
        <v>2249882</v>
      </c>
      <c r="D136" s="199">
        <v>2566885</v>
      </c>
      <c r="E136" s="199">
        <v>2136307</v>
      </c>
      <c r="F136" s="199">
        <v>1439540</v>
      </c>
      <c r="G136" s="199">
        <v>2261688</v>
      </c>
      <c r="H136" s="199"/>
      <c r="I136" s="199"/>
      <c r="J136" s="193">
        <f>'ODOMETERS Tekrit'!$C136+'ODOMETERS Tekrit'!$D136-D135-C135</f>
        <v>524</v>
      </c>
      <c r="K136" s="193">
        <f>'ODOMETERS Tekrit'!$F136+'ODOMETERS Tekrit'!$E136-E135-F135</f>
        <v>324</v>
      </c>
      <c r="L136" s="195">
        <f>'ODOMETERS Tekrit'!$G136+'ODOMETERS Tekrit'!$H136-H135-G135</f>
        <v>198</v>
      </c>
      <c r="M136" s="193">
        <f>SUM('ODOMETERS Tekrit'!$J136:$L136)</f>
        <v>1046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200">
        <v>46117</v>
      </c>
      <c r="B137" s="199"/>
      <c r="C137" s="199">
        <v>2250172</v>
      </c>
      <c r="D137" s="199">
        <v>2566997</v>
      </c>
      <c r="E137" s="199">
        <v>2136360</v>
      </c>
      <c r="F137" s="199">
        <v>1439747</v>
      </c>
      <c r="G137" s="199">
        <v>2262214</v>
      </c>
      <c r="H137" s="199"/>
      <c r="I137" s="199"/>
      <c r="J137" s="193">
        <f>'ODOMETERS Tekrit'!$C137+'ODOMETERS Tekrit'!$D137-D136-C136</f>
        <v>402</v>
      </c>
      <c r="K137" s="193">
        <f>'ODOMETERS Tekrit'!$F137+'ODOMETERS Tekrit'!$E137-E136-F136</f>
        <v>260</v>
      </c>
      <c r="L137" s="195">
        <f>'ODOMETERS Tekrit'!$G137+'ODOMETERS Tekrit'!$H137-H136-G136</f>
        <v>526</v>
      </c>
      <c r="M137" s="193">
        <f>SUM('ODOMETERS Tekrit'!$J137:$L137)</f>
        <v>1188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200">
        <v>46118</v>
      </c>
      <c r="B138" s="199"/>
      <c r="C138" s="199">
        <v>2250461</v>
      </c>
      <c r="D138" s="199">
        <v>2567056</v>
      </c>
      <c r="E138" s="199">
        <v>2136399</v>
      </c>
      <c r="F138" s="199">
        <v>1440024</v>
      </c>
      <c r="G138" s="199">
        <v>2262389</v>
      </c>
      <c r="H138" s="199"/>
      <c r="I138" s="199"/>
      <c r="J138" s="193">
        <f>'ODOMETERS Tekrit'!$C138+'ODOMETERS Tekrit'!$D138-D137-C137</f>
        <v>348</v>
      </c>
      <c r="K138" s="193">
        <f>'ODOMETERS Tekrit'!$F138+'ODOMETERS Tekrit'!$E138-E137-F137</f>
        <v>316</v>
      </c>
      <c r="L138" s="195">
        <f>'ODOMETERS Tekrit'!$G138+'ODOMETERS Tekrit'!$H138-H137-G137</f>
        <v>175</v>
      </c>
      <c r="M138" s="193">
        <f>SUM('ODOMETERS Tekrit'!$J138:$L138)</f>
        <v>839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200">
        <v>46119</v>
      </c>
      <c r="B139" s="199"/>
      <c r="C139" s="199">
        <v>2250694</v>
      </c>
      <c r="D139" s="199">
        <v>2567160</v>
      </c>
      <c r="E139" s="199">
        <v>2136454</v>
      </c>
      <c r="F139" s="199">
        <v>1440227</v>
      </c>
      <c r="G139" s="199">
        <v>2262575</v>
      </c>
      <c r="H139" s="199"/>
      <c r="I139" s="199"/>
      <c r="J139" s="193">
        <f>'ODOMETERS Tekrit'!$C139+'ODOMETERS Tekrit'!$D139-D138-C138</f>
        <v>337</v>
      </c>
      <c r="K139" s="193">
        <f>'ODOMETERS Tekrit'!$F139+'ODOMETERS Tekrit'!$E139-E138-F138</f>
        <v>258</v>
      </c>
      <c r="L139" s="195">
        <f>'ODOMETERS Tekrit'!$G139+'ODOMETERS Tekrit'!$H139-H138-G138</f>
        <v>186</v>
      </c>
      <c r="M139" s="193">
        <f>SUM('ODOMETERS Tekrit'!$J139:$L139)</f>
        <v>781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200">
        <v>46120</v>
      </c>
      <c r="B140" s="199"/>
      <c r="C140" s="199">
        <v>2251012</v>
      </c>
      <c r="D140" s="199">
        <v>2567316</v>
      </c>
      <c r="E140" s="199">
        <v>2136506</v>
      </c>
      <c r="F140" s="199">
        <v>1440472</v>
      </c>
      <c r="G140" s="199">
        <v>2262829</v>
      </c>
      <c r="H140" s="199"/>
      <c r="I140" s="199"/>
      <c r="J140" s="193">
        <f>'ODOMETERS Tekrit'!$C140+'ODOMETERS Tekrit'!$D140-D139-C139</f>
        <v>474</v>
      </c>
      <c r="K140" s="193">
        <f>'ODOMETERS Tekrit'!$F140+'ODOMETERS Tekrit'!$E140-E139-F139</f>
        <v>297</v>
      </c>
      <c r="L140" s="195">
        <f>'ODOMETERS Tekrit'!$G140+'ODOMETERS Tekrit'!$H140-H139-G139</f>
        <v>254</v>
      </c>
      <c r="M140" s="193">
        <f>SUM('ODOMETERS Tekrit'!$J140:$L140)</f>
        <v>1025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200">
        <v>46121</v>
      </c>
      <c r="B141" s="199"/>
      <c r="C141" s="199">
        <v>2251012</v>
      </c>
      <c r="D141" s="199">
        <v>2567481</v>
      </c>
      <c r="E141" s="199">
        <v>2136506</v>
      </c>
      <c r="F141" s="199">
        <v>1440762</v>
      </c>
      <c r="G141" s="199">
        <v>2263001</v>
      </c>
      <c r="H141" s="199"/>
      <c r="I141" s="199"/>
      <c r="J141" s="193">
        <f>'ODOMETERS Tekrit'!$C141+'ODOMETERS Tekrit'!$D141-D140-C140</f>
        <v>165</v>
      </c>
      <c r="K141" s="193">
        <f>'ODOMETERS Tekrit'!$F141+'ODOMETERS Tekrit'!$E141-E140-F140</f>
        <v>290</v>
      </c>
      <c r="L141" s="195">
        <f>'ODOMETERS Tekrit'!$G141+'ODOMETERS Tekrit'!$H141-H140-G140</f>
        <v>172</v>
      </c>
      <c r="M141" s="193">
        <f>SUM('ODOMETERS Tekrit'!$J141:$L141)</f>
        <v>627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200">
        <v>46122</v>
      </c>
      <c r="B142" s="199"/>
      <c r="C142" s="199">
        <v>2251056</v>
      </c>
      <c r="D142" s="199">
        <v>2567648</v>
      </c>
      <c r="E142" s="199">
        <v>2136531</v>
      </c>
      <c r="F142" s="199">
        <v>1440992</v>
      </c>
      <c r="G142" s="199">
        <v>2267130</v>
      </c>
      <c r="H142" s="199"/>
      <c r="I142" s="199"/>
      <c r="J142" s="193">
        <f>'ODOMETERS Tekrit'!$C142+'ODOMETERS Tekrit'!$D142-D141-C141</f>
        <v>211</v>
      </c>
      <c r="K142" s="193">
        <f>'ODOMETERS Tekrit'!$F142+'ODOMETERS Tekrit'!$E142-E141-F141</f>
        <v>255</v>
      </c>
      <c r="L142" s="195">
        <f>'ODOMETERS Tekrit'!$G142+'ODOMETERS Tekrit'!$H142-H141-G141</f>
        <v>4129</v>
      </c>
      <c r="M142" s="193">
        <f>SUM('ODOMETERS Tekrit'!$J142:$L142)</f>
        <v>4595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200">
        <v>46123</v>
      </c>
      <c r="B143" s="199"/>
      <c r="C143" s="199">
        <v>2251177</v>
      </c>
      <c r="D143" s="199">
        <v>2567784</v>
      </c>
      <c r="E143" s="199">
        <v>2136559</v>
      </c>
      <c r="F143" s="199">
        <v>1441151</v>
      </c>
      <c r="G143" s="199">
        <v>2267286</v>
      </c>
      <c r="H143" s="199"/>
      <c r="I143" s="199"/>
      <c r="J143" s="193">
        <f>'ODOMETERS Tekrit'!$C143+'ODOMETERS Tekrit'!$D143-D142-C142</f>
        <v>257</v>
      </c>
      <c r="K143" s="193">
        <f>'ODOMETERS Tekrit'!$F143+'ODOMETERS Tekrit'!$E143-E142-F142</f>
        <v>187</v>
      </c>
      <c r="L143" s="195">
        <f>'ODOMETERS Tekrit'!$G143+'ODOMETERS Tekrit'!$H143-H142-G142</f>
        <v>156</v>
      </c>
      <c r="M143" s="193">
        <f>SUM('ODOMETERS Tekrit'!$J143:$L143)</f>
        <v>600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200">
        <v>46124</v>
      </c>
      <c r="B144" s="199"/>
      <c r="C144" s="199">
        <v>2251377</v>
      </c>
      <c r="D144" s="199">
        <v>2567890</v>
      </c>
      <c r="E144" s="199">
        <v>2136613</v>
      </c>
      <c r="F144" s="199">
        <v>1441429</v>
      </c>
      <c r="G144" s="199">
        <v>2267435</v>
      </c>
      <c r="H144" s="199"/>
      <c r="I144" s="199"/>
      <c r="J144" s="193">
        <f>'ODOMETERS Tekrit'!$C144+'ODOMETERS Tekrit'!$D144-D143-C143</f>
        <v>306</v>
      </c>
      <c r="K144" s="193">
        <f>'ODOMETERS Tekrit'!$F144+'ODOMETERS Tekrit'!$E144-E143-F143</f>
        <v>332</v>
      </c>
      <c r="L144" s="195">
        <f>'ODOMETERS Tekrit'!$G144+'ODOMETERS Tekrit'!$H144-H143-G143</f>
        <v>149</v>
      </c>
      <c r="M144" s="193">
        <f>SUM('ODOMETERS Tekrit'!$J144:$L144)</f>
        <v>787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200">
        <v>46125</v>
      </c>
      <c r="B145" s="199"/>
      <c r="C145" s="199">
        <v>2251681</v>
      </c>
      <c r="D145" s="199">
        <v>2568004</v>
      </c>
      <c r="E145" s="199">
        <v>2136651</v>
      </c>
      <c r="F145" s="199">
        <v>1441595</v>
      </c>
      <c r="G145" s="199">
        <v>2267652</v>
      </c>
      <c r="H145" s="199"/>
      <c r="I145" s="199"/>
      <c r="J145" s="193">
        <f>'ODOMETERS Tekrit'!$C145+'ODOMETERS Tekrit'!$D145-D144-C144</f>
        <v>418</v>
      </c>
      <c r="K145" s="193">
        <f>'ODOMETERS Tekrit'!$F145+'ODOMETERS Tekrit'!$E145-E144-F144</f>
        <v>204</v>
      </c>
      <c r="L145" s="195">
        <f>'ODOMETERS Tekrit'!$G145+'ODOMETERS Tekrit'!$H145-H144-G144</f>
        <v>217</v>
      </c>
      <c r="M145" s="193">
        <f>SUM('ODOMETERS Tekrit'!$J145:$L145)</f>
        <v>839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200">
        <v>46126</v>
      </c>
      <c r="B146" s="199" t="s">
        <v>24</v>
      </c>
      <c r="C146" s="199">
        <v>2251847</v>
      </c>
      <c r="D146" s="199">
        <v>2568083</v>
      </c>
      <c r="E146" s="199">
        <v>2136721</v>
      </c>
      <c r="F146" s="199">
        <v>1441689</v>
      </c>
      <c r="G146" s="199">
        <v>2267741</v>
      </c>
      <c r="H146" s="199"/>
      <c r="I146" s="199"/>
      <c r="J146" s="193">
        <f>'ODOMETERS Tekrit'!$C146+'ODOMETERS Tekrit'!$D146-D145-C145</f>
        <v>245</v>
      </c>
      <c r="K146" s="193">
        <f>'ODOMETERS Tekrit'!$F146+'ODOMETERS Tekrit'!$E146-E145-F145</f>
        <v>164</v>
      </c>
      <c r="L146" s="195">
        <f>'ODOMETERS Tekrit'!$G146+'ODOMETERS Tekrit'!$H146-H145-G145</f>
        <v>89</v>
      </c>
      <c r="M146" s="193">
        <f>SUM('ODOMETERS Tekrit'!$J146:$L146)</f>
        <v>498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200">
        <v>46126</v>
      </c>
      <c r="B147" s="199" t="s">
        <v>25</v>
      </c>
      <c r="C147" s="199">
        <v>2251895</v>
      </c>
      <c r="D147" s="199">
        <v>2568114</v>
      </c>
      <c r="E147" s="199">
        <v>2136724</v>
      </c>
      <c r="F147" s="199">
        <v>1441712</v>
      </c>
      <c r="G147" s="199">
        <v>2267748</v>
      </c>
      <c r="H147" s="199"/>
      <c r="I147" s="199"/>
      <c r="J147" s="193">
        <f>'ODOMETERS Tekrit'!$C147+'ODOMETERS Tekrit'!$D147-D146-C146</f>
        <v>79</v>
      </c>
      <c r="K147" s="193">
        <f>'ODOMETERS Tekrit'!$F147+'ODOMETERS Tekrit'!$E147-E146-F146</f>
        <v>26</v>
      </c>
      <c r="L147" s="195">
        <f>'ODOMETERS Tekrit'!$G147+'ODOMETERS Tekrit'!$H147-H146-G146</f>
        <v>7</v>
      </c>
      <c r="M147" s="193">
        <f>SUM('ODOMETERS Tekrit'!$J147:$L147)</f>
        <v>112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200">
        <v>46127</v>
      </c>
      <c r="B148" s="199"/>
      <c r="C148" s="199">
        <v>2252044</v>
      </c>
      <c r="D148" s="199">
        <v>2568209</v>
      </c>
      <c r="E148" s="199">
        <v>2136793</v>
      </c>
      <c r="F148" s="199">
        <v>1441866</v>
      </c>
      <c r="G148" s="199">
        <v>2267823</v>
      </c>
      <c r="H148" s="199"/>
      <c r="I148" s="199"/>
      <c r="J148" s="193">
        <f>'ODOMETERS Tekrit'!$C148+'ODOMETERS Tekrit'!$D148-D147-C147</f>
        <v>244</v>
      </c>
      <c r="K148" s="193">
        <f>'ODOMETERS Tekrit'!$F148+'ODOMETERS Tekrit'!$E148-E147-F147</f>
        <v>223</v>
      </c>
      <c r="L148" s="195">
        <f>'ODOMETERS Tekrit'!$G148+'ODOMETERS Tekrit'!$H148-H147-G147</f>
        <v>75</v>
      </c>
      <c r="M148" s="193">
        <f>SUM('ODOMETERS Tekrit'!$J148:$L148)</f>
        <v>542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200">
        <v>46128</v>
      </c>
      <c r="B149" s="199"/>
      <c r="C149" s="199">
        <v>2252169</v>
      </c>
      <c r="D149" s="199">
        <v>2568401</v>
      </c>
      <c r="E149" s="199">
        <v>2136801</v>
      </c>
      <c r="F149" s="199">
        <v>1442000</v>
      </c>
      <c r="G149" s="199">
        <v>2267867</v>
      </c>
      <c r="H149" s="199"/>
      <c r="I149" s="199"/>
      <c r="J149" s="193">
        <f>'ODOMETERS Tekrit'!$C149+'ODOMETERS Tekrit'!$D149-D148-C148</f>
        <v>317</v>
      </c>
      <c r="K149" s="193">
        <f>'ODOMETERS Tekrit'!$F149+'ODOMETERS Tekrit'!$E149-E148-F148</f>
        <v>142</v>
      </c>
      <c r="L149" s="195">
        <f>'ODOMETERS Tekrit'!$G149+'ODOMETERS Tekrit'!$H149-H148-G148</f>
        <v>44</v>
      </c>
      <c r="M149" s="193">
        <f>SUM('ODOMETERS Tekrit'!$J149:$L149)</f>
        <v>503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218">
        <v>46129</v>
      </c>
      <c r="B150" s="201" t="s">
        <v>24</v>
      </c>
      <c r="C150" s="201">
        <v>2252229</v>
      </c>
      <c r="D150" s="201">
        <v>2568525</v>
      </c>
      <c r="E150" s="201">
        <v>2136801</v>
      </c>
      <c r="F150" s="201">
        <v>1442141</v>
      </c>
      <c r="G150" s="201">
        <v>2267888</v>
      </c>
      <c r="H150" s="201"/>
      <c r="I150" s="201"/>
      <c r="J150" s="193">
        <f>'ODOMETERS Tekrit'!$C150+'ODOMETERS Tekrit'!$D150-D149-C149</f>
        <v>184</v>
      </c>
      <c r="K150" s="193">
        <f>'ODOMETERS Tekrit'!$F150+'ODOMETERS Tekrit'!$E150-E149-F149</f>
        <v>141</v>
      </c>
      <c r="L150" s="195">
        <f>'ODOMETERS Tekrit'!$G150+'ODOMETERS Tekrit'!$H150-H149-G149</f>
        <v>21</v>
      </c>
      <c r="M150" s="193">
        <f>SUM('ODOMETERS Tekrit'!$J150:$L150)</f>
        <v>346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200">
        <v>46129</v>
      </c>
      <c r="B151" s="199" t="s">
        <v>25</v>
      </c>
      <c r="C151" s="199">
        <v>2252240</v>
      </c>
      <c r="D151" s="199">
        <v>2568525</v>
      </c>
      <c r="E151" s="199">
        <v>2136867</v>
      </c>
      <c r="F151" s="199">
        <v>1442346</v>
      </c>
      <c r="G151" s="199">
        <v>2267906</v>
      </c>
      <c r="H151" s="199"/>
      <c r="I151" s="199"/>
      <c r="J151" s="193">
        <f>'ODOMETERS Tekrit'!$C151+'ODOMETERS Tekrit'!$D151-D150-C150</f>
        <v>11</v>
      </c>
      <c r="K151" s="193">
        <f>'ODOMETERS Tekrit'!$F151+'ODOMETERS Tekrit'!$E151-E150-F150</f>
        <v>271</v>
      </c>
      <c r="L151" s="195">
        <f>'ODOMETERS Tekrit'!$G151+'ODOMETERS Tekrit'!$H151-H150-G150</f>
        <v>18</v>
      </c>
      <c r="M151" s="193">
        <f>SUM('ODOMETERS Tekrit'!$J151:$L151)</f>
        <v>300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200">
        <v>46130</v>
      </c>
      <c r="B152" s="199"/>
      <c r="C152" s="199">
        <v>2252307</v>
      </c>
      <c r="D152" s="199">
        <v>2568530</v>
      </c>
      <c r="E152" s="199">
        <v>2137032</v>
      </c>
      <c r="F152" s="199">
        <v>1442918</v>
      </c>
      <c r="G152" s="199">
        <v>2267951</v>
      </c>
      <c r="H152" s="199"/>
      <c r="I152" s="199"/>
      <c r="J152" s="193">
        <f>'ODOMETERS Tekrit'!$C152+'ODOMETERS Tekrit'!$D152-D151-C151</f>
        <v>72</v>
      </c>
      <c r="K152" s="193">
        <f>'ODOMETERS Tekrit'!$F152+'ODOMETERS Tekrit'!$E152-E151-F151</f>
        <v>737</v>
      </c>
      <c r="L152" s="195">
        <f>'ODOMETERS Tekrit'!$G152+'ODOMETERS Tekrit'!$H152-H151-G151</f>
        <v>45</v>
      </c>
      <c r="M152" s="193">
        <f>SUM('ODOMETERS Tekrit'!$J152:$L152)</f>
        <v>854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200">
        <v>46131</v>
      </c>
      <c r="B153" s="199"/>
      <c r="C153" s="199">
        <v>2252474</v>
      </c>
      <c r="D153" s="199">
        <v>2568530</v>
      </c>
      <c r="E153" s="199">
        <v>2137224</v>
      </c>
      <c r="F153" s="199">
        <v>1443184</v>
      </c>
      <c r="G153" s="199">
        <v>2268010</v>
      </c>
      <c r="H153" s="199"/>
      <c r="I153" s="199"/>
      <c r="J153" s="193">
        <f>'ODOMETERS Tekrit'!$C153+'ODOMETERS Tekrit'!$D153-D152-C152</f>
        <v>167</v>
      </c>
      <c r="K153" s="193">
        <f>'ODOMETERS Tekrit'!$F153+'ODOMETERS Tekrit'!$E153-E152-F152</f>
        <v>458</v>
      </c>
      <c r="L153" s="195">
        <f>'ODOMETERS Tekrit'!$G153+'ODOMETERS Tekrit'!$H153-H152-G152</f>
        <v>59</v>
      </c>
      <c r="M153" s="193">
        <f>SUM('ODOMETERS Tekrit'!$J153:$L153)</f>
        <v>684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200">
        <v>46132</v>
      </c>
      <c r="B154" s="199"/>
      <c r="C154" s="199">
        <v>2252677</v>
      </c>
      <c r="D154" s="199">
        <v>2568601</v>
      </c>
      <c r="E154" s="199">
        <v>2137311</v>
      </c>
      <c r="F154" s="199">
        <v>1443490</v>
      </c>
      <c r="G154" s="199">
        <v>2268082</v>
      </c>
      <c r="H154" s="199"/>
      <c r="I154" s="199"/>
      <c r="J154" s="193">
        <f>'ODOMETERS Tekrit'!$C154+'ODOMETERS Tekrit'!$D154-D153-C153</f>
        <v>274</v>
      </c>
      <c r="K154" s="193">
        <f>'ODOMETERS Tekrit'!$F154+'ODOMETERS Tekrit'!$E154-E153-F153</f>
        <v>393</v>
      </c>
      <c r="L154" s="195">
        <f>'ODOMETERS Tekrit'!$G154+'ODOMETERS Tekrit'!$H154-H153-G153</f>
        <v>72</v>
      </c>
      <c r="M154" s="193">
        <f>SUM('ODOMETERS Tekrit'!$J154:$L154)</f>
        <v>739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200">
        <v>46133</v>
      </c>
      <c r="B155" s="199" t="s">
        <v>24</v>
      </c>
      <c r="C155" s="199">
        <v>2252775</v>
      </c>
      <c r="D155" s="199">
        <v>2568669</v>
      </c>
      <c r="E155" s="199">
        <v>2137345</v>
      </c>
      <c r="F155" s="199">
        <v>1443645</v>
      </c>
      <c r="G155" s="199">
        <v>2268570</v>
      </c>
      <c r="H155" s="199"/>
      <c r="I155" s="199"/>
      <c r="J155" s="193">
        <f>'ODOMETERS Tekrit'!$C155+'ODOMETERS Tekrit'!$D155-D154-C154</f>
        <v>166</v>
      </c>
      <c r="K155" s="193">
        <f>'ODOMETERS Tekrit'!$F155+'ODOMETERS Tekrit'!$E155-E154-F154</f>
        <v>189</v>
      </c>
      <c r="L155" s="195">
        <f>'ODOMETERS Tekrit'!$G155+'ODOMETERS Tekrit'!$H155-H154-G154</f>
        <v>488</v>
      </c>
      <c r="M155" s="193">
        <f>SUM('ODOMETERS Tekrit'!$J155:$L155)</f>
        <v>843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200">
        <v>46133</v>
      </c>
      <c r="B156" s="199" t="s">
        <v>25</v>
      </c>
      <c r="C156" s="199">
        <v>2252835</v>
      </c>
      <c r="D156" s="199">
        <v>2568683</v>
      </c>
      <c r="E156" s="199">
        <v>2137373</v>
      </c>
      <c r="F156" s="199">
        <v>1443699</v>
      </c>
      <c r="G156" s="199">
        <v>2268598</v>
      </c>
      <c r="H156" s="199"/>
      <c r="I156" s="199"/>
      <c r="J156" s="193">
        <f>'ODOMETERS Tekrit'!$C156+'ODOMETERS Tekrit'!$D156-D155-C155</f>
        <v>74</v>
      </c>
      <c r="K156" s="193">
        <f>'ODOMETERS Tekrit'!$F156+'ODOMETERS Tekrit'!$E156-E155-F155</f>
        <v>82</v>
      </c>
      <c r="L156" s="195">
        <f>'ODOMETERS Tekrit'!$G156+'ODOMETERS Tekrit'!$H156-H155-G155</f>
        <v>28</v>
      </c>
      <c r="M156" s="193">
        <f>SUM('ODOMETERS Tekrit'!$J156:$L156)</f>
        <v>184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200">
        <v>46134</v>
      </c>
      <c r="B157" s="199"/>
      <c r="C157" s="199">
        <v>2252930</v>
      </c>
      <c r="D157" s="199">
        <v>2568789</v>
      </c>
      <c r="E157" s="199">
        <v>2137436</v>
      </c>
      <c r="F157" s="199">
        <v>1443821</v>
      </c>
      <c r="G157" s="199">
        <v>2268765</v>
      </c>
      <c r="H157" s="199"/>
      <c r="I157" s="199"/>
      <c r="J157" s="193">
        <f>'ODOMETERS Tekrit'!$C157+'ODOMETERS Tekrit'!$D157-D156-C156</f>
        <v>201</v>
      </c>
      <c r="K157" s="193">
        <f>'ODOMETERS Tekrit'!$F157+'ODOMETERS Tekrit'!$E157-E156-F156</f>
        <v>185</v>
      </c>
      <c r="L157" s="195">
        <f>'ODOMETERS Tekrit'!$G157+'ODOMETERS Tekrit'!$H157-H156-G156</f>
        <v>167</v>
      </c>
      <c r="M157" s="193">
        <f>SUM('ODOMETERS Tekrit'!$J157:$L157)</f>
        <v>553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200">
        <v>46135</v>
      </c>
      <c r="B158" s="199"/>
      <c r="C158" s="199">
        <v>2252930</v>
      </c>
      <c r="D158" s="199">
        <v>2568901</v>
      </c>
      <c r="E158" s="199">
        <v>2137512</v>
      </c>
      <c r="F158" s="199">
        <v>1444160</v>
      </c>
      <c r="G158" s="199">
        <v>2271353</v>
      </c>
      <c r="H158" s="199"/>
      <c r="I158" s="199"/>
      <c r="J158" s="193">
        <f>'ODOMETERS Tekrit'!$C158+'ODOMETERS Tekrit'!$D158-D157-C157</f>
        <v>112</v>
      </c>
      <c r="K158" s="193">
        <f>'ODOMETERS Tekrit'!$F158+'ODOMETERS Tekrit'!$E158-E157-F157</f>
        <v>415</v>
      </c>
      <c r="L158" s="195">
        <f>'ODOMETERS Tekrit'!$G158+'ODOMETERS Tekrit'!$H158-H157-G157</f>
        <v>2588</v>
      </c>
      <c r="M158" s="193">
        <f>SUM('ODOMETERS Tekrit'!$J158:$L158)</f>
        <v>3115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200">
        <v>46136</v>
      </c>
      <c r="B159" s="199" t="s">
        <v>24</v>
      </c>
      <c r="C159" s="199">
        <v>2252930</v>
      </c>
      <c r="D159" s="199">
        <v>2569153</v>
      </c>
      <c r="E159" s="199">
        <v>2137521</v>
      </c>
      <c r="F159" s="199">
        <v>1444327</v>
      </c>
      <c r="G159" s="199">
        <v>2271418</v>
      </c>
      <c r="H159" s="199"/>
      <c r="I159" s="199"/>
      <c r="J159" s="193">
        <f>'ODOMETERS Tekrit'!$C159+'ODOMETERS Tekrit'!$D159-D158-C158</f>
        <v>252</v>
      </c>
      <c r="K159" s="193">
        <f>'ODOMETERS Tekrit'!$F159+'ODOMETERS Tekrit'!$E159-E158-F158</f>
        <v>176</v>
      </c>
      <c r="L159" s="195">
        <f>'ODOMETERS Tekrit'!$G159+'ODOMETERS Tekrit'!$H159-H158-G158</f>
        <v>65</v>
      </c>
      <c r="M159" s="193">
        <f>SUM('ODOMETERS Tekrit'!$J159:$L159)</f>
        <v>493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200">
        <v>46136</v>
      </c>
      <c r="B160" s="199" t="s">
        <v>25</v>
      </c>
      <c r="C160" s="199">
        <v>2252930</v>
      </c>
      <c r="D160" s="199">
        <v>2569252</v>
      </c>
      <c r="E160" s="199">
        <v>2137525</v>
      </c>
      <c r="F160" s="199">
        <v>1444342</v>
      </c>
      <c r="G160" s="199">
        <v>2271437</v>
      </c>
      <c r="H160" s="199"/>
      <c r="I160" s="199"/>
      <c r="J160" s="193">
        <f>'ODOMETERS Tekrit'!$C160+'ODOMETERS Tekrit'!$D160-D159-C159</f>
        <v>99</v>
      </c>
      <c r="K160" s="193">
        <f>'ODOMETERS Tekrit'!$F160+'ODOMETERS Tekrit'!$E160-E159-F159</f>
        <v>19</v>
      </c>
      <c r="L160" s="195">
        <f>'ODOMETERS Tekrit'!$G160+'ODOMETERS Tekrit'!$H160-H159-G159</f>
        <v>19</v>
      </c>
      <c r="M160" s="193">
        <f>SUM('ODOMETERS Tekrit'!$J160:$L160)</f>
        <v>137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200">
        <v>46137</v>
      </c>
      <c r="B161" s="199"/>
      <c r="C161" s="199">
        <v>2253200</v>
      </c>
      <c r="D161" s="199">
        <v>2569477</v>
      </c>
      <c r="E161" s="199">
        <v>2137525</v>
      </c>
      <c r="F161" s="199">
        <v>1444342</v>
      </c>
      <c r="G161" s="199">
        <v>2271509</v>
      </c>
      <c r="H161" s="199"/>
      <c r="I161" s="199"/>
      <c r="J161" s="193">
        <f>'ODOMETERS Tekrit'!$C161+'ODOMETERS Tekrit'!$D161-D160-C160</f>
        <v>495</v>
      </c>
      <c r="K161" s="193">
        <f>'ODOMETERS Tekrit'!$F161+'ODOMETERS Tekrit'!$E161-E160-F160</f>
        <v>0</v>
      </c>
      <c r="L161" s="195">
        <f>'ODOMETERS Tekrit'!$G161+'ODOMETERS Tekrit'!$H161-H160-G160</f>
        <v>72</v>
      </c>
      <c r="M161" s="193">
        <f>SUM('ODOMETERS Tekrit'!$J161:$L161)</f>
        <v>567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200">
        <v>46138</v>
      </c>
      <c r="B162" s="199"/>
      <c r="C162" s="199">
        <v>2253562</v>
      </c>
      <c r="D162" s="199">
        <v>2569732</v>
      </c>
      <c r="E162" s="199">
        <v>2137525</v>
      </c>
      <c r="F162" s="199">
        <v>1444342</v>
      </c>
      <c r="G162" s="199">
        <v>2271571</v>
      </c>
      <c r="H162" s="199"/>
      <c r="I162" s="199"/>
      <c r="J162" s="193">
        <f>'ODOMETERS Tekrit'!$C162+'ODOMETERS Tekrit'!$D162-D161-C161</f>
        <v>617</v>
      </c>
      <c r="K162" s="193">
        <f>'ODOMETERS Tekrit'!$F162+'ODOMETERS Tekrit'!$E162-E161-F161</f>
        <v>0</v>
      </c>
      <c r="L162" s="195">
        <f>'ODOMETERS Tekrit'!$G162+'ODOMETERS Tekrit'!$H162-H161-G161</f>
        <v>62</v>
      </c>
      <c r="M162" s="193">
        <f>SUM('ODOMETERS Tekrit'!$J162:$L162)</f>
        <v>679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200">
        <v>46139</v>
      </c>
      <c r="B163" s="199"/>
      <c r="C163" s="199">
        <v>2253756</v>
      </c>
      <c r="D163" s="199">
        <v>2570100</v>
      </c>
      <c r="E163" s="199">
        <v>2137525</v>
      </c>
      <c r="F163" s="199">
        <v>1444342</v>
      </c>
      <c r="G163" s="199">
        <v>2271603</v>
      </c>
      <c r="H163" s="199"/>
      <c r="I163" s="199"/>
      <c r="J163" s="193">
        <f>'ODOMETERS Tekrit'!$C163+'ODOMETERS Tekrit'!$D163-D162-C162</f>
        <v>562</v>
      </c>
      <c r="K163" s="193">
        <f>'ODOMETERS Tekrit'!$F163+'ODOMETERS Tekrit'!$E163-E162-F162</f>
        <v>0</v>
      </c>
      <c r="L163" s="195">
        <f>'ODOMETERS Tekrit'!$G163+'ODOMETERS Tekrit'!$H163-H162-G162</f>
        <v>32</v>
      </c>
      <c r="M163" s="193">
        <f>SUM('ODOMETERS Tekrit'!$J163:$L163)</f>
        <v>594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200">
        <v>46140</v>
      </c>
      <c r="B164" s="199"/>
      <c r="C164" s="199">
        <v>2253756</v>
      </c>
      <c r="D164" s="199">
        <v>2570145</v>
      </c>
      <c r="E164" s="199">
        <v>2137525</v>
      </c>
      <c r="F164" s="199">
        <v>1444342</v>
      </c>
      <c r="G164" s="199">
        <v>2271636</v>
      </c>
      <c r="H164" s="199"/>
      <c r="I164" s="199"/>
      <c r="J164" s="193">
        <f>'ODOMETERS Tekrit'!$C164+'ODOMETERS Tekrit'!$D164-D163-C163</f>
        <v>45</v>
      </c>
      <c r="K164" s="193">
        <f>'ODOMETERS Tekrit'!$F164+'ODOMETERS Tekrit'!$E164-E163-F163</f>
        <v>0</v>
      </c>
      <c r="L164" s="195">
        <f>'ODOMETERS Tekrit'!$G164+'ODOMETERS Tekrit'!$H164-H163-G163</f>
        <v>33</v>
      </c>
      <c r="M164" s="193">
        <f>SUM('ODOMETERS Tekrit'!$J164:$L164)</f>
        <v>78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200">
        <v>46143</v>
      </c>
      <c r="B165" s="199"/>
      <c r="C165" s="199">
        <v>2253758</v>
      </c>
      <c r="D165" s="199">
        <v>2570243</v>
      </c>
      <c r="E165" s="199">
        <v>2137525</v>
      </c>
      <c r="F165" s="199">
        <v>1444432</v>
      </c>
      <c r="G165" s="199">
        <v>2271647</v>
      </c>
      <c r="H165" s="199"/>
      <c r="I165" s="199"/>
      <c r="J165" s="193">
        <f>'ODOMETERS Tekrit'!$C165+'ODOMETERS Tekrit'!$D165-D164-C164</f>
        <v>100</v>
      </c>
      <c r="K165" s="193">
        <f>'ODOMETERS Tekrit'!$F165+'ODOMETERS Tekrit'!$E165-E164-F164</f>
        <v>90</v>
      </c>
      <c r="L165" s="195">
        <f>'ODOMETERS Tekrit'!$G165+'ODOMETERS Tekrit'!$H165-H164-G164</f>
        <v>11</v>
      </c>
      <c r="M165" s="193">
        <f>SUM('ODOMETERS Tekrit'!$J165:$L165)</f>
        <v>201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200">
        <v>46144</v>
      </c>
      <c r="B166" s="199"/>
      <c r="C166" s="199">
        <v>2253756</v>
      </c>
      <c r="D166" s="199">
        <v>2570375</v>
      </c>
      <c r="E166" s="199">
        <v>2137525</v>
      </c>
      <c r="F166" s="199">
        <v>1444757</v>
      </c>
      <c r="G166" s="199">
        <v>2271702</v>
      </c>
      <c r="H166" s="199"/>
      <c r="I166" s="199"/>
      <c r="J166" s="193">
        <f>'ODOMETERS Tekrit'!$C166+'ODOMETERS Tekrit'!$D166-D165-C165</f>
        <v>130</v>
      </c>
      <c r="K166" s="193">
        <f>'ODOMETERS Tekrit'!$F166+'ODOMETERS Tekrit'!$E166-E165-F165</f>
        <v>325</v>
      </c>
      <c r="L166" s="195">
        <f>'ODOMETERS Tekrit'!$G166+'ODOMETERS Tekrit'!$H166-H165-G165</f>
        <v>55</v>
      </c>
      <c r="M166" s="193">
        <f>SUM('ODOMETERS Tekrit'!$J166:$L166)</f>
        <v>510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200">
        <v>46145</v>
      </c>
      <c r="B167" s="199"/>
      <c r="C167" s="199">
        <v>2253756</v>
      </c>
      <c r="D167" s="199">
        <v>2570446</v>
      </c>
      <c r="E167" s="199">
        <v>2137525</v>
      </c>
      <c r="F167" s="199">
        <v>1445218</v>
      </c>
      <c r="G167" s="199">
        <v>2273783</v>
      </c>
      <c r="H167" s="199"/>
      <c r="I167" s="199"/>
      <c r="J167" s="193">
        <f>'ODOMETERS Tekrit'!$C167+'ODOMETERS Tekrit'!$D167-D166-C166</f>
        <v>71</v>
      </c>
      <c r="K167" s="193">
        <f>'ODOMETERS Tekrit'!$F167+'ODOMETERS Tekrit'!$E167-E166-F166</f>
        <v>461</v>
      </c>
      <c r="L167" s="195">
        <f>'ODOMETERS Tekrit'!$G167+'ODOMETERS Tekrit'!$H167-H166-G166</f>
        <v>2081</v>
      </c>
      <c r="M167" s="193">
        <f>SUM('ODOMETERS Tekrit'!$J167:$L167)</f>
        <v>2613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200">
        <v>46146</v>
      </c>
      <c r="B168" s="199"/>
      <c r="C168" s="199">
        <v>2253765</v>
      </c>
      <c r="D168" s="199">
        <v>2570514</v>
      </c>
      <c r="E168" s="199">
        <v>2137525</v>
      </c>
      <c r="F168" s="199">
        <v>1445629</v>
      </c>
      <c r="G168" s="199">
        <v>2273912</v>
      </c>
      <c r="H168" s="199"/>
      <c r="I168" s="199"/>
      <c r="J168" s="193">
        <f>'ODOMETERS Tekrit'!$C168+'ODOMETERS Tekrit'!$D168-D167-C167</f>
        <v>77</v>
      </c>
      <c r="K168" s="193">
        <f>'ODOMETERS Tekrit'!$F168+'ODOMETERS Tekrit'!$E168-E167-F167</f>
        <v>411</v>
      </c>
      <c r="L168" s="195">
        <f>'ODOMETERS Tekrit'!$G168+'ODOMETERS Tekrit'!$H168-H167-G167</f>
        <v>129</v>
      </c>
      <c r="M168" s="193">
        <f>SUM('ODOMETERS Tekrit'!$J168:$L168)</f>
        <v>617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200">
        <v>46147</v>
      </c>
      <c r="B169" s="199" t="s">
        <v>24</v>
      </c>
      <c r="C169" s="199">
        <v>2253800</v>
      </c>
      <c r="D169" s="199">
        <v>2570543</v>
      </c>
      <c r="E169" s="199">
        <v>2137525</v>
      </c>
      <c r="F169" s="199">
        <v>1445926</v>
      </c>
      <c r="G169" s="199">
        <v>2274010</v>
      </c>
      <c r="H169" s="199"/>
      <c r="I169" s="199"/>
      <c r="J169" s="193">
        <f>'ODOMETERS Tekrit'!$C169+'ODOMETERS Tekrit'!$D169-D168-C168</f>
        <v>64</v>
      </c>
      <c r="K169" s="193">
        <f>'ODOMETERS Tekrit'!$F169+'ODOMETERS Tekrit'!$E169-E168-F168</f>
        <v>297</v>
      </c>
      <c r="L169" s="195">
        <f>'ODOMETERS Tekrit'!$G169+'ODOMETERS Tekrit'!$H169-H168-G168</f>
        <v>98</v>
      </c>
      <c r="M169" s="193">
        <f>SUM('ODOMETERS Tekrit'!$J169:$L169)</f>
        <v>459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200">
        <v>46147</v>
      </c>
      <c r="B170" s="199" t="s">
        <v>25</v>
      </c>
      <c r="C170" s="199">
        <v>2253800</v>
      </c>
      <c r="D170" s="199">
        <v>2570553</v>
      </c>
      <c r="E170" s="199">
        <v>2137525</v>
      </c>
      <c r="F170" s="199">
        <v>1446062</v>
      </c>
      <c r="G170" s="199">
        <v>2274120</v>
      </c>
      <c r="H170" s="199"/>
      <c r="I170" s="199"/>
      <c r="J170" s="193">
        <f>'ODOMETERS Tekrit'!$C170+'ODOMETERS Tekrit'!$D170-D169-C169</f>
        <v>10</v>
      </c>
      <c r="K170" s="193">
        <f>'ODOMETERS Tekrit'!$F170+'ODOMETERS Tekrit'!$E170-E169-F169</f>
        <v>136</v>
      </c>
      <c r="L170" s="195">
        <f>'ODOMETERS Tekrit'!$G170+'ODOMETERS Tekrit'!$H170-H169-G169</f>
        <v>110</v>
      </c>
      <c r="M170" s="193">
        <f>SUM('ODOMETERS Tekrit'!$J170:$L170)</f>
        <v>256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200">
        <v>46148</v>
      </c>
      <c r="B171" s="199"/>
      <c r="C171" s="199">
        <v>2253800</v>
      </c>
      <c r="D171" s="199">
        <v>2570628</v>
      </c>
      <c r="E171" s="199">
        <v>2137525</v>
      </c>
      <c r="F171" s="199">
        <v>1446230</v>
      </c>
      <c r="G171" s="199">
        <v>2274262</v>
      </c>
      <c r="H171" s="199"/>
      <c r="I171" s="199"/>
      <c r="J171" s="193">
        <f>'ODOMETERS Tekrit'!$C171+'ODOMETERS Tekrit'!$D171-D170-C170</f>
        <v>75</v>
      </c>
      <c r="K171" s="193">
        <f>'ODOMETERS Tekrit'!$F171+'ODOMETERS Tekrit'!$E171-E170-F170</f>
        <v>168</v>
      </c>
      <c r="L171" s="195">
        <f>'ODOMETERS Tekrit'!$G171+'ODOMETERS Tekrit'!$H171-H170-G170</f>
        <v>142</v>
      </c>
      <c r="M171" s="193">
        <f>SUM('ODOMETERS Tekrit'!$J171:$L171)</f>
        <v>385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200">
        <v>46149</v>
      </c>
      <c r="B172" s="199"/>
      <c r="C172" s="199">
        <v>2253822</v>
      </c>
      <c r="D172" s="199">
        <v>2570682</v>
      </c>
      <c r="E172" s="199">
        <v>2137525</v>
      </c>
      <c r="F172" s="199">
        <v>1446549</v>
      </c>
      <c r="G172" s="199">
        <v>2274431</v>
      </c>
      <c r="H172" s="199"/>
      <c r="I172" s="199"/>
      <c r="J172" s="193">
        <f>'ODOMETERS Tekrit'!$C172+'ODOMETERS Tekrit'!$D172-D171-C171</f>
        <v>76</v>
      </c>
      <c r="K172" s="193">
        <f>'ODOMETERS Tekrit'!$F172+'ODOMETERS Tekrit'!$E172-E171-F171</f>
        <v>319</v>
      </c>
      <c r="L172" s="195">
        <f>'ODOMETERS Tekrit'!$G172+'ODOMETERS Tekrit'!$H172-H171-G171</f>
        <v>169</v>
      </c>
      <c r="M172" s="193">
        <f>SUM('ODOMETERS Tekrit'!$J172:$L172)</f>
        <v>564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200">
        <v>46150</v>
      </c>
      <c r="B173" s="199" t="s">
        <v>24</v>
      </c>
      <c r="C173" s="199">
        <v>2253822</v>
      </c>
      <c r="D173" s="199">
        <v>2570741</v>
      </c>
      <c r="E173" s="199">
        <v>2137525</v>
      </c>
      <c r="F173" s="199">
        <v>1446845</v>
      </c>
      <c r="G173" s="199">
        <v>2274478</v>
      </c>
      <c r="H173" s="199"/>
      <c r="I173" s="199"/>
      <c r="J173" s="193">
        <f>'ODOMETERS Tekrit'!$C173+'ODOMETERS Tekrit'!$D173-D172-C172</f>
        <v>59</v>
      </c>
      <c r="K173" s="193">
        <f>'ODOMETERS Tekrit'!$F173+'ODOMETERS Tekrit'!$E173-E172-F172</f>
        <v>296</v>
      </c>
      <c r="L173" s="195">
        <f>'ODOMETERS Tekrit'!$G173+'ODOMETERS Tekrit'!$H173-H172-G172</f>
        <v>47</v>
      </c>
      <c r="M173" s="193">
        <f>SUM('ODOMETERS Tekrit'!$J173:$L173)</f>
        <v>402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200">
        <v>46150</v>
      </c>
      <c r="B174" s="199" t="s">
        <v>25</v>
      </c>
      <c r="C174" s="199">
        <v>2253822</v>
      </c>
      <c r="D174" s="199">
        <v>2570762</v>
      </c>
      <c r="E174" s="199">
        <v>2137525</v>
      </c>
      <c r="F174" s="199">
        <v>1447174</v>
      </c>
      <c r="G174" s="199">
        <v>2274508</v>
      </c>
      <c r="H174" s="199"/>
      <c r="I174" s="199"/>
      <c r="J174" s="193">
        <f>'ODOMETERS Tekrit'!$C174+'ODOMETERS Tekrit'!$D174-D173-C173</f>
        <v>21</v>
      </c>
      <c r="K174" s="193">
        <f>'ODOMETERS Tekrit'!$F174+'ODOMETERS Tekrit'!$E174-E173-F173</f>
        <v>329</v>
      </c>
      <c r="L174" s="195">
        <f>'ODOMETERS Tekrit'!$G174+'ODOMETERS Tekrit'!$H174-H173-G173</f>
        <v>30</v>
      </c>
      <c r="M174" s="193">
        <f>SUM('ODOMETERS Tekrit'!$J174:$L174)</f>
        <v>380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200">
        <v>46151</v>
      </c>
      <c r="B175" s="199"/>
      <c r="C175" s="199">
        <v>2253822</v>
      </c>
      <c r="D175" s="199">
        <v>2570875</v>
      </c>
      <c r="E175" s="199">
        <v>2137525</v>
      </c>
      <c r="F175" s="199">
        <v>1447640</v>
      </c>
      <c r="G175" s="199">
        <v>2274604</v>
      </c>
      <c r="H175" s="199"/>
      <c r="I175" s="199"/>
      <c r="J175" s="193">
        <f>'ODOMETERS Tekrit'!$C175+'ODOMETERS Tekrit'!$D175-D174-C174</f>
        <v>113</v>
      </c>
      <c r="K175" s="193">
        <f>'ODOMETERS Tekrit'!$F175+'ODOMETERS Tekrit'!$E175-E174-F174</f>
        <v>466</v>
      </c>
      <c r="L175" s="195">
        <f>'ODOMETERS Tekrit'!$G175+'ODOMETERS Tekrit'!$H175-H174-G174</f>
        <v>96</v>
      </c>
      <c r="M175" s="193">
        <f>SUM('ODOMETERS Tekrit'!$J175:$L175)</f>
        <v>675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200">
        <v>46152</v>
      </c>
      <c r="B176" s="199"/>
      <c r="C176" s="199">
        <v>2253822</v>
      </c>
      <c r="D176" s="199">
        <v>2570904</v>
      </c>
      <c r="E176" s="199">
        <v>2137752</v>
      </c>
      <c r="F176" s="199">
        <v>1448112</v>
      </c>
      <c r="G176" s="199">
        <v>2274639</v>
      </c>
      <c r="H176" s="199"/>
      <c r="I176" s="199"/>
      <c r="J176" s="193">
        <f>'ODOMETERS Tekrit'!$C176+'ODOMETERS Tekrit'!$D176-D175-C175</f>
        <v>29</v>
      </c>
      <c r="K176" s="193">
        <f>'ODOMETERS Tekrit'!$F176+'ODOMETERS Tekrit'!$E176-E175-F175</f>
        <v>699</v>
      </c>
      <c r="L176" s="195">
        <f>'ODOMETERS Tekrit'!$G176+'ODOMETERS Tekrit'!$H176-H175-G175</f>
        <v>35</v>
      </c>
      <c r="M176" s="193">
        <f>SUM('ODOMETERS Tekrit'!$J176:$L176)</f>
        <v>763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200">
        <v>46153</v>
      </c>
      <c r="B177" s="199"/>
      <c r="C177" s="199">
        <v>2253822</v>
      </c>
      <c r="D177" s="199">
        <v>2570904</v>
      </c>
      <c r="E177" s="199">
        <v>2137891</v>
      </c>
      <c r="F177" s="199">
        <v>1448524</v>
      </c>
      <c r="G177" s="199">
        <v>2274679</v>
      </c>
      <c r="H177" s="199"/>
      <c r="I177" s="199"/>
      <c r="J177" s="193">
        <f>'ODOMETERS Tekrit'!$C177+'ODOMETERS Tekrit'!$D177-D176-C176</f>
        <v>0</v>
      </c>
      <c r="K177" s="193">
        <f>'ODOMETERS Tekrit'!$F177+'ODOMETERS Tekrit'!$E177-E176-F176</f>
        <v>551</v>
      </c>
      <c r="L177" s="195">
        <f>'ODOMETERS Tekrit'!$G177+'ODOMETERS Tekrit'!$H177-H176-G176</f>
        <v>40</v>
      </c>
      <c r="M177" s="193">
        <f>SUM('ODOMETERS Tekrit'!$J177:$L177)</f>
        <v>591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200">
        <v>46154</v>
      </c>
      <c r="B178" s="199" t="s">
        <v>24</v>
      </c>
      <c r="C178" s="199">
        <v>2253901</v>
      </c>
      <c r="D178" s="199">
        <v>2570906</v>
      </c>
      <c r="E178" s="199">
        <v>2137898</v>
      </c>
      <c r="F178" s="199">
        <v>1448662</v>
      </c>
      <c r="G178" s="199">
        <v>2274733</v>
      </c>
      <c r="H178" s="199"/>
      <c r="I178" s="199"/>
      <c r="J178" s="193">
        <f>'ODOMETERS Tekrit'!$C178+'ODOMETERS Tekrit'!$D178-D177-C177</f>
        <v>81</v>
      </c>
      <c r="K178" s="193">
        <f>'ODOMETERS Tekrit'!$F178+'ODOMETERS Tekrit'!$E178-E177-F177</f>
        <v>145</v>
      </c>
      <c r="L178" s="195">
        <f>'ODOMETERS Tekrit'!$G178+'ODOMETERS Tekrit'!$H178-H177-G177</f>
        <v>54</v>
      </c>
      <c r="M178" s="193">
        <f>SUM('ODOMETERS Tekrit'!$J178:$L178)</f>
        <v>280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200">
        <v>46154</v>
      </c>
      <c r="B179" s="199" t="s">
        <v>25</v>
      </c>
      <c r="C179" s="199">
        <v>2253970</v>
      </c>
      <c r="D179" s="199">
        <v>2570960</v>
      </c>
      <c r="E179" s="199">
        <v>2137898</v>
      </c>
      <c r="F179" s="199">
        <v>1448740</v>
      </c>
      <c r="G179" s="199">
        <v>2274733</v>
      </c>
      <c r="H179" s="199"/>
      <c r="I179" s="199"/>
      <c r="J179" s="193">
        <f>'ODOMETERS Tekrit'!$C179+'ODOMETERS Tekrit'!$D179-D178-C178</f>
        <v>123</v>
      </c>
      <c r="K179" s="193">
        <f>'ODOMETERS Tekrit'!$F179+'ODOMETERS Tekrit'!$E179-E178-F178</f>
        <v>78</v>
      </c>
      <c r="L179" s="195">
        <f>'ODOMETERS Tekrit'!$G179+'ODOMETERS Tekrit'!$H179-H178-G178</f>
        <v>0</v>
      </c>
      <c r="M179" s="193">
        <f>SUM('ODOMETERS Tekrit'!$J179:$L179)</f>
        <v>201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200">
        <v>46155</v>
      </c>
      <c r="B180" s="199"/>
      <c r="C180" s="199">
        <v>2254105</v>
      </c>
      <c r="D180" s="199">
        <v>2571062</v>
      </c>
      <c r="E180" s="199">
        <v>2137898</v>
      </c>
      <c r="F180" s="199">
        <v>1448877</v>
      </c>
      <c r="G180" s="199">
        <v>2274771</v>
      </c>
      <c r="H180" s="199"/>
      <c r="I180" s="199"/>
      <c r="J180" s="193">
        <f>'ODOMETERS Tekrit'!$C180+'ODOMETERS Tekrit'!$D180-D179-C179</f>
        <v>237</v>
      </c>
      <c r="K180" s="193">
        <f>'ODOMETERS Tekrit'!$F180+'ODOMETERS Tekrit'!$E180-E179-F179</f>
        <v>137</v>
      </c>
      <c r="L180" s="195">
        <f>'ODOMETERS Tekrit'!$G180+'ODOMETERS Tekrit'!$H180-H179-G179</f>
        <v>38</v>
      </c>
      <c r="M180" s="193">
        <f>SUM('ODOMETERS Tekrit'!$J180:$L180)</f>
        <v>412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200">
        <v>46156</v>
      </c>
      <c r="B181" s="199"/>
      <c r="C181" s="199">
        <v>2254408</v>
      </c>
      <c r="D181" s="199">
        <v>2571222</v>
      </c>
      <c r="E181" s="199">
        <v>2137898</v>
      </c>
      <c r="F181" s="199">
        <v>1449017</v>
      </c>
      <c r="G181" s="199">
        <v>2274844</v>
      </c>
      <c r="H181" s="199"/>
      <c r="I181" s="199"/>
      <c r="J181" s="193">
        <f>'ODOMETERS Tekrit'!$C181+'ODOMETERS Tekrit'!$D181-D180-C180</f>
        <v>463</v>
      </c>
      <c r="K181" s="193">
        <f>'ODOMETERS Tekrit'!$F181+'ODOMETERS Tekrit'!$E181-E180-F180</f>
        <v>140</v>
      </c>
      <c r="L181" s="195">
        <f>'ODOMETERS Tekrit'!$G181+'ODOMETERS Tekrit'!$H181-H180-G180</f>
        <v>73</v>
      </c>
      <c r="M181" s="193">
        <f>SUM('ODOMETERS Tekrit'!$J181:$L181)</f>
        <v>676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259">
        <v>46157</v>
      </c>
      <c r="B182" s="201" t="s">
        <v>24</v>
      </c>
      <c r="C182" s="201">
        <v>2254506</v>
      </c>
      <c r="D182" s="201">
        <v>2571352</v>
      </c>
      <c r="E182" s="201">
        <v>2137898</v>
      </c>
      <c r="F182" s="201">
        <v>1449122</v>
      </c>
      <c r="G182" s="201">
        <v>2274922</v>
      </c>
      <c r="H182" s="201"/>
      <c r="I182" s="201"/>
      <c r="J182" s="193">
        <f>'ODOMETERS Tekrit'!$C182+'ODOMETERS Tekrit'!$D182-D181-C181</f>
        <v>228</v>
      </c>
      <c r="K182" s="193">
        <f>'ODOMETERS Tekrit'!$F182+'ODOMETERS Tekrit'!$E182-E181-F181</f>
        <v>105</v>
      </c>
      <c r="L182" s="195">
        <f>'ODOMETERS Tekrit'!$G182+'ODOMETERS Tekrit'!$H182-H181-G181</f>
        <v>78</v>
      </c>
      <c r="M182" s="193">
        <f>SUM('ODOMETERS Tekrit'!$J182:$L182)</f>
        <v>411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259">
        <v>46157</v>
      </c>
      <c r="B183" s="201" t="s">
        <v>25</v>
      </c>
      <c r="C183" s="201">
        <v>2254552</v>
      </c>
      <c r="D183" s="201">
        <v>2571431</v>
      </c>
      <c r="E183" s="201">
        <v>2137898</v>
      </c>
      <c r="F183" s="201">
        <v>1449190</v>
      </c>
      <c r="G183" s="201">
        <v>2274943</v>
      </c>
      <c r="H183" s="201"/>
      <c r="I183" s="201"/>
      <c r="J183" s="193">
        <f>'ODOMETERS Tekrit'!$C183+'ODOMETERS Tekrit'!$D183-D182-C182</f>
        <v>125</v>
      </c>
      <c r="K183" s="193">
        <f>'ODOMETERS Tekrit'!$F183+'ODOMETERS Tekrit'!$E183-E182-F182</f>
        <v>68</v>
      </c>
      <c r="L183" s="195">
        <f>'ODOMETERS Tekrit'!$G183+'ODOMETERS Tekrit'!$H183-H182-G182</f>
        <v>21</v>
      </c>
      <c r="M183" s="193">
        <f>SUM('ODOMETERS Tekrit'!$J183:$L183)</f>
        <v>214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259">
        <v>46158</v>
      </c>
      <c r="B184" s="201"/>
      <c r="C184" s="201">
        <v>2254719</v>
      </c>
      <c r="D184" s="201">
        <v>2571528</v>
      </c>
      <c r="E184" s="201">
        <v>2137898</v>
      </c>
      <c r="F184" s="201">
        <v>1449421</v>
      </c>
      <c r="G184" s="201">
        <v>2275033</v>
      </c>
      <c r="H184" s="201"/>
      <c r="I184" s="201"/>
      <c r="J184" s="193">
        <f>'ODOMETERS Tekrit'!$C184+'ODOMETERS Tekrit'!$D184-D183-C183</f>
        <v>264</v>
      </c>
      <c r="K184" s="193">
        <f>'ODOMETERS Tekrit'!$F184+'ODOMETERS Tekrit'!$E184-E183-F183</f>
        <v>231</v>
      </c>
      <c r="L184" s="195">
        <f>'ODOMETERS Tekrit'!$G184+'ODOMETERS Tekrit'!$H184-H183-G183</f>
        <v>90</v>
      </c>
      <c r="M184" s="193">
        <f>SUM('ODOMETERS Tekrit'!$J184:$L184)</f>
        <v>585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259">
        <v>46159</v>
      </c>
      <c r="B185" s="201"/>
      <c r="C185" s="201">
        <v>2254819</v>
      </c>
      <c r="D185" s="201">
        <v>2571798</v>
      </c>
      <c r="E185" s="201">
        <v>2137898</v>
      </c>
      <c r="F185" s="201">
        <v>1449679</v>
      </c>
      <c r="G185" s="201">
        <v>2275081</v>
      </c>
      <c r="H185" s="201"/>
      <c r="I185" s="201"/>
      <c r="J185" s="193">
        <f>'ODOMETERS Tekrit'!$C185+'ODOMETERS Tekrit'!$D185-D184-C184</f>
        <v>370</v>
      </c>
      <c r="K185" s="193">
        <f>'ODOMETERS Tekrit'!$F185+'ODOMETERS Tekrit'!$E185-E184-F184</f>
        <v>258</v>
      </c>
      <c r="L185" s="195">
        <f>'ODOMETERS Tekrit'!$G185+'ODOMETERS Tekrit'!$H185-H184-G184</f>
        <v>48</v>
      </c>
      <c r="M185" s="193">
        <f>SUM('ODOMETERS Tekrit'!$J185:$L185)</f>
        <v>676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259">
        <v>46160</v>
      </c>
      <c r="B186" s="201"/>
      <c r="C186" s="201">
        <v>2254910</v>
      </c>
      <c r="D186" s="201">
        <v>2571920</v>
      </c>
      <c r="E186" s="201">
        <v>2137898</v>
      </c>
      <c r="F186" s="201">
        <v>1449827</v>
      </c>
      <c r="G186" s="201">
        <v>2275142</v>
      </c>
      <c r="H186" s="201"/>
      <c r="I186" s="201"/>
      <c r="J186" s="193">
        <f>'ODOMETERS Tekrit'!$C186+'ODOMETERS Tekrit'!$D186-D185-C185</f>
        <v>213</v>
      </c>
      <c r="K186" s="193">
        <f>'ODOMETERS Tekrit'!$F186+'ODOMETERS Tekrit'!$E186-E185-F185</f>
        <v>148</v>
      </c>
      <c r="L186" s="195">
        <f>'ODOMETERS Tekrit'!$G186+'ODOMETERS Tekrit'!$H186-H185-G185</f>
        <v>61</v>
      </c>
      <c r="M186" s="193">
        <f>SUM('ODOMETERS Tekrit'!$J186:$L186)</f>
        <v>422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259">
        <v>46161</v>
      </c>
      <c r="B187" s="201" t="s">
        <v>24</v>
      </c>
      <c r="C187" s="201">
        <v>2254910</v>
      </c>
      <c r="D187" s="201">
        <v>2572041</v>
      </c>
      <c r="E187" s="201">
        <v>2137898</v>
      </c>
      <c r="F187" s="201">
        <v>1450055</v>
      </c>
      <c r="G187" s="201">
        <v>2275181</v>
      </c>
      <c r="H187" s="201"/>
      <c r="I187" s="201"/>
      <c r="J187" s="193">
        <f>'ODOMETERS Tekrit'!$C187+'ODOMETERS Tekrit'!$D187-D186-C186</f>
        <v>121</v>
      </c>
      <c r="K187" s="193">
        <f>'ODOMETERS Tekrit'!$F187+'ODOMETERS Tekrit'!$E187-E186-F186</f>
        <v>228</v>
      </c>
      <c r="L187" s="195">
        <f>'ODOMETERS Tekrit'!$G187+'ODOMETERS Tekrit'!$H187-H186-G186</f>
        <v>39</v>
      </c>
      <c r="M187" s="193">
        <f>SUM('ODOMETERS Tekrit'!$J187:$L187)</f>
        <v>388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259">
        <v>46161</v>
      </c>
      <c r="B188" s="201" t="s">
        <v>25</v>
      </c>
      <c r="C188" s="201">
        <v>2254910</v>
      </c>
      <c r="D188" s="201">
        <v>2572107</v>
      </c>
      <c r="E188" s="201">
        <v>2137898</v>
      </c>
      <c r="F188" s="201">
        <v>1450100</v>
      </c>
      <c r="G188" s="201">
        <v>2275185</v>
      </c>
      <c r="H188" s="201"/>
      <c r="I188" s="201"/>
      <c r="J188" s="193">
        <f>'ODOMETERS Tekrit'!$C188+'ODOMETERS Tekrit'!$D188-D187-C187</f>
        <v>66</v>
      </c>
      <c r="K188" s="193">
        <f>'ODOMETERS Tekrit'!$F188+'ODOMETERS Tekrit'!$E188-E187-F187</f>
        <v>45</v>
      </c>
      <c r="L188" s="195">
        <f>'ODOMETERS Tekrit'!$G188+'ODOMETERS Tekrit'!$H188-H187-G187</f>
        <v>4</v>
      </c>
      <c r="M188" s="193">
        <f>SUM('ODOMETERS Tekrit'!$J188:$L188)</f>
        <v>115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259">
        <v>46162</v>
      </c>
      <c r="B189" s="201"/>
      <c r="C189" s="201">
        <v>2254910</v>
      </c>
      <c r="D189" s="201">
        <v>2572302</v>
      </c>
      <c r="E189" s="201">
        <v>2137898</v>
      </c>
      <c r="F189" s="201">
        <v>1450321</v>
      </c>
      <c r="G189" s="201">
        <v>2275202</v>
      </c>
      <c r="H189" s="201"/>
      <c r="I189" s="201"/>
      <c r="J189" s="193">
        <f>'ODOMETERS Tekrit'!$C189+'ODOMETERS Tekrit'!$D189-D188-C188</f>
        <v>195</v>
      </c>
      <c r="K189" s="193">
        <f>'ODOMETERS Tekrit'!$F189+'ODOMETERS Tekrit'!$E189-E188-F188</f>
        <v>221</v>
      </c>
      <c r="L189" s="195">
        <f>'ODOMETERS Tekrit'!$G189+'ODOMETERS Tekrit'!$H189-H188-G188</f>
        <v>17</v>
      </c>
      <c r="M189" s="193">
        <f>SUM('ODOMETERS Tekrit'!$J189:$L189)</f>
        <v>433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259">
        <v>46163</v>
      </c>
      <c r="B190" s="201"/>
      <c r="C190" s="201">
        <v>2254910</v>
      </c>
      <c r="D190" s="201">
        <v>2572442</v>
      </c>
      <c r="E190" s="201">
        <v>2137898</v>
      </c>
      <c r="F190" s="201">
        <v>1450620</v>
      </c>
      <c r="G190" s="201">
        <v>2275219</v>
      </c>
      <c r="H190" s="201"/>
      <c r="I190" s="201"/>
      <c r="J190" s="193">
        <f>'ODOMETERS Tekrit'!$C190+'ODOMETERS Tekrit'!$D190-D189-C189</f>
        <v>140</v>
      </c>
      <c r="K190" s="193">
        <f>'ODOMETERS Tekrit'!$F190+'ODOMETERS Tekrit'!$E190-E189-F189</f>
        <v>299</v>
      </c>
      <c r="L190" s="195">
        <f>'ODOMETERS Tekrit'!$G190+'ODOMETERS Tekrit'!$H190-H189-G189</f>
        <v>17</v>
      </c>
      <c r="M190" s="193">
        <f>SUM('ODOMETERS Tekrit'!$J190:$L190)</f>
        <v>456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259">
        <v>46164</v>
      </c>
      <c r="B191" s="201" t="s">
        <v>24</v>
      </c>
      <c r="C191" s="201">
        <v>2254910</v>
      </c>
      <c r="D191" s="201">
        <v>2572556</v>
      </c>
      <c r="E191" s="201">
        <v>2137898</v>
      </c>
      <c r="F191" s="201">
        <v>1450895</v>
      </c>
      <c r="G191" s="201">
        <v>2275280</v>
      </c>
      <c r="H191" s="201"/>
      <c r="I191" s="201"/>
      <c r="J191" s="193">
        <f>'ODOMETERS Tekrit'!$C191+'ODOMETERS Tekrit'!$D191-D190-C190</f>
        <v>114</v>
      </c>
      <c r="K191" s="193">
        <f>'ODOMETERS Tekrit'!$F191+'ODOMETERS Tekrit'!$E191-E190-F190</f>
        <v>275</v>
      </c>
      <c r="L191" s="195">
        <f>'ODOMETERS Tekrit'!$G191+'ODOMETERS Tekrit'!$H191-H190-G190</f>
        <v>61</v>
      </c>
      <c r="M191" s="193">
        <f>SUM('ODOMETERS Tekrit'!$J191:$L191)</f>
        <v>450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259">
        <v>46164</v>
      </c>
      <c r="B192" s="201" t="s">
        <v>25</v>
      </c>
      <c r="C192" s="201">
        <v>2254910</v>
      </c>
      <c r="D192" s="201">
        <v>2572614</v>
      </c>
      <c r="E192" s="201">
        <v>2137898</v>
      </c>
      <c r="F192" s="201">
        <v>1451035</v>
      </c>
      <c r="G192" s="201">
        <v>2275294</v>
      </c>
      <c r="H192" s="201"/>
      <c r="I192" s="201"/>
      <c r="J192" s="193">
        <f>'ODOMETERS Tekrit'!$C192+'ODOMETERS Tekrit'!$D192-D191-C191</f>
        <v>58</v>
      </c>
      <c r="K192" s="193">
        <f>'ODOMETERS Tekrit'!$F192+'ODOMETERS Tekrit'!$E192-E191-F191</f>
        <v>140</v>
      </c>
      <c r="L192" s="195">
        <f>'ODOMETERS Tekrit'!$G192+'ODOMETERS Tekrit'!$H192-H191-G191</f>
        <v>14</v>
      </c>
      <c r="M192" s="193">
        <f>SUM('ODOMETERS Tekrit'!$J192:$L192)</f>
        <v>212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200">
        <v>46165</v>
      </c>
      <c r="B193" s="199"/>
      <c r="C193" s="199">
        <v>2254910</v>
      </c>
      <c r="D193" s="199">
        <v>2572788</v>
      </c>
      <c r="E193" s="199">
        <v>2137898</v>
      </c>
      <c r="F193" s="199">
        <v>1451632</v>
      </c>
      <c r="G193" s="199">
        <v>2277338</v>
      </c>
      <c r="H193" s="199"/>
      <c r="I193" s="199"/>
      <c r="J193" s="193">
        <f>'ODOMETERS Tekrit'!$C193+'ODOMETERS Tekrit'!$D193-D192-C192</f>
        <v>174</v>
      </c>
      <c r="K193" s="193">
        <f>'ODOMETERS Tekrit'!$F193+'ODOMETERS Tekrit'!$E193-E192-F192</f>
        <v>597</v>
      </c>
      <c r="L193" s="195">
        <f>'ODOMETERS Tekrit'!$G193+'ODOMETERS Tekrit'!$H193-H192-G192</f>
        <v>2044</v>
      </c>
      <c r="M193" s="193">
        <f>SUM('ODOMETERS Tekrit'!$J193:$L193)</f>
        <v>2815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200">
        <v>46166</v>
      </c>
      <c r="B194" s="199"/>
      <c r="C194" s="199">
        <v>2254910</v>
      </c>
      <c r="D194" s="199">
        <v>2572948</v>
      </c>
      <c r="E194" s="199">
        <v>2137898</v>
      </c>
      <c r="F194" s="199">
        <v>1452084</v>
      </c>
      <c r="G194" s="199">
        <v>2277457</v>
      </c>
      <c r="H194" s="199"/>
      <c r="I194" s="199"/>
      <c r="J194" s="193">
        <f>'ODOMETERS Tekrit'!$C194+'ODOMETERS Tekrit'!$D194-D193-C193</f>
        <v>160</v>
      </c>
      <c r="K194" s="193">
        <f>'ODOMETERS Tekrit'!$F194+'ODOMETERS Tekrit'!$E194-E193-F193</f>
        <v>452</v>
      </c>
      <c r="L194" s="195">
        <f>'ODOMETERS Tekrit'!$G194+'ODOMETERS Tekrit'!$H194-H193-G193</f>
        <v>119</v>
      </c>
      <c r="M194" s="193">
        <f>SUM('ODOMETERS Tekrit'!$J194:$L194)</f>
        <v>731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200">
        <v>46167</v>
      </c>
      <c r="B195" s="199"/>
      <c r="C195" s="199">
        <v>2254910</v>
      </c>
      <c r="D195" s="199">
        <v>2573597</v>
      </c>
      <c r="E195" s="199">
        <v>2137898</v>
      </c>
      <c r="F195" s="199">
        <v>1452218</v>
      </c>
      <c r="G195" s="199">
        <v>2278018</v>
      </c>
      <c r="H195" s="199"/>
      <c r="I195" s="199"/>
      <c r="J195" s="193">
        <f>'ODOMETERS Tekrit'!$C195+'ODOMETERS Tekrit'!$D195-D194-C194</f>
        <v>649</v>
      </c>
      <c r="K195" s="193">
        <f>'ODOMETERS Tekrit'!$F195+'ODOMETERS Tekrit'!$E195-E194-F194</f>
        <v>134</v>
      </c>
      <c r="L195" s="195">
        <f>'ODOMETERS Tekrit'!$G195+'ODOMETERS Tekrit'!$H195-H194-G194</f>
        <v>561</v>
      </c>
      <c r="M195" s="193">
        <f>SUM('ODOMETERS Tekrit'!$J195:$L195)</f>
        <v>1344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200">
        <v>46168</v>
      </c>
      <c r="B196" s="199" t="s">
        <v>24</v>
      </c>
      <c r="C196" s="199">
        <v>2254910</v>
      </c>
      <c r="D196" s="199">
        <v>2573981</v>
      </c>
      <c r="E196" s="199">
        <v>2137898</v>
      </c>
      <c r="F196" s="199">
        <v>1452218</v>
      </c>
      <c r="G196" s="199">
        <v>2278046</v>
      </c>
      <c r="H196" s="199"/>
      <c r="I196" s="199"/>
      <c r="J196" s="193">
        <f>'ODOMETERS Tekrit'!$C196+'ODOMETERS Tekrit'!$D196-D195-C195</f>
        <v>384</v>
      </c>
      <c r="K196" s="193">
        <f>'ODOMETERS Tekrit'!$F196+'ODOMETERS Tekrit'!$E196-E195-F195</f>
        <v>0</v>
      </c>
      <c r="L196" s="195">
        <f>'ODOMETERS Tekrit'!$G196+'ODOMETERS Tekrit'!$H196-H195-G195</f>
        <v>28</v>
      </c>
      <c r="M196" s="193">
        <f>SUM('ODOMETERS Tekrit'!$J196:$L196)</f>
        <v>412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200">
        <v>46168</v>
      </c>
      <c r="B197" s="199" t="s">
        <v>25</v>
      </c>
      <c r="C197" s="199">
        <v>2254910</v>
      </c>
      <c r="D197" s="199">
        <v>2574327</v>
      </c>
      <c r="E197" s="199">
        <v>2137898</v>
      </c>
      <c r="F197" s="199">
        <v>1452218</v>
      </c>
      <c r="G197" s="199">
        <v>2278065</v>
      </c>
      <c r="H197" s="199"/>
      <c r="I197" s="199"/>
      <c r="J197" s="193">
        <f>'ODOMETERS Tekrit'!$C197+'ODOMETERS Tekrit'!$D197-D196-C196</f>
        <v>346</v>
      </c>
      <c r="K197" s="193">
        <f>'ODOMETERS Tekrit'!$F197+'ODOMETERS Tekrit'!$E197-E196-F196</f>
        <v>0</v>
      </c>
      <c r="L197" s="195">
        <f>'ODOMETERS Tekrit'!$G197+'ODOMETERS Tekrit'!$H197-H196-G196</f>
        <v>19</v>
      </c>
      <c r="M197" s="193">
        <f>SUM('ODOMETERS Tekrit'!$J197:$L197)</f>
        <v>365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200">
        <v>46169</v>
      </c>
      <c r="B198" s="199"/>
      <c r="C198" s="199">
        <v>2254910</v>
      </c>
      <c r="D198" s="199">
        <v>2575024</v>
      </c>
      <c r="E198" s="199">
        <v>2137911</v>
      </c>
      <c r="F198" s="199">
        <v>1453229</v>
      </c>
      <c r="G198" s="199">
        <v>2278163</v>
      </c>
      <c r="H198" s="199"/>
      <c r="I198" s="199"/>
      <c r="J198" s="193">
        <f>'ODOMETERS Tekrit'!$C198+'ODOMETERS Tekrit'!$D198-D197-C197</f>
        <v>697</v>
      </c>
      <c r="K198" s="193">
        <f>'ODOMETERS Tekrit'!$F198+'ODOMETERS Tekrit'!$E198-E197-F197</f>
        <v>1024</v>
      </c>
      <c r="L198" s="195">
        <f>'ODOMETERS Tekrit'!$G198+'ODOMETERS Tekrit'!$H198-H197-G197</f>
        <v>98</v>
      </c>
      <c r="M198" s="193">
        <f>SUM('ODOMETERS Tekrit'!$J198:$L198)</f>
        <v>1819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200">
        <v>46170</v>
      </c>
      <c r="B199" s="199"/>
      <c r="C199" s="199">
        <v>2254910</v>
      </c>
      <c r="D199" s="199">
        <v>2575441</v>
      </c>
      <c r="E199" s="199">
        <v>2137911</v>
      </c>
      <c r="F199" s="199">
        <v>1454023</v>
      </c>
      <c r="G199" s="199">
        <v>2278237</v>
      </c>
      <c r="H199" s="199"/>
      <c r="I199" s="199"/>
      <c r="J199" s="193">
        <f>'ODOMETERS Tekrit'!$C199+'ODOMETERS Tekrit'!$D199-D198-C198</f>
        <v>417</v>
      </c>
      <c r="K199" s="193">
        <f>'ODOMETERS Tekrit'!$F199+'ODOMETERS Tekrit'!$E199-E198-F198</f>
        <v>794</v>
      </c>
      <c r="L199" s="195">
        <f>'ODOMETERS Tekrit'!$G199+'ODOMETERS Tekrit'!$H199-H198-G198</f>
        <v>74</v>
      </c>
      <c r="M199" s="193">
        <f>SUM('ODOMETERS Tekrit'!$J199:$L199)</f>
        <v>1285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200">
        <v>46171</v>
      </c>
      <c r="B200" s="199"/>
      <c r="C200" s="199">
        <v>2254910</v>
      </c>
      <c r="D200" s="199">
        <v>2575730</v>
      </c>
      <c r="E200" s="199">
        <v>2137911</v>
      </c>
      <c r="F200" s="199">
        <v>1454487</v>
      </c>
      <c r="G200" s="199">
        <v>2278265</v>
      </c>
      <c r="H200" s="199"/>
      <c r="I200" s="199"/>
      <c r="J200" s="193">
        <f>'ODOMETERS Tekrit'!$C200+'ODOMETERS Tekrit'!$D200-D199-C199</f>
        <v>289</v>
      </c>
      <c r="K200" s="193">
        <f>'ODOMETERS Tekrit'!$F200+'ODOMETERS Tekrit'!$E200-E199-F199</f>
        <v>464</v>
      </c>
      <c r="L200" s="195">
        <f>'ODOMETERS Tekrit'!$G200+'ODOMETERS Tekrit'!$H200-H199-G199</f>
        <v>28</v>
      </c>
      <c r="M200" s="193">
        <f>SUM('ODOMETERS Tekrit'!$J200:$L200)</f>
        <v>781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200">
        <v>46172</v>
      </c>
      <c r="B201" s="199"/>
      <c r="C201" s="199">
        <v>2254910</v>
      </c>
      <c r="D201" s="199">
        <v>2576170</v>
      </c>
      <c r="E201" s="199">
        <v>2137911</v>
      </c>
      <c r="F201" s="199">
        <v>1454870</v>
      </c>
      <c r="G201" s="199">
        <v>2278340</v>
      </c>
      <c r="H201" s="199"/>
      <c r="I201" s="199"/>
      <c r="J201" s="193">
        <f>'ODOMETERS Tekrit'!$C201+'ODOMETERS Tekrit'!$D201-D200-C200</f>
        <v>440</v>
      </c>
      <c r="K201" s="193">
        <f>'ODOMETERS Tekrit'!$F201+'ODOMETERS Tekrit'!$E201-E200-F200</f>
        <v>383</v>
      </c>
      <c r="L201" s="195">
        <f>'ODOMETERS Tekrit'!$G201+'ODOMETERS Tekrit'!$H201-H200-G200</f>
        <v>75</v>
      </c>
      <c r="M201" s="193">
        <f>SUM('ODOMETERS Tekrit'!$J201:$L201)</f>
        <v>898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200">
        <v>46173</v>
      </c>
      <c r="B202" s="199"/>
      <c r="C202" s="199">
        <v>2254910</v>
      </c>
      <c r="D202" s="199">
        <v>2576722</v>
      </c>
      <c r="E202" s="199">
        <v>2137911</v>
      </c>
      <c r="F202" s="199">
        <v>1454896</v>
      </c>
      <c r="G202" s="199">
        <v>2278411</v>
      </c>
      <c r="H202" s="199"/>
      <c r="I202" s="199"/>
      <c r="J202" s="193">
        <f>'ODOMETERS Tekrit'!$C202+'ODOMETERS Tekrit'!$D202-D201-C201</f>
        <v>552</v>
      </c>
      <c r="K202" s="193">
        <f>'ODOMETERS Tekrit'!$F202+'ODOMETERS Tekrit'!$E202-E201-F201</f>
        <v>26</v>
      </c>
      <c r="L202" s="195">
        <f>'ODOMETERS Tekrit'!$G202+'ODOMETERS Tekrit'!$H202-H201-G201</f>
        <v>71</v>
      </c>
      <c r="M202" s="193">
        <f>SUM('ODOMETERS Tekrit'!$J202:$L202)</f>
        <v>649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200">
        <v>46174</v>
      </c>
      <c r="B203" s="199"/>
      <c r="C203" s="199">
        <v>2254910</v>
      </c>
      <c r="D203" s="199">
        <v>2578272</v>
      </c>
      <c r="E203" s="199">
        <v>2137911</v>
      </c>
      <c r="F203" s="199">
        <v>1454981</v>
      </c>
      <c r="G203" s="199">
        <v>2278446</v>
      </c>
      <c r="H203" s="199"/>
      <c r="I203" s="199"/>
      <c r="J203" s="193">
        <f>'ODOMETERS Tekrit'!$C203+'ODOMETERS Tekrit'!$D203-D202-C202</f>
        <v>1550</v>
      </c>
      <c r="K203" s="193">
        <f>'ODOMETERS Tekrit'!$F203+'ODOMETERS Tekrit'!$E203-E202-F202</f>
        <v>85</v>
      </c>
      <c r="L203" s="195">
        <f>'ODOMETERS Tekrit'!$G203+'ODOMETERS Tekrit'!$H203-H202-G202</f>
        <v>35</v>
      </c>
      <c r="M203" s="193">
        <f>SUM('ODOMETERS Tekrit'!$J203:$L203)</f>
        <v>1670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200">
        <v>46175</v>
      </c>
      <c r="B204" s="199" t="s">
        <v>24</v>
      </c>
      <c r="C204" s="199">
        <v>2254910</v>
      </c>
      <c r="D204" s="199">
        <v>2578538</v>
      </c>
      <c r="E204" s="199">
        <v>2137911</v>
      </c>
      <c r="F204" s="199">
        <v>1455025</v>
      </c>
      <c r="G204" s="199">
        <v>2278670</v>
      </c>
      <c r="H204" s="199"/>
      <c r="I204" s="199"/>
      <c r="J204" s="193">
        <f>'ODOMETERS Tekrit'!$C204+'ODOMETERS Tekrit'!$D204-D203-C203</f>
        <v>266</v>
      </c>
      <c r="K204" s="193">
        <f>'ODOMETERS Tekrit'!$F204+'ODOMETERS Tekrit'!$E204-E203-F203</f>
        <v>44</v>
      </c>
      <c r="L204" s="195">
        <f>'ODOMETERS Tekrit'!$G204+'ODOMETERS Tekrit'!$H204-H203-G203</f>
        <v>224</v>
      </c>
      <c r="M204" s="193">
        <f>SUM('ODOMETERS Tekrit'!$J204:$L204)</f>
        <v>534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200">
        <v>46175</v>
      </c>
      <c r="B205" s="199" t="s">
        <v>25</v>
      </c>
      <c r="C205" s="199">
        <v>2254910</v>
      </c>
      <c r="D205" s="199">
        <v>2578697</v>
      </c>
      <c r="E205" s="199">
        <v>2137911</v>
      </c>
      <c r="F205" s="199">
        <v>1455035</v>
      </c>
      <c r="G205" s="199">
        <v>2278678</v>
      </c>
      <c r="H205" s="199"/>
      <c r="I205" s="199"/>
      <c r="J205" s="193">
        <f>'ODOMETERS Tekrit'!$C205+'ODOMETERS Tekrit'!$D205-D204-C204</f>
        <v>159</v>
      </c>
      <c r="K205" s="193">
        <f>'ODOMETERS Tekrit'!$F205+'ODOMETERS Tekrit'!$E205-E204-F204</f>
        <v>10</v>
      </c>
      <c r="L205" s="195">
        <f>'ODOMETERS Tekrit'!$G205+'ODOMETERS Tekrit'!$H205-H204-G204</f>
        <v>8</v>
      </c>
      <c r="M205" s="193">
        <f>SUM('ODOMETERS Tekrit'!$J205:$L205)</f>
        <v>177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200">
        <v>46176</v>
      </c>
      <c r="B206" s="199"/>
      <c r="C206" s="199">
        <v>2254910</v>
      </c>
      <c r="D206" s="199">
        <v>2579032</v>
      </c>
      <c r="E206" s="199">
        <v>2137911</v>
      </c>
      <c r="F206" s="199">
        <v>1455176</v>
      </c>
      <c r="G206" s="199">
        <v>2278720</v>
      </c>
      <c r="H206" s="199"/>
      <c r="I206" s="199"/>
      <c r="J206" s="193">
        <f>'ODOMETERS Tekrit'!$C206+'ODOMETERS Tekrit'!$D206-D205-C205</f>
        <v>335</v>
      </c>
      <c r="K206" s="193">
        <f>'ODOMETERS Tekrit'!$F206+'ODOMETERS Tekrit'!$E206-E205-F205</f>
        <v>141</v>
      </c>
      <c r="L206" s="195">
        <f>'ODOMETERS Tekrit'!$G206+'ODOMETERS Tekrit'!$H206-H205-G205</f>
        <v>42</v>
      </c>
      <c r="M206" s="193">
        <f>SUM('ODOMETERS Tekrit'!$J206:$L206)</f>
        <v>518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200">
        <v>46177</v>
      </c>
      <c r="B207" s="199"/>
      <c r="C207" s="199">
        <v>2254910</v>
      </c>
      <c r="D207" s="199">
        <v>2579328</v>
      </c>
      <c r="E207" s="199">
        <v>2137911</v>
      </c>
      <c r="F207" s="199">
        <v>1455496</v>
      </c>
      <c r="G207" s="199">
        <v>2278833</v>
      </c>
      <c r="H207" s="199"/>
      <c r="I207" s="199"/>
      <c r="J207" s="193">
        <f>'ODOMETERS Tekrit'!$C207+'ODOMETERS Tekrit'!$D207-D206-C206</f>
        <v>296</v>
      </c>
      <c r="K207" s="193">
        <f>'ODOMETERS Tekrit'!$F207+'ODOMETERS Tekrit'!$E207-E206-F206</f>
        <v>320</v>
      </c>
      <c r="L207" s="195">
        <f>'ODOMETERS Tekrit'!$G207+'ODOMETERS Tekrit'!$H207-H206-G206</f>
        <v>113</v>
      </c>
      <c r="M207" s="193">
        <f>SUM('ODOMETERS Tekrit'!$J207:$L207)</f>
        <v>729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200">
        <v>46178</v>
      </c>
      <c r="B208" s="199"/>
      <c r="C208" s="199">
        <v>2254910</v>
      </c>
      <c r="D208" s="199">
        <v>2579686</v>
      </c>
      <c r="E208" s="199">
        <v>2137911</v>
      </c>
      <c r="F208" s="199">
        <v>1455759</v>
      </c>
      <c r="G208" s="199">
        <v>2278880</v>
      </c>
      <c r="H208" s="199"/>
      <c r="I208" s="199"/>
      <c r="J208" s="193">
        <f>'ODOMETERS Tekrit'!$C208+'ODOMETERS Tekrit'!$D208-D207-C207</f>
        <v>358</v>
      </c>
      <c r="K208" s="193">
        <f>'ODOMETERS Tekrit'!$F208+'ODOMETERS Tekrit'!$E208-E207-F207</f>
        <v>263</v>
      </c>
      <c r="L208" s="195">
        <f>'ODOMETERS Tekrit'!$G208+'ODOMETERS Tekrit'!$H208-H207-G207</f>
        <v>47</v>
      </c>
      <c r="M208" s="193">
        <f>SUM('ODOMETERS Tekrit'!$J208:$L208)</f>
        <v>668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200">
        <v>46179</v>
      </c>
      <c r="B209" s="199"/>
      <c r="C209" s="199">
        <v>2254910</v>
      </c>
      <c r="D209" s="199">
        <v>2579893</v>
      </c>
      <c r="E209" s="199">
        <v>2137911</v>
      </c>
      <c r="F209" s="199">
        <v>1456102</v>
      </c>
      <c r="G209" s="199">
        <v>2278927</v>
      </c>
      <c r="H209" s="199"/>
      <c r="I209" s="199"/>
      <c r="J209" s="193">
        <f>'ODOMETERS Tekrit'!$C209+'ODOMETERS Tekrit'!$D209-D208-C208</f>
        <v>207</v>
      </c>
      <c r="K209" s="193">
        <f>'ODOMETERS Tekrit'!$F209+'ODOMETERS Tekrit'!$E209-E208-F208</f>
        <v>343</v>
      </c>
      <c r="L209" s="195">
        <f>'ODOMETERS Tekrit'!$G209+'ODOMETERS Tekrit'!$H209-H208-G208</f>
        <v>47</v>
      </c>
      <c r="M209" s="193">
        <f>SUM('ODOMETERS Tekrit'!$J209:$L209)</f>
        <v>597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200">
        <v>46180</v>
      </c>
      <c r="B210" s="199"/>
      <c r="C210" s="199">
        <v>2254910</v>
      </c>
      <c r="D210" s="199">
        <v>2580201</v>
      </c>
      <c r="E210" s="199">
        <v>2137911</v>
      </c>
      <c r="F210" s="199">
        <v>1456405</v>
      </c>
      <c r="G210" s="199">
        <v>2278992</v>
      </c>
      <c r="H210" s="199"/>
      <c r="I210" s="199"/>
      <c r="J210" s="193">
        <f>'ODOMETERS Tekrit'!$C210+'ODOMETERS Tekrit'!$D210-D209-C209</f>
        <v>308</v>
      </c>
      <c r="K210" s="193">
        <f>'ODOMETERS Tekrit'!$F210+'ODOMETERS Tekrit'!$E210-E209-F209</f>
        <v>303</v>
      </c>
      <c r="L210" s="195">
        <f>'ODOMETERS Tekrit'!$G210+'ODOMETERS Tekrit'!$H210-H209-G209</f>
        <v>65</v>
      </c>
      <c r="M210" s="193">
        <f>SUM('ODOMETERS Tekrit'!$J210:$L210)</f>
        <v>676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200">
        <v>46181</v>
      </c>
      <c r="B211" s="199"/>
      <c r="C211" s="199">
        <v>2254910</v>
      </c>
      <c r="D211" s="199">
        <v>2580449</v>
      </c>
      <c r="E211" s="199">
        <v>2137911</v>
      </c>
      <c r="F211" s="199">
        <v>1456835</v>
      </c>
      <c r="G211" s="199">
        <v>2279043</v>
      </c>
      <c r="H211" s="199"/>
      <c r="I211" s="199"/>
      <c r="J211" s="193">
        <f>'ODOMETERS Tekrit'!$C211+'ODOMETERS Tekrit'!$D211-D210-C210</f>
        <v>248</v>
      </c>
      <c r="K211" s="193">
        <f>'ODOMETERS Tekrit'!$F211+'ODOMETERS Tekrit'!$E211-E210-F210</f>
        <v>430</v>
      </c>
      <c r="L211" s="195">
        <f>'ODOMETERS Tekrit'!$G211+'ODOMETERS Tekrit'!$H211-H210-G210</f>
        <v>51</v>
      </c>
      <c r="M211" s="193">
        <f>SUM('ODOMETERS Tekrit'!$J211:$L211)</f>
        <v>729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200">
        <v>46182</v>
      </c>
      <c r="B212" s="199" t="s">
        <v>24</v>
      </c>
      <c r="C212" s="199">
        <v>2254910</v>
      </c>
      <c r="D212" s="199">
        <v>2580504</v>
      </c>
      <c r="E212" s="199">
        <v>2137911</v>
      </c>
      <c r="F212" s="199">
        <v>1457183</v>
      </c>
      <c r="G212" s="199">
        <v>2279074</v>
      </c>
      <c r="H212" s="199"/>
      <c r="I212" s="199"/>
      <c r="J212" s="193">
        <f>'ODOMETERS Tekrit'!$C212+'ODOMETERS Tekrit'!$D212-D211-C211</f>
        <v>55</v>
      </c>
      <c r="K212" s="193">
        <f>'ODOMETERS Tekrit'!$F212+'ODOMETERS Tekrit'!$E212-E211-F211</f>
        <v>348</v>
      </c>
      <c r="L212" s="195">
        <f>'ODOMETERS Tekrit'!$G212+'ODOMETERS Tekrit'!$H212-H211-G211</f>
        <v>31</v>
      </c>
      <c r="M212" s="193">
        <f>SUM('ODOMETERS Tekrit'!$J212:$L212)</f>
        <v>434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200">
        <v>46182</v>
      </c>
      <c r="B213" s="199" t="s">
        <v>25</v>
      </c>
      <c r="C213" s="199">
        <v>2254910</v>
      </c>
      <c r="D213" s="199">
        <v>2580506</v>
      </c>
      <c r="E213" s="199">
        <v>2137911</v>
      </c>
      <c r="F213" s="199">
        <v>1457403</v>
      </c>
      <c r="G213" s="199">
        <v>2279074</v>
      </c>
      <c r="H213" s="199"/>
      <c r="I213" s="199"/>
      <c r="J213" s="193">
        <f>'ODOMETERS Tekrit'!$C213+'ODOMETERS Tekrit'!$D213-D212-C212</f>
        <v>2</v>
      </c>
      <c r="K213" s="193">
        <f>'ODOMETERS Tekrit'!$F213+'ODOMETERS Tekrit'!$E213-E212-F212</f>
        <v>220</v>
      </c>
      <c r="L213" s="195">
        <f>'ODOMETERS Tekrit'!$G213+'ODOMETERS Tekrit'!$H213-H212-G212</f>
        <v>0</v>
      </c>
      <c r="M213" s="193">
        <f>SUM('ODOMETERS Tekrit'!$J213:$L213)</f>
        <v>222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200">
        <v>46183</v>
      </c>
      <c r="B214" s="199"/>
      <c r="C214" s="199">
        <v>2254910</v>
      </c>
      <c r="D214" s="199">
        <v>2580995</v>
      </c>
      <c r="E214" s="199">
        <v>2137911</v>
      </c>
      <c r="F214" s="199">
        <v>1457556</v>
      </c>
      <c r="G214" s="199">
        <v>2279145</v>
      </c>
      <c r="H214" s="199"/>
      <c r="I214" s="199"/>
      <c r="J214" s="193">
        <f>'ODOMETERS Tekrit'!$C214+'ODOMETERS Tekrit'!$D214-D213-C213</f>
        <v>489</v>
      </c>
      <c r="K214" s="193">
        <f>'ODOMETERS Tekrit'!$F214+'ODOMETERS Tekrit'!$E214-E213-F213</f>
        <v>153</v>
      </c>
      <c r="L214" s="195">
        <f>'ODOMETERS Tekrit'!$G214+'ODOMETERS Tekrit'!$H214-H213-G213</f>
        <v>71</v>
      </c>
      <c r="M214" s="193">
        <f>SUM('ODOMETERS Tekrit'!$J214:$L214)</f>
        <v>713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200">
        <v>46184</v>
      </c>
      <c r="B215" s="199"/>
      <c r="C215" s="199">
        <v>2254910</v>
      </c>
      <c r="D215" s="199">
        <v>2581500</v>
      </c>
      <c r="E215" s="199">
        <v>2137911</v>
      </c>
      <c r="F215" s="199">
        <v>1457556</v>
      </c>
      <c r="G215" s="199">
        <v>2279302</v>
      </c>
      <c r="H215" s="199"/>
      <c r="I215" s="199"/>
      <c r="J215" s="193">
        <f>'ODOMETERS Tekrit'!$C215+'ODOMETERS Tekrit'!$D215-D214-C214</f>
        <v>505</v>
      </c>
      <c r="K215" s="193">
        <f>'ODOMETERS Tekrit'!$F215+'ODOMETERS Tekrit'!$E215-E214-F214</f>
        <v>0</v>
      </c>
      <c r="L215" s="195">
        <f>'ODOMETERS Tekrit'!$G215+'ODOMETERS Tekrit'!$H215-H214-G214</f>
        <v>157</v>
      </c>
      <c r="M215" s="193">
        <f>SUM('ODOMETERS Tekrit'!$J215:$L215)</f>
        <v>662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200">
        <v>46185</v>
      </c>
      <c r="B216" s="199" t="s">
        <v>24</v>
      </c>
      <c r="C216" s="378">
        <v>2254910</v>
      </c>
      <c r="D216" s="378">
        <v>2581802</v>
      </c>
      <c r="E216" s="378">
        <v>2137911</v>
      </c>
      <c r="F216" s="378">
        <v>1457556</v>
      </c>
      <c r="G216" s="378">
        <v>2279310</v>
      </c>
      <c r="H216" s="199"/>
      <c r="I216" s="199"/>
      <c r="J216" s="193">
        <f>'ODOMETERS Tekrit'!$C216+'ODOMETERS Tekrit'!$D216-D215-C215</f>
        <v>302</v>
      </c>
      <c r="K216" s="193">
        <f>'ODOMETERS Tekrit'!$F216+'ODOMETERS Tekrit'!$E216-E215-F215</f>
        <v>0</v>
      </c>
      <c r="L216" s="195">
        <f>'ODOMETERS Tekrit'!$G216+'ODOMETERS Tekrit'!$H216-H215-G215</f>
        <v>8</v>
      </c>
      <c r="M216" s="193">
        <f>SUM('ODOMETERS Tekrit'!$J216:$L216)</f>
        <v>310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200">
        <v>46185</v>
      </c>
      <c r="B217" s="199" t="s">
        <v>25</v>
      </c>
      <c r="C217" s="199">
        <v>2254910</v>
      </c>
      <c r="D217" s="199">
        <v>2582066</v>
      </c>
      <c r="E217" s="199">
        <v>2137911</v>
      </c>
      <c r="F217" s="199">
        <v>1457556</v>
      </c>
      <c r="G217" s="199">
        <v>2279331</v>
      </c>
      <c r="H217" s="199"/>
      <c r="I217" s="199"/>
      <c r="J217" s="193">
        <f>'ODOMETERS Tekrit'!$C217+'ODOMETERS Tekrit'!$D217-D216-C216</f>
        <v>264</v>
      </c>
      <c r="K217" s="193">
        <f>'ODOMETERS Tekrit'!$F217+'ODOMETERS Tekrit'!$E217-E216-F216</f>
        <v>0</v>
      </c>
      <c r="L217" s="195">
        <f>'ODOMETERS Tekrit'!$G217+'ODOMETERS Tekrit'!$H217-H216-G216</f>
        <v>21</v>
      </c>
      <c r="M217" s="193">
        <f>SUM('ODOMETERS Tekrit'!$J217:$L217)</f>
        <v>285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200">
        <v>46186</v>
      </c>
      <c r="B218" s="199"/>
      <c r="C218" s="199">
        <v>2254910</v>
      </c>
      <c r="D218" s="199">
        <v>2582717</v>
      </c>
      <c r="E218" s="199">
        <v>2137911</v>
      </c>
      <c r="F218" s="199">
        <v>1457556</v>
      </c>
      <c r="G218" s="199">
        <v>2279565</v>
      </c>
      <c r="H218" s="199"/>
      <c r="I218" s="199"/>
      <c r="J218" s="193">
        <f>'ODOMETERS Tekrit'!$C218+'ODOMETERS Tekrit'!$D218-D217-C217</f>
        <v>651</v>
      </c>
      <c r="K218" s="193">
        <f>'ODOMETERS Tekrit'!$F218+'ODOMETERS Tekrit'!$E218-E217-F217</f>
        <v>0</v>
      </c>
      <c r="L218" s="195">
        <f>'ODOMETERS Tekrit'!$G218+'ODOMETERS Tekrit'!$H218-H217-G217</f>
        <v>234</v>
      </c>
      <c r="M218" s="193">
        <f>SUM('ODOMETERS Tekrit'!$J218:$L218)</f>
        <v>885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200">
        <v>46187</v>
      </c>
      <c r="B219" s="199"/>
      <c r="C219" s="199">
        <v>2254910</v>
      </c>
      <c r="D219" s="199">
        <v>2583183</v>
      </c>
      <c r="E219" s="199">
        <v>2137911</v>
      </c>
      <c r="F219" s="199">
        <v>1457791</v>
      </c>
      <c r="G219" s="199">
        <v>2279627</v>
      </c>
      <c r="H219" s="199"/>
      <c r="I219" s="199"/>
      <c r="J219" s="193">
        <f>'ODOMETERS Tekrit'!$C219+'ODOMETERS Tekrit'!$D219-D218-C218</f>
        <v>466</v>
      </c>
      <c r="K219" s="193">
        <f>'ODOMETERS Tekrit'!$F219+'ODOMETERS Tekrit'!$E219-E218-F218</f>
        <v>235</v>
      </c>
      <c r="L219" s="195">
        <f>'ODOMETERS Tekrit'!$G219+'ODOMETERS Tekrit'!$H219-H218-G218</f>
        <v>62</v>
      </c>
      <c r="M219" s="193">
        <f>SUM('ODOMETERS Tekrit'!$J219:$L219)</f>
        <v>763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200">
        <v>46188</v>
      </c>
      <c r="B220" s="199"/>
      <c r="C220" s="199">
        <v>2254910</v>
      </c>
      <c r="D220" s="199">
        <v>2583234</v>
      </c>
      <c r="E220" s="199">
        <v>2137911</v>
      </c>
      <c r="F220" s="199">
        <v>1458542</v>
      </c>
      <c r="G220" s="199">
        <v>2279664</v>
      </c>
      <c r="H220" s="199"/>
      <c r="I220" s="199"/>
      <c r="J220" s="193">
        <f>'ODOMETERS Tekrit'!$C220+'ODOMETERS Tekrit'!$D220-D219-C219</f>
        <v>51</v>
      </c>
      <c r="K220" s="193">
        <f>'ODOMETERS Tekrit'!$F220+'ODOMETERS Tekrit'!$E220-E219-F219</f>
        <v>751</v>
      </c>
      <c r="L220" s="195">
        <f>'ODOMETERS Tekrit'!$G220+'ODOMETERS Tekrit'!$H220-H219-G219</f>
        <v>37</v>
      </c>
      <c r="M220" s="193">
        <f>SUM('ODOMETERS Tekrit'!$J220:$L220)</f>
        <v>839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200">
        <v>46189</v>
      </c>
      <c r="B221" s="199" t="s">
        <v>24</v>
      </c>
      <c r="C221" s="199">
        <v>2254910</v>
      </c>
      <c r="D221" s="199">
        <v>2583284</v>
      </c>
      <c r="E221" s="199">
        <v>2137911</v>
      </c>
      <c r="F221" s="199">
        <v>1458876</v>
      </c>
      <c r="G221" s="199">
        <v>2279719</v>
      </c>
      <c r="H221" s="199"/>
      <c r="I221" s="199"/>
      <c r="J221" s="193">
        <f>'ODOMETERS Tekrit'!$C221+'ODOMETERS Tekrit'!$D221-D220-C220</f>
        <v>50</v>
      </c>
      <c r="K221" s="193">
        <f>'ODOMETERS Tekrit'!$F221+'ODOMETERS Tekrit'!$E221-E220-F220</f>
        <v>334</v>
      </c>
      <c r="L221" s="195">
        <f>'ODOMETERS Tekrit'!$G221+'ODOMETERS Tekrit'!$H221-H220-G220</f>
        <v>55</v>
      </c>
      <c r="M221" s="193">
        <f>SUM('ODOMETERS Tekrit'!$J221:$L221)</f>
        <v>439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200">
        <v>46189</v>
      </c>
      <c r="B222" s="199" t="s">
        <v>25</v>
      </c>
      <c r="C222" s="199">
        <v>2254910</v>
      </c>
      <c r="D222" s="199">
        <v>2583523</v>
      </c>
      <c r="E222" s="199">
        <v>2137911</v>
      </c>
      <c r="F222" s="199">
        <v>1459088</v>
      </c>
      <c r="G222" s="199">
        <v>2279723</v>
      </c>
      <c r="H222" s="199"/>
      <c r="I222" s="199"/>
      <c r="J222" s="193">
        <f>'ODOMETERS Tekrit'!$C222+'ODOMETERS Tekrit'!$D222-D221-C221</f>
        <v>239</v>
      </c>
      <c r="K222" s="193">
        <f>'ODOMETERS Tekrit'!$F222+'ODOMETERS Tekrit'!$E222-E221-F221</f>
        <v>212</v>
      </c>
      <c r="L222" s="195">
        <f>'ODOMETERS Tekrit'!$G222+'ODOMETERS Tekrit'!$H222-H221-G221</f>
        <v>4</v>
      </c>
      <c r="M222" s="193">
        <f>SUM('ODOMETERS Tekrit'!$J222:$L222)</f>
        <v>455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200">
        <v>46190</v>
      </c>
      <c r="B223" s="199"/>
      <c r="C223" s="199">
        <v>2254910</v>
      </c>
      <c r="D223" s="199">
        <v>2583643</v>
      </c>
      <c r="E223" s="199">
        <v>2137911</v>
      </c>
      <c r="F223" s="199">
        <v>1459501</v>
      </c>
      <c r="G223" s="199">
        <v>2279764</v>
      </c>
      <c r="H223" s="199"/>
      <c r="I223" s="199"/>
      <c r="J223" s="193">
        <f>'ODOMETERS Tekrit'!$C223+'ODOMETERS Tekrit'!$D223-D222-C222</f>
        <v>120</v>
      </c>
      <c r="K223" s="193">
        <f>'ODOMETERS Tekrit'!$F223+'ODOMETERS Tekrit'!$E223-E222-F222</f>
        <v>413</v>
      </c>
      <c r="L223" s="195">
        <f>'ODOMETERS Tekrit'!$G223+'ODOMETERS Tekrit'!$H223-H222-G222</f>
        <v>41</v>
      </c>
      <c r="M223" s="193">
        <f>SUM('ODOMETERS Tekrit'!$J223:$L223)</f>
        <v>574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200">
        <v>46191</v>
      </c>
      <c r="B224" s="199"/>
      <c r="C224" s="199">
        <v>2254910</v>
      </c>
      <c r="D224" s="199">
        <v>2583690</v>
      </c>
      <c r="E224" s="199">
        <v>2137911</v>
      </c>
      <c r="F224" s="199">
        <v>1459972</v>
      </c>
      <c r="G224" s="199">
        <v>2279791</v>
      </c>
      <c r="H224" s="199"/>
      <c r="I224" s="199"/>
      <c r="J224" s="193">
        <f>'ODOMETERS Tekrit'!$C224+'ODOMETERS Tekrit'!$D224-D223-C223</f>
        <v>47</v>
      </c>
      <c r="K224" s="193">
        <f>'ODOMETERS Tekrit'!$F224+'ODOMETERS Tekrit'!$E224-E223-F223</f>
        <v>471</v>
      </c>
      <c r="L224" s="195">
        <f>'ODOMETERS Tekrit'!$G224+'ODOMETERS Tekrit'!$H224-H223-G223</f>
        <v>27</v>
      </c>
      <c r="M224" s="193">
        <f>SUM('ODOMETERS Tekrit'!$J224:$L224)</f>
        <v>545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200">
        <v>46192</v>
      </c>
      <c r="B225" s="199" t="s">
        <v>24</v>
      </c>
      <c r="C225" s="199">
        <v>2254910</v>
      </c>
      <c r="D225" s="199">
        <v>2584035</v>
      </c>
      <c r="E225" s="199">
        <v>2137911</v>
      </c>
      <c r="F225" s="199">
        <v>1460003</v>
      </c>
      <c r="G225" s="199">
        <v>2279839</v>
      </c>
      <c r="H225" s="199"/>
      <c r="I225" s="199"/>
      <c r="J225" s="193">
        <f>'ODOMETERS Tekrit'!$C225+'ODOMETERS Tekrit'!$D225-D224-C224</f>
        <v>345</v>
      </c>
      <c r="K225" s="193">
        <f>'ODOMETERS Tekrit'!$F225+'ODOMETERS Tekrit'!$E225-E224-F224</f>
        <v>31</v>
      </c>
      <c r="L225" s="195">
        <f>'ODOMETERS Tekrit'!$G225+'ODOMETERS Tekrit'!$H225-H224-G224</f>
        <v>48</v>
      </c>
      <c r="M225" s="193">
        <f>SUM('ODOMETERS Tekrit'!$J225:$L225)</f>
        <v>424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200">
        <v>46192</v>
      </c>
      <c r="B226" s="199" t="s">
        <v>25</v>
      </c>
      <c r="C226" s="199">
        <v>2254910</v>
      </c>
      <c r="D226" s="199">
        <v>2584118</v>
      </c>
      <c r="E226" s="199">
        <v>2137911</v>
      </c>
      <c r="F226" s="199">
        <v>1460011</v>
      </c>
      <c r="G226" s="199">
        <v>2279860</v>
      </c>
      <c r="H226" s="199"/>
      <c r="I226" s="199"/>
      <c r="J226" s="193">
        <f>'ODOMETERS Tekrit'!$C226+'ODOMETERS Tekrit'!$D226-D225-C225</f>
        <v>83</v>
      </c>
      <c r="K226" s="193">
        <f>'ODOMETERS Tekrit'!$F226+'ODOMETERS Tekrit'!$E226-E225-F225</f>
        <v>8</v>
      </c>
      <c r="L226" s="195">
        <f>'ODOMETERS Tekrit'!$G226+'ODOMETERS Tekrit'!$H226-H225-G225</f>
        <v>21</v>
      </c>
      <c r="M226" s="193">
        <f>SUM('ODOMETERS Tekrit'!$J226:$L226)</f>
        <v>112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200">
        <v>46193</v>
      </c>
      <c r="B227" s="199"/>
      <c r="C227" s="199">
        <v>2254910</v>
      </c>
      <c r="D227" s="199">
        <v>2584609</v>
      </c>
      <c r="E227" s="199">
        <v>2137911</v>
      </c>
      <c r="F227" s="199">
        <v>1460038</v>
      </c>
      <c r="G227" s="199">
        <v>2279915</v>
      </c>
      <c r="H227" s="199"/>
      <c r="I227" s="199"/>
      <c r="J227" s="193">
        <f>'ODOMETERS Tekrit'!$C227+'ODOMETERS Tekrit'!$D227-D226-C226</f>
        <v>491</v>
      </c>
      <c r="K227" s="193">
        <f>'ODOMETERS Tekrit'!$F227+'ODOMETERS Tekrit'!$E227-E226-F226</f>
        <v>27</v>
      </c>
      <c r="L227" s="195">
        <f>'ODOMETERS Tekrit'!$G227+'ODOMETERS Tekrit'!$H227-H226-G226</f>
        <v>55</v>
      </c>
      <c r="M227" s="193">
        <f>SUM('ODOMETERS Tekrit'!$J227:$L227)</f>
        <v>573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200">
        <v>46194</v>
      </c>
      <c r="B228" s="199"/>
      <c r="C228" s="199">
        <v>2254910</v>
      </c>
      <c r="D228" s="199">
        <v>2585212</v>
      </c>
      <c r="E228" s="199">
        <v>2137911</v>
      </c>
      <c r="F228" s="199">
        <v>1460038</v>
      </c>
      <c r="G228" s="199">
        <v>2280004</v>
      </c>
      <c r="H228" s="199"/>
      <c r="I228" s="199"/>
      <c r="J228" s="193">
        <f>'ODOMETERS Tekrit'!$C228+'ODOMETERS Tekrit'!$D228-D227-C227</f>
        <v>603</v>
      </c>
      <c r="K228" s="193">
        <f>'ODOMETERS Tekrit'!$F228+'ODOMETERS Tekrit'!$E228-E227-F227</f>
        <v>0</v>
      </c>
      <c r="L228" s="195">
        <f>'ODOMETERS Tekrit'!$G228+'ODOMETERS Tekrit'!$H228-H227-G227</f>
        <v>89</v>
      </c>
      <c r="M228" s="193">
        <f>SUM('ODOMETERS Tekrit'!$J228:$L228)</f>
        <v>692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200">
        <v>46195</v>
      </c>
      <c r="B229" s="199"/>
      <c r="C229" s="199">
        <v>2254910</v>
      </c>
      <c r="D229" s="199">
        <v>2586003</v>
      </c>
      <c r="E229" s="199">
        <v>2137911</v>
      </c>
      <c r="F229" s="199">
        <v>1460038</v>
      </c>
      <c r="G229" s="199">
        <v>2280019</v>
      </c>
      <c r="H229" s="199"/>
      <c r="I229" s="199"/>
      <c r="J229" s="193">
        <f>'ODOMETERS Tekrit'!$C229+'ODOMETERS Tekrit'!$D229-D228-C228</f>
        <v>791</v>
      </c>
      <c r="K229" s="193">
        <f>'ODOMETERS Tekrit'!$F229+'ODOMETERS Tekrit'!$E229-E228-F228</f>
        <v>0</v>
      </c>
      <c r="L229" s="195">
        <f>'ODOMETERS Tekrit'!$G229+'ODOMETERS Tekrit'!$H229-H228-G228</f>
        <v>15</v>
      </c>
      <c r="M229" s="193">
        <f>SUM('ODOMETERS Tekrit'!$J229:$L229)</f>
        <v>806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200">
        <v>46196</v>
      </c>
      <c r="B230" s="199"/>
      <c r="C230" s="199">
        <v>2254910</v>
      </c>
      <c r="D230" s="199">
        <v>2586198</v>
      </c>
      <c r="E230" s="199">
        <v>2137911</v>
      </c>
      <c r="F230" s="199">
        <v>1460333</v>
      </c>
      <c r="G230" s="199">
        <v>2280036</v>
      </c>
      <c r="H230" s="199"/>
      <c r="I230" s="199"/>
      <c r="J230" s="193">
        <f>'ODOMETERS Tekrit'!$C230+'ODOMETERS Tekrit'!$D230-D229-C229</f>
        <v>195</v>
      </c>
      <c r="K230" s="193">
        <f>'ODOMETERS Tekrit'!$F230+'ODOMETERS Tekrit'!$E230-E229-F229</f>
        <v>295</v>
      </c>
      <c r="L230" s="195">
        <f>'ODOMETERS Tekrit'!$G230+'ODOMETERS Tekrit'!$H230-H229-G229</f>
        <v>17</v>
      </c>
      <c r="M230" s="193">
        <f>SUM('ODOMETERS Tekrit'!$J230:$L230)</f>
        <v>507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200">
        <v>46197</v>
      </c>
      <c r="B231" s="199" t="s">
        <v>24</v>
      </c>
      <c r="C231" s="199">
        <v>2254910</v>
      </c>
      <c r="D231" s="199">
        <v>2586203</v>
      </c>
      <c r="E231" s="199">
        <v>2137911</v>
      </c>
      <c r="F231" s="199">
        <v>1460389</v>
      </c>
      <c r="G231" s="199">
        <v>2280036</v>
      </c>
      <c r="H231" s="199"/>
      <c r="I231" s="199"/>
      <c r="J231" s="193">
        <f>'ODOMETERS Tekrit'!$C231+'ODOMETERS Tekrit'!$D231-D230-C230</f>
        <v>5</v>
      </c>
      <c r="K231" s="193">
        <f>'ODOMETERS Tekrit'!$F231+'ODOMETERS Tekrit'!$E231-E230-F230</f>
        <v>56</v>
      </c>
      <c r="L231" s="195">
        <f>'ODOMETERS Tekrit'!$G231+'ODOMETERS Tekrit'!$H231-H230-G230</f>
        <v>0</v>
      </c>
      <c r="M231" s="193">
        <f>SUM('ODOMETERS Tekrit'!$J231:$L231)</f>
        <v>61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200">
        <v>46197</v>
      </c>
      <c r="B232" s="199" t="s">
        <v>25</v>
      </c>
      <c r="C232" s="199">
        <v>2254910</v>
      </c>
      <c r="D232" s="199">
        <v>2586237</v>
      </c>
      <c r="E232" s="199">
        <v>2137911</v>
      </c>
      <c r="F232" s="199">
        <v>1460851</v>
      </c>
      <c r="G232" s="199">
        <v>2280077</v>
      </c>
      <c r="H232" s="199"/>
      <c r="I232" s="199"/>
      <c r="J232" s="193">
        <f>'ODOMETERS Tekrit'!$C232+'ODOMETERS Tekrit'!$D232-D231-C231</f>
        <v>34</v>
      </c>
      <c r="K232" s="193">
        <f>'ODOMETERS Tekrit'!$F232+'ODOMETERS Tekrit'!$E232-E231-F231</f>
        <v>462</v>
      </c>
      <c r="L232" s="195">
        <f>'ODOMETERS Tekrit'!$G232+'ODOMETERS Tekrit'!$H232-H231-G231</f>
        <v>41</v>
      </c>
      <c r="M232" s="193">
        <f>SUM('ODOMETERS Tekrit'!$J232:$L232)</f>
        <v>537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200">
        <v>46198</v>
      </c>
      <c r="B233" s="199"/>
      <c r="C233" s="199">
        <v>2254910</v>
      </c>
      <c r="D233" s="199">
        <v>2586534</v>
      </c>
      <c r="E233" s="199">
        <v>2137911</v>
      </c>
      <c r="F233" s="199">
        <v>1461261</v>
      </c>
      <c r="G233" s="199">
        <v>2280131</v>
      </c>
      <c r="H233" s="199"/>
      <c r="I233" s="199"/>
      <c r="J233" s="193">
        <f>'ODOMETERS Tekrit'!$C233+'ODOMETERS Tekrit'!$D233-D232-C232</f>
        <v>297</v>
      </c>
      <c r="K233" s="193">
        <f>'ODOMETERS Tekrit'!$F233+'ODOMETERS Tekrit'!$E233-E232-F232</f>
        <v>410</v>
      </c>
      <c r="L233" s="195">
        <f>'ODOMETERS Tekrit'!$G233+'ODOMETERS Tekrit'!$H233-H232-G232</f>
        <v>54</v>
      </c>
      <c r="M233" s="193">
        <f>SUM('ODOMETERS Tekrit'!$J233:$L233)</f>
        <v>761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200">
        <v>46199</v>
      </c>
      <c r="B234" s="199"/>
      <c r="C234" s="199">
        <v>2254910</v>
      </c>
      <c r="D234" s="199">
        <v>2586711</v>
      </c>
      <c r="E234" s="199">
        <v>2137911</v>
      </c>
      <c r="F234" s="199">
        <v>1461791</v>
      </c>
      <c r="G234" s="199">
        <v>2280223</v>
      </c>
      <c r="H234" s="199"/>
      <c r="I234" s="199"/>
      <c r="J234" s="193">
        <f>'ODOMETERS Tekrit'!$C234+'ODOMETERS Tekrit'!$D234-D233-C233</f>
        <v>177</v>
      </c>
      <c r="K234" s="193">
        <f>'ODOMETERS Tekrit'!$F234+'ODOMETERS Tekrit'!$E234-E233-F233</f>
        <v>530</v>
      </c>
      <c r="L234" s="195">
        <f>'ODOMETERS Tekrit'!$G234+'ODOMETERS Tekrit'!$H234-H233-G233</f>
        <v>92</v>
      </c>
      <c r="M234" s="193">
        <f>SUM('ODOMETERS Tekrit'!$J234:$L234)</f>
        <v>799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200">
        <v>46200</v>
      </c>
      <c r="B235" s="199"/>
      <c r="C235" s="199">
        <v>2254910</v>
      </c>
      <c r="D235" s="199">
        <v>2586828</v>
      </c>
      <c r="E235" s="199">
        <v>2137911</v>
      </c>
      <c r="F235" s="199">
        <v>1462244</v>
      </c>
      <c r="G235" s="199">
        <v>2280288</v>
      </c>
      <c r="H235" s="199"/>
      <c r="I235" s="199"/>
      <c r="J235" s="193">
        <f>'ODOMETERS Tekrit'!$C235+'ODOMETERS Tekrit'!$D235-D234-C234</f>
        <v>117</v>
      </c>
      <c r="K235" s="193">
        <f>'ODOMETERS Tekrit'!$F235+'ODOMETERS Tekrit'!$E235-E234-F234</f>
        <v>453</v>
      </c>
      <c r="L235" s="195">
        <f>'ODOMETERS Tekrit'!$G235+'ODOMETERS Tekrit'!$H235-H234-G234</f>
        <v>65</v>
      </c>
      <c r="M235" s="193">
        <f>SUM('ODOMETERS Tekrit'!$J235:$L235)</f>
        <v>635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200">
        <v>46201</v>
      </c>
      <c r="B236" s="199"/>
      <c r="C236" s="199">
        <v>2254910</v>
      </c>
      <c r="D236" s="199">
        <v>2586856</v>
      </c>
      <c r="E236" s="199">
        <v>2137911</v>
      </c>
      <c r="F236" s="199">
        <v>1462767</v>
      </c>
      <c r="G236" s="199">
        <v>2280387</v>
      </c>
      <c r="H236" s="199"/>
      <c r="I236" s="199"/>
      <c r="J236" s="193">
        <f>'ODOMETERS Tekrit'!$C236+'ODOMETERS Tekrit'!$D236-D235-C235</f>
        <v>28</v>
      </c>
      <c r="K236" s="193">
        <f>'ODOMETERS Tekrit'!$F236+'ODOMETERS Tekrit'!$E236-E235-F235</f>
        <v>523</v>
      </c>
      <c r="L236" s="195">
        <f>'ODOMETERS Tekrit'!$G236+'ODOMETERS Tekrit'!$H236-H235-G235</f>
        <v>99</v>
      </c>
      <c r="M236" s="193">
        <f>SUM('ODOMETERS Tekrit'!$J236:$L236)</f>
        <v>650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200">
        <v>46202</v>
      </c>
      <c r="B237" s="199"/>
      <c r="C237" s="199">
        <v>2254910</v>
      </c>
      <c r="D237" s="199">
        <v>2586941</v>
      </c>
      <c r="E237" s="199">
        <v>2137911</v>
      </c>
      <c r="F237" s="199">
        <v>1463426</v>
      </c>
      <c r="G237" s="199">
        <v>2280441</v>
      </c>
      <c r="H237" s="199"/>
      <c r="I237" s="199"/>
      <c r="J237" s="193">
        <f>'ODOMETERS Tekrit'!$C237+'ODOMETERS Tekrit'!$D237-D236-C236</f>
        <v>85</v>
      </c>
      <c r="K237" s="193">
        <f>'ODOMETERS Tekrit'!$F237+'ODOMETERS Tekrit'!$E237-E236-F236</f>
        <v>659</v>
      </c>
      <c r="L237" s="195">
        <f>'ODOMETERS Tekrit'!$G237+'ODOMETERS Tekrit'!$H237-H236-G236</f>
        <v>54</v>
      </c>
      <c r="M237" s="193">
        <f>SUM('ODOMETERS Tekrit'!$J237:$L237)</f>
        <v>798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200">
        <v>46203</v>
      </c>
      <c r="B238" s="199"/>
      <c r="C238" s="199">
        <f>2254910</f>
        <v>2254910</v>
      </c>
      <c r="D238" s="199">
        <v>2587196</v>
      </c>
      <c r="E238" s="199">
        <v>2137911</v>
      </c>
      <c r="F238" s="199">
        <v>1463899</v>
      </c>
      <c r="G238" s="199">
        <v>2280485</v>
      </c>
      <c r="H238" s="199"/>
      <c r="I238" s="199"/>
      <c r="J238" s="193">
        <f>'ODOMETERS Tekrit'!$C238+'ODOMETERS Tekrit'!$D238-D237-C237</f>
        <v>255</v>
      </c>
      <c r="K238" s="193">
        <f>'ODOMETERS Tekrit'!$F238+'ODOMETERS Tekrit'!$E238-E237-F237</f>
        <v>473</v>
      </c>
      <c r="L238" s="195">
        <f>'ODOMETERS Tekrit'!$G238+'ODOMETERS Tekrit'!$H238-H237-G237</f>
        <v>44</v>
      </c>
      <c r="M238" s="193">
        <f>SUM('ODOMETERS Tekrit'!$J238:$L238)</f>
        <v>772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200">
        <v>46204</v>
      </c>
      <c r="B239" s="199"/>
      <c r="C239" s="199">
        <v>2254910</v>
      </c>
      <c r="D239" s="199">
        <v>2587424</v>
      </c>
      <c r="E239" s="199">
        <v>2137911</v>
      </c>
      <c r="F239" s="199">
        <v>1464274</v>
      </c>
      <c r="G239" s="199">
        <v>2280534</v>
      </c>
      <c r="H239" s="199"/>
      <c r="I239" s="199"/>
      <c r="J239" s="193">
        <f>'ODOMETERS Tekrit'!$C239+'ODOMETERS Tekrit'!$D239-D238-C238</f>
        <v>228</v>
      </c>
      <c r="K239" s="193">
        <f>'ODOMETERS Tekrit'!$F239+'ODOMETERS Tekrit'!$E239-E238-F238</f>
        <v>375</v>
      </c>
      <c r="L239" s="195">
        <f>'ODOMETERS Tekrit'!$G239+'ODOMETERS Tekrit'!$H239-H238-G238</f>
        <v>49</v>
      </c>
      <c r="M239" s="193">
        <f>SUM('ODOMETERS Tekrit'!$J239:$L239)</f>
        <v>652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200">
        <v>46205</v>
      </c>
      <c r="B240" s="199"/>
      <c r="C240" s="199">
        <v>2254910</v>
      </c>
      <c r="D240" s="199">
        <v>2587624</v>
      </c>
      <c r="E240" s="199">
        <v>2137911</v>
      </c>
      <c r="F240" s="199">
        <v>1464677</v>
      </c>
      <c r="G240" s="199">
        <v>2280535</v>
      </c>
      <c r="H240" s="199"/>
      <c r="I240" s="199"/>
      <c r="J240" s="193">
        <f>'ODOMETERS Tekrit'!$C240+'ODOMETERS Tekrit'!$D240-D239-C239</f>
        <v>200</v>
      </c>
      <c r="K240" s="193">
        <f>'ODOMETERS Tekrit'!$F240+'ODOMETERS Tekrit'!$E240-E239-F239</f>
        <v>403</v>
      </c>
      <c r="L240" s="195">
        <f>'ODOMETERS Tekrit'!$G240+'ODOMETERS Tekrit'!$H240-H239-G239</f>
        <v>1</v>
      </c>
      <c r="M240" s="193">
        <f>SUM('ODOMETERS Tekrit'!$J240:$L240)</f>
        <v>604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200">
        <v>46206</v>
      </c>
      <c r="B241" s="199"/>
      <c r="C241" s="199">
        <v>2254910</v>
      </c>
      <c r="D241" s="199">
        <v>2587737</v>
      </c>
      <c r="E241" s="199">
        <v>2137911</v>
      </c>
      <c r="F241" s="199">
        <v>1465287</v>
      </c>
      <c r="G241" s="199">
        <v>2280575</v>
      </c>
      <c r="H241" s="199"/>
      <c r="I241" s="199"/>
      <c r="J241" s="193">
        <f>'ODOMETERS Tekrit'!$C241+'ODOMETERS Tekrit'!$D241-D240-C240</f>
        <v>113</v>
      </c>
      <c r="K241" s="193">
        <f>'ODOMETERS Tekrit'!$F241+'ODOMETERS Tekrit'!$E241-E240-F240</f>
        <v>610</v>
      </c>
      <c r="L241" s="195">
        <f>'ODOMETERS Tekrit'!$G241+'ODOMETERS Tekrit'!$H241-H240-G240</f>
        <v>40</v>
      </c>
      <c r="M241" s="193">
        <f>SUM('ODOMETERS Tekrit'!$J241:$L241)</f>
        <v>763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200">
        <v>46207</v>
      </c>
      <c r="B242" s="199"/>
      <c r="C242" s="199">
        <v>2254910</v>
      </c>
      <c r="D242" s="199">
        <v>2588131</v>
      </c>
      <c r="E242" s="199">
        <v>2137911</v>
      </c>
      <c r="F242" s="199">
        <v>1465598</v>
      </c>
      <c r="G242" s="199">
        <v>2280631</v>
      </c>
      <c r="H242" s="199"/>
      <c r="I242" s="199"/>
      <c r="J242" s="193">
        <f>'ODOMETERS Tekrit'!$C242+'ODOMETERS Tekrit'!$D242-D241-C241</f>
        <v>394</v>
      </c>
      <c r="K242" s="193">
        <f>'ODOMETERS Tekrit'!$F242+'ODOMETERS Tekrit'!$E242-E241-F241</f>
        <v>311</v>
      </c>
      <c r="L242" s="195">
        <f>'ODOMETERS Tekrit'!$G242+'ODOMETERS Tekrit'!$H242-H241-G241</f>
        <v>56</v>
      </c>
      <c r="M242" s="193">
        <f>SUM('ODOMETERS Tekrit'!$J242:$L242)</f>
        <v>761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200">
        <v>46208</v>
      </c>
      <c r="B243" s="199"/>
      <c r="C243" s="199">
        <v>2254910</v>
      </c>
      <c r="D243" s="199">
        <v>2588314</v>
      </c>
      <c r="E243" s="199">
        <v>2137911</v>
      </c>
      <c r="F243" s="199">
        <v>1466308</v>
      </c>
      <c r="G243" s="199">
        <v>2280718</v>
      </c>
      <c r="H243" s="199"/>
      <c r="I243" s="199"/>
      <c r="J243" s="193">
        <f>'ODOMETERS Tekrit'!$C243+'ODOMETERS Tekrit'!$D243-D242-C242</f>
        <v>183</v>
      </c>
      <c r="K243" s="193">
        <f>'ODOMETERS Tekrit'!$F243+'ODOMETERS Tekrit'!$E243-E242-F242</f>
        <v>710</v>
      </c>
      <c r="L243" s="195">
        <f>'ODOMETERS Tekrit'!$G243+'ODOMETERS Tekrit'!$H243-H242-G242</f>
        <v>87</v>
      </c>
      <c r="M243" s="193">
        <f>SUM('ODOMETERS Tekrit'!$J243:$L243)</f>
        <v>980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200">
        <v>46209</v>
      </c>
      <c r="B244" s="199"/>
      <c r="C244" s="199">
        <v>2254910</v>
      </c>
      <c r="D244" s="199">
        <v>2588531</v>
      </c>
      <c r="E244" s="199">
        <v>2137911</v>
      </c>
      <c r="F244" s="199">
        <v>1466786</v>
      </c>
      <c r="G244" s="199">
        <v>2281041</v>
      </c>
      <c r="H244" s="199"/>
      <c r="I244" s="199"/>
      <c r="J244" s="193">
        <f>'ODOMETERS Tekrit'!$C244+'ODOMETERS Tekrit'!$D244-D243-C243</f>
        <v>217</v>
      </c>
      <c r="K244" s="193">
        <f>'ODOMETERS Tekrit'!$F244+'ODOMETERS Tekrit'!$E244-E243-F243</f>
        <v>478</v>
      </c>
      <c r="L244" s="195">
        <f>'ODOMETERS Tekrit'!$G244+'ODOMETERS Tekrit'!$H244-H243-G243</f>
        <v>323</v>
      </c>
      <c r="M244" s="193">
        <f>SUM('ODOMETERS Tekrit'!$J244:$L244)</f>
        <v>1018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200">
        <v>46210</v>
      </c>
      <c r="B245" s="199" t="s">
        <v>24</v>
      </c>
      <c r="C245" s="199">
        <v>2254910</v>
      </c>
      <c r="D245" s="199">
        <v>2588696</v>
      </c>
      <c r="E245" s="199">
        <v>2137911</v>
      </c>
      <c r="F245" s="199">
        <v>1467188</v>
      </c>
      <c r="G245" s="199">
        <v>2281053</v>
      </c>
      <c r="H245" s="199"/>
      <c r="I245" s="199"/>
      <c r="J245" s="193">
        <f>'ODOMETERS Tekrit'!$C245+'ODOMETERS Tekrit'!$D245-D244-C244</f>
        <v>165</v>
      </c>
      <c r="K245" s="193">
        <f>'ODOMETERS Tekrit'!$F245+'ODOMETERS Tekrit'!$E245-E244-F244</f>
        <v>402</v>
      </c>
      <c r="L245" s="195">
        <f>'ODOMETERS Tekrit'!$G245+'ODOMETERS Tekrit'!$H245-H244-G244</f>
        <v>12</v>
      </c>
      <c r="M245" s="193">
        <f>SUM('ODOMETERS Tekrit'!$J245:$L245)</f>
        <v>579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200">
        <v>46210</v>
      </c>
      <c r="B246" s="199" t="s">
        <v>25</v>
      </c>
      <c r="C246" s="199">
        <v>2254910</v>
      </c>
      <c r="D246" s="199">
        <v>2588722</v>
      </c>
      <c r="E246" s="199">
        <v>2137911</v>
      </c>
      <c r="F246" s="199">
        <v>1467322</v>
      </c>
      <c r="G246" s="199">
        <v>2281053</v>
      </c>
      <c r="H246" s="199"/>
      <c r="I246" s="199"/>
      <c r="J246" s="193">
        <f>'ODOMETERS Tekrit'!$C246+'ODOMETERS Tekrit'!$D246-D245-C245</f>
        <v>26</v>
      </c>
      <c r="K246" s="193">
        <f>'ODOMETERS Tekrit'!$F246+'ODOMETERS Tekrit'!$E246-E245-F245</f>
        <v>134</v>
      </c>
      <c r="L246" s="195">
        <f>'ODOMETERS Tekrit'!$G246+'ODOMETERS Tekrit'!$H246-H245-G245</f>
        <v>0</v>
      </c>
      <c r="M246" s="193">
        <f>SUM('ODOMETERS Tekrit'!$J246:$L246)</f>
        <v>160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200">
        <v>46211</v>
      </c>
      <c r="B247" s="199"/>
      <c r="C247" s="199">
        <v>2254910</v>
      </c>
      <c r="D247" s="199">
        <v>2588820</v>
      </c>
      <c r="E247" s="199">
        <v>2137911</v>
      </c>
      <c r="F247" s="199">
        <v>1467902</v>
      </c>
      <c r="G247" s="199">
        <v>2281060</v>
      </c>
      <c r="H247" s="199"/>
      <c r="I247" s="199"/>
      <c r="J247" s="193">
        <f>'ODOMETERS Tekrit'!$C247+'ODOMETERS Tekrit'!$D247-D246-C246</f>
        <v>98</v>
      </c>
      <c r="K247" s="193">
        <f>'ODOMETERS Tekrit'!$F247+'ODOMETERS Tekrit'!$E247-E246-F246</f>
        <v>580</v>
      </c>
      <c r="L247" s="195">
        <f>'ODOMETERS Tekrit'!$G247+'ODOMETERS Tekrit'!$H247-H246-G246</f>
        <v>7</v>
      </c>
      <c r="M247" s="193">
        <f>SUM('ODOMETERS Tekrit'!$J247:$L247)</f>
        <v>685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200">
        <v>46212</v>
      </c>
      <c r="B248" s="199"/>
      <c r="C248" s="199">
        <v>2254963</v>
      </c>
      <c r="D248" s="199">
        <v>2588888</v>
      </c>
      <c r="E248" s="199">
        <v>2138109</v>
      </c>
      <c r="F248" s="199">
        <v>1468244</v>
      </c>
      <c r="G248" s="199">
        <v>3894745</v>
      </c>
      <c r="H248" s="199"/>
      <c r="I248" s="199"/>
      <c r="J248" s="193">
        <f>'ODOMETERS Tekrit'!$C248+'ODOMETERS Tekrit'!$D248-D247-C247</f>
        <v>121</v>
      </c>
      <c r="K248" s="193">
        <f>'ODOMETERS Tekrit'!$F248+'ODOMETERS Tekrit'!$E248-E247-F247</f>
        <v>540</v>
      </c>
      <c r="L248" s="199">
        <f>Table_10[[#This Row],[Mezout A]]-3894725</f>
        <v>20</v>
      </c>
      <c r="M248" s="193">
        <f>SUM('ODOMETERS Tekrit'!$J248:$L248)</f>
        <v>681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200">
        <v>46213</v>
      </c>
      <c r="B249" s="199" t="s">
        <v>24</v>
      </c>
      <c r="C249" s="199">
        <v>2254963</v>
      </c>
      <c r="D249" s="199">
        <v>2589062</v>
      </c>
      <c r="E249" s="199">
        <v>2138109</v>
      </c>
      <c r="F249" s="199">
        <v>1468504</v>
      </c>
      <c r="G249" s="199">
        <v>3894763</v>
      </c>
      <c r="H249" s="199"/>
      <c r="I249" s="199"/>
      <c r="J249" s="193">
        <f>'ODOMETERS Tekrit'!$C249+'ODOMETERS Tekrit'!$D249-D248-C248</f>
        <v>174</v>
      </c>
      <c r="K249" s="193">
        <f>'ODOMETERS Tekrit'!$F249+'ODOMETERS Tekrit'!$E249-E248-F248</f>
        <v>260</v>
      </c>
      <c r="L249" s="195">
        <f>'ODOMETERS Tekrit'!$G249+'ODOMETERS Tekrit'!$H249-H248-G248</f>
        <v>18</v>
      </c>
      <c r="M249" s="193">
        <f>SUM('ODOMETERS Tekrit'!$J249:$L249)</f>
        <v>452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200">
        <v>46213</v>
      </c>
      <c r="B250" s="199" t="s">
        <v>25</v>
      </c>
      <c r="C250" s="199">
        <v>2254963</v>
      </c>
      <c r="D250" s="199">
        <v>2589113</v>
      </c>
      <c r="E250" s="199">
        <v>2138109</v>
      </c>
      <c r="F250" s="199">
        <v>1468701</v>
      </c>
      <c r="G250" s="199">
        <v>3894771</v>
      </c>
      <c r="H250" s="199"/>
      <c r="I250" s="199"/>
      <c r="J250" s="193">
        <f>'ODOMETERS Tekrit'!$C250+'ODOMETERS Tekrit'!$D250-D249-C249</f>
        <v>51</v>
      </c>
      <c r="K250" s="193">
        <f>'ODOMETERS Tekrit'!$F250+'ODOMETERS Tekrit'!$E250-E249-F249</f>
        <v>197</v>
      </c>
      <c r="L250" s="195">
        <f>'ODOMETERS Tekrit'!$G250+'ODOMETERS Tekrit'!$H250-H249-G249</f>
        <v>8</v>
      </c>
      <c r="M250" s="193">
        <f>SUM('ODOMETERS Tekrit'!$J250:$L250)</f>
        <v>256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200">
        <v>46214</v>
      </c>
      <c r="B251" s="199"/>
      <c r="C251" s="199">
        <v>2254963</v>
      </c>
      <c r="D251" s="199">
        <v>2589365</v>
      </c>
      <c r="E251" s="199">
        <v>2138109</v>
      </c>
      <c r="F251" s="199">
        <v>1469145</v>
      </c>
      <c r="G251" s="199">
        <v>3894807</v>
      </c>
      <c r="H251" s="199"/>
      <c r="I251" s="199"/>
      <c r="J251" s="193">
        <f>'ODOMETERS Tekrit'!$C251+'ODOMETERS Tekrit'!$D251-D250-C250</f>
        <v>252</v>
      </c>
      <c r="K251" s="193">
        <f>'ODOMETERS Tekrit'!$F251+'ODOMETERS Tekrit'!$E251-E250-F250</f>
        <v>444</v>
      </c>
      <c r="L251" s="195">
        <f>'ODOMETERS Tekrit'!$G251+'ODOMETERS Tekrit'!$H251-H250-G250</f>
        <v>36</v>
      </c>
      <c r="M251" s="193">
        <f>SUM('ODOMETERS Tekrit'!$J251:$L251)</f>
        <v>732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200">
        <v>46215</v>
      </c>
      <c r="B252" s="199"/>
      <c r="C252" s="199">
        <v>2254963</v>
      </c>
      <c r="D252" s="199">
        <v>2589610</v>
      </c>
      <c r="E252" s="199">
        <v>2138109</v>
      </c>
      <c r="F252" s="199">
        <v>1469624</v>
      </c>
      <c r="G252" s="199">
        <v>3894873</v>
      </c>
      <c r="H252" s="199"/>
      <c r="I252" s="199"/>
      <c r="J252" s="193">
        <f>'ODOMETERS Tekrit'!$C252+'ODOMETERS Tekrit'!$D252-D251-C251</f>
        <v>245</v>
      </c>
      <c r="K252" s="193">
        <f>'ODOMETERS Tekrit'!$F252+'ODOMETERS Tekrit'!$E252-E251-F251</f>
        <v>479</v>
      </c>
      <c r="L252" s="195">
        <f>'ODOMETERS Tekrit'!$G252+'ODOMETERS Tekrit'!$H252-H251-G251</f>
        <v>66</v>
      </c>
      <c r="M252" s="193">
        <f>SUM('ODOMETERS Tekrit'!$J252:$L252)</f>
        <v>790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200">
        <v>46216</v>
      </c>
      <c r="B253" s="199"/>
      <c r="C253" s="199">
        <v>2254963</v>
      </c>
      <c r="D253" s="199">
        <v>2589876</v>
      </c>
      <c r="E253" s="199">
        <v>2138109</v>
      </c>
      <c r="F253" s="199">
        <v>1470102</v>
      </c>
      <c r="G253" s="199">
        <v>3894909</v>
      </c>
      <c r="H253" s="199"/>
      <c r="I253" s="199"/>
      <c r="J253" s="193">
        <f>'ODOMETERS Tekrit'!$C253+'ODOMETERS Tekrit'!$D253-D252-C252</f>
        <v>266</v>
      </c>
      <c r="K253" s="193">
        <f>'ODOMETERS Tekrit'!$F253+'ODOMETERS Tekrit'!$E253-E252-F252</f>
        <v>478</v>
      </c>
      <c r="L253" s="195">
        <f>'ODOMETERS Tekrit'!$G253+'ODOMETERS Tekrit'!$H253-H252-G252</f>
        <v>36</v>
      </c>
      <c r="M253" s="193">
        <f>SUM('ODOMETERS Tekrit'!$J253:$L253)</f>
        <v>780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37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380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2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2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2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2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2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2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2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2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2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2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2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2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2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2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2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2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2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2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2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2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2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2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2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2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2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2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2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2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2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2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2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2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2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2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2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2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2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2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2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2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2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2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2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2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2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2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2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2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2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2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2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2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2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2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2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2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2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2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2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2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2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2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2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2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2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2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2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2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2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2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2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2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2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2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2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2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2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2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2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2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2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2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2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2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2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2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2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2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2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2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2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2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2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2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2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2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2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2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2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2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2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2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2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2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2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2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2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2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2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2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2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2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2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2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2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2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2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2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2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2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2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2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2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2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2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2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2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2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2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2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2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2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2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2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2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2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2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2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2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2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2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2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2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2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2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2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2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2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2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2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2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2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2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2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2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2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2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2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2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2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2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2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2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2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2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2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2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2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2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2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2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2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2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2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2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2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2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2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2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2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2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2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2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2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2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2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2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2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2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2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2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2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2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2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2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2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2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2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2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2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2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2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2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2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2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2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2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2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2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2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2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2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2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2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2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2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2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2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2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2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2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2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2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2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2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2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2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2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2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2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2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2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2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2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2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2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2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2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2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2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2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2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2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2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2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2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2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2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2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2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2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2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2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2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2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2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2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2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2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2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2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2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2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2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2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2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2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2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2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2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2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2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2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2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2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2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2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2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2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2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2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2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2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2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2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2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2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2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2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2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2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2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2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2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2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2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2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2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2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2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2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2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2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2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2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2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2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2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2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2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2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2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2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2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2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2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2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2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2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2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2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2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2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2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2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2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2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2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2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2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2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2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2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2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2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2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2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2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2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2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2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2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2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2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2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2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2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2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2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2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2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2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2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2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2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2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2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2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2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2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2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2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2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2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2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2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2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2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2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2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2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2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2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2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2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2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2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2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2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2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2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2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2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2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2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2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2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2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2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2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2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2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2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2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2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2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2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2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2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2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2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2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2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2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2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2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2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2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2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2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2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2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2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2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2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2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2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2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2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2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2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2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2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2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2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2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2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2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2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2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2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2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2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2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2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2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2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2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2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2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2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2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2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2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2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2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2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2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2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2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2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2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2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2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2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2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2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2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2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2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2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2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2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2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2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2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2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2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2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2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2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2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2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2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2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2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2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2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2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2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2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2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2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2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2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2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2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2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2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2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2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2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2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2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2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2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2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2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2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2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2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2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2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2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2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2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2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2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2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2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2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2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2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2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2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2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2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2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2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2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2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2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2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2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2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2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2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2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2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2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2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2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2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2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2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2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2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2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2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2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2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2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2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2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2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2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2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2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2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2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2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2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2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2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2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2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2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2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2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2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2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2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2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2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2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2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2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2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2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2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2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2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2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2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2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2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2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2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2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2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2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2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2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2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2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2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2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2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2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2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2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2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2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2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2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2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2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2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2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2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2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2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2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2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2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2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2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2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2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2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2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2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2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2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2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2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2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25" customHeigh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25" customHeigh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25" customHeigh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25" customHeigh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25" customHeigh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25" customHeigh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25" customHeigh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25" customHeigh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" customHeigh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</row>
    <row r="1002" spans="1:26" ht="15" customHeigh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</row>
    <row r="1003" spans="1:26" ht="15" customHeigh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</row>
    <row r="1004" spans="1:26" ht="15" customHeigh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</row>
    <row r="1005" spans="1:26" ht="15" customHeigh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</row>
    <row r="1006" spans="1:26" ht="15" customHeigh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</row>
    <row r="1007" spans="1:26" ht="15" customHeigh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</row>
    <row r="1008" spans="1:26" ht="15" customHeigh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</row>
    <row r="1009" spans="1:13" ht="15" customHeigh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</row>
    <row r="1010" spans="1:13" ht="15" customHeight="1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</row>
    <row r="1011" spans="1:13" ht="15" customHeight="1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</row>
  </sheetData>
  <mergeCells count="4">
    <mergeCell ref="N7:N8"/>
    <mergeCell ref="N16:N17"/>
    <mergeCell ref="N21:N22"/>
    <mergeCell ref="N25:N26"/>
  </mergeCells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Z1000"/>
  <sheetViews>
    <sheetView workbookViewId="0">
      <pane ySplit="1" topLeftCell="A2" activePane="bottomLeft" state="frozen"/>
      <selection pane="bottomLeft"/>
    </sheetView>
  </sheetViews>
  <sheetFormatPr defaultColWidth="14.44140625" defaultRowHeight="15" customHeight="1" x14ac:dyDescent="0.3"/>
  <cols>
    <col min="1" max="1" width="33.6640625" customWidth="1"/>
    <col min="2" max="2" width="11.5546875" customWidth="1"/>
    <col min="3" max="3" width="11.33203125" customWidth="1"/>
    <col min="4" max="4" width="13.5546875" customWidth="1"/>
    <col min="5" max="5" width="13.109375" customWidth="1"/>
    <col min="6" max="6" width="8.33203125" customWidth="1"/>
    <col min="7" max="7" width="8.88671875" customWidth="1"/>
    <col min="8" max="8" width="8.6640625" customWidth="1"/>
    <col min="9" max="9" width="33.6640625" customWidth="1"/>
    <col min="10" max="10" width="12.109375" customWidth="1"/>
    <col min="11" max="11" width="16.33203125" customWidth="1"/>
    <col min="12" max="25" width="8.6640625" customWidth="1"/>
  </cols>
  <sheetData>
    <row r="1" spans="1:26" x14ac:dyDescent="0.3">
      <c r="A1" s="102" t="s">
        <v>111</v>
      </c>
      <c r="B1" s="103" t="s">
        <v>112</v>
      </c>
      <c r="C1" s="103" t="s">
        <v>113</v>
      </c>
      <c r="D1" s="103" t="s">
        <v>114</v>
      </c>
      <c r="E1" s="103" t="s">
        <v>106</v>
      </c>
      <c r="F1" s="104" t="s">
        <v>1</v>
      </c>
      <c r="G1" s="105"/>
      <c r="H1" s="102" t="s">
        <v>9</v>
      </c>
      <c r="I1" s="153" t="s">
        <v>115</v>
      </c>
      <c r="J1" s="103" t="s">
        <v>116</v>
      </c>
      <c r="K1" s="154" t="s">
        <v>117</v>
      </c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x14ac:dyDescent="0.3">
      <c r="A2" s="106"/>
      <c r="B2" s="107"/>
      <c r="C2" s="107"/>
      <c r="D2" s="107"/>
      <c r="E2" s="108"/>
      <c r="F2" s="155"/>
      <c r="G2" s="110"/>
      <c r="H2" s="99"/>
      <c r="I2" s="156"/>
      <c r="J2" s="107"/>
      <c r="K2" s="157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5"/>
    </row>
    <row r="3" spans="1:26" x14ac:dyDescent="0.3">
      <c r="A3" s="106" t="s">
        <v>119</v>
      </c>
      <c r="B3" s="107"/>
      <c r="C3" s="107"/>
      <c r="D3" s="107"/>
      <c r="E3" s="108">
        <v>6</v>
      </c>
      <c r="F3" s="109" t="s">
        <v>191</v>
      </c>
      <c r="G3" s="110"/>
      <c r="H3" s="99"/>
      <c r="I3" s="156"/>
      <c r="J3" s="107"/>
      <c r="K3" s="157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5"/>
    </row>
    <row r="4" spans="1:26" x14ac:dyDescent="0.3">
      <c r="A4" s="106" t="s">
        <v>120</v>
      </c>
      <c r="B4" s="107"/>
      <c r="C4" s="107"/>
      <c r="D4" s="107"/>
      <c r="E4" s="108">
        <v>8</v>
      </c>
      <c r="F4" s="109" t="s">
        <v>191</v>
      </c>
      <c r="G4" s="110"/>
      <c r="H4" s="99"/>
      <c r="I4" s="156"/>
      <c r="J4" s="107"/>
      <c r="K4" s="157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5"/>
    </row>
    <row r="5" spans="1:26" x14ac:dyDescent="0.3">
      <c r="A5" s="106" t="s">
        <v>122</v>
      </c>
      <c r="B5" s="107"/>
      <c r="C5" s="107"/>
      <c r="D5" s="107"/>
      <c r="E5" s="108">
        <v>6.5</v>
      </c>
      <c r="F5" s="109" t="s">
        <v>191</v>
      </c>
      <c r="G5" s="110"/>
      <c r="H5" s="99"/>
      <c r="I5" s="156"/>
      <c r="J5" s="107"/>
      <c r="K5" s="157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5"/>
    </row>
    <row r="6" spans="1:26" x14ac:dyDescent="0.3">
      <c r="A6" s="106" t="s">
        <v>123</v>
      </c>
      <c r="B6" s="107"/>
      <c r="C6" s="107"/>
      <c r="D6" s="107"/>
      <c r="E6" s="108">
        <v>8</v>
      </c>
      <c r="F6" s="109" t="s">
        <v>191</v>
      </c>
      <c r="G6" s="110"/>
      <c r="H6" s="99"/>
      <c r="I6" s="156"/>
      <c r="J6" s="107"/>
      <c r="K6" s="157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5"/>
    </row>
    <row r="7" spans="1:26" x14ac:dyDescent="0.3">
      <c r="A7" s="106"/>
      <c r="B7" s="107"/>
      <c r="C7" s="107"/>
      <c r="D7" s="107"/>
      <c r="E7" s="108"/>
      <c r="F7" s="109" t="s">
        <v>191</v>
      </c>
      <c r="G7" s="110"/>
      <c r="H7" s="99"/>
      <c r="I7" s="156"/>
      <c r="J7" s="107"/>
      <c r="K7" s="157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5"/>
    </row>
    <row r="8" spans="1:26" x14ac:dyDescent="0.3">
      <c r="A8" s="106" t="s">
        <v>125</v>
      </c>
      <c r="B8" s="107"/>
      <c r="C8" s="107"/>
      <c r="D8" s="107"/>
      <c r="E8" s="108">
        <v>2.7</v>
      </c>
      <c r="F8" s="109" t="s">
        <v>191</v>
      </c>
      <c r="G8" s="110"/>
      <c r="H8" s="99"/>
      <c r="I8" s="156"/>
      <c r="J8" s="107"/>
      <c r="K8" s="157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5"/>
    </row>
    <row r="9" spans="1:26" x14ac:dyDescent="0.3">
      <c r="A9" s="106"/>
      <c r="B9" s="107"/>
      <c r="C9" s="107"/>
      <c r="D9" s="107"/>
      <c r="E9" s="108"/>
      <c r="F9" s="109" t="s">
        <v>191</v>
      </c>
      <c r="G9" s="110"/>
      <c r="H9" s="99"/>
      <c r="I9" s="156"/>
      <c r="J9" s="107"/>
      <c r="K9" s="157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5"/>
    </row>
    <row r="10" spans="1:26" x14ac:dyDescent="0.3">
      <c r="A10" s="106" t="s">
        <v>128</v>
      </c>
      <c r="B10" s="107"/>
      <c r="C10" s="107"/>
      <c r="D10" s="107"/>
      <c r="E10" s="108">
        <v>1</v>
      </c>
      <c r="F10" s="109" t="s">
        <v>191</v>
      </c>
      <c r="G10" s="110"/>
      <c r="H10" s="99"/>
      <c r="I10" s="156"/>
      <c r="J10" s="107"/>
      <c r="K10" s="157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5"/>
    </row>
    <row r="11" spans="1:26" x14ac:dyDescent="0.3">
      <c r="A11" s="106"/>
      <c r="B11" s="107"/>
      <c r="C11" s="107"/>
      <c r="D11" s="107"/>
      <c r="E11" s="108"/>
      <c r="F11" s="109" t="s">
        <v>191</v>
      </c>
      <c r="G11" s="110"/>
      <c r="H11" s="99"/>
      <c r="I11" s="156"/>
      <c r="J11" s="107"/>
      <c r="K11" s="157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5"/>
    </row>
    <row r="12" spans="1:26" x14ac:dyDescent="0.3">
      <c r="A12" s="106" t="s">
        <v>129</v>
      </c>
      <c r="B12" s="107"/>
      <c r="C12" s="107"/>
      <c r="D12" s="107"/>
      <c r="E12" s="108">
        <v>8</v>
      </c>
      <c r="F12" s="109" t="s">
        <v>191</v>
      </c>
      <c r="G12" s="110"/>
      <c r="H12" s="99"/>
      <c r="I12" s="156"/>
      <c r="J12" s="107"/>
      <c r="K12" s="157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5"/>
    </row>
    <row r="13" spans="1:26" x14ac:dyDescent="0.3">
      <c r="A13" s="106" t="s">
        <v>118</v>
      </c>
      <c r="B13" s="107"/>
      <c r="C13" s="107"/>
      <c r="D13" s="107"/>
      <c r="E13" s="108">
        <v>8</v>
      </c>
      <c r="F13" s="109" t="s">
        <v>191</v>
      </c>
      <c r="G13" s="110"/>
      <c r="H13" s="99"/>
      <c r="I13" s="156"/>
      <c r="J13" s="107"/>
      <c r="K13" s="157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5"/>
    </row>
    <row r="14" spans="1:26" x14ac:dyDescent="0.3">
      <c r="A14" s="106" t="s">
        <v>131</v>
      </c>
      <c r="B14" s="107"/>
      <c r="C14" s="107"/>
      <c r="D14" s="107"/>
      <c r="E14" s="108">
        <v>5</v>
      </c>
      <c r="F14" s="109" t="s">
        <v>191</v>
      </c>
      <c r="G14" s="110"/>
      <c r="H14" s="99"/>
      <c r="I14" s="156"/>
      <c r="J14" s="107"/>
      <c r="K14" s="157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5"/>
    </row>
    <row r="15" spans="1:26" x14ac:dyDescent="0.3">
      <c r="A15" s="106" t="s">
        <v>132</v>
      </c>
      <c r="B15" s="107"/>
      <c r="C15" s="107"/>
      <c r="D15" s="107"/>
      <c r="E15" s="108">
        <v>5</v>
      </c>
      <c r="F15" s="109" t="s">
        <v>191</v>
      </c>
      <c r="G15" s="110"/>
      <c r="H15" s="99"/>
      <c r="I15" s="156"/>
      <c r="J15" s="107"/>
      <c r="K15" s="157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5"/>
    </row>
    <row r="16" spans="1:26" x14ac:dyDescent="0.3">
      <c r="A16" s="106"/>
      <c r="B16" s="107"/>
      <c r="C16" s="107"/>
      <c r="D16" s="107"/>
      <c r="E16" s="108"/>
      <c r="F16" s="109" t="s">
        <v>191</v>
      </c>
      <c r="G16" s="110"/>
      <c r="H16" s="99"/>
      <c r="I16" s="156"/>
      <c r="J16" s="107"/>
      <c r="K16" s="157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5"/>
    </row>
    <row r="17" spans="1:26" x14ac:dyDescent="0.3">
      <c r="A17" s="106" t="s">
        <v>133</v>
      </c>
      <c r="B17" s="107"/>
      <c r="C17" s="107"/>
      <c r="D17" s="107"/>
      <c r="E17" s="108">
        <v>6</v>
      </c>
      <c r="F17" s="109" t="s">
        <v>191</v>
      </c>
      <c r="G17" s="110"/>
      <c r="H17" s="99"/>
      <c r="I17" s="156"/>
      <c r="J17" s="107"/>
      <c r="K17" s="157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5"/>
    </row>
    <row r="18" spans="1:26" x14ac:dyDescent="0.3">
      <c r="A18" s="106" t="s">
        <v>130</v>
      </c>
      <c r="B18" s="107"/>
      <c r="C18" s="107"/>
      <c r="D18" s="107"/>
      <c r="E18" s="108">
        <v>6</v>
      </c>
      <c r="F18" s="109" t="s">
        <v>191</v>
      </c>
      <c r="G18" s="110"/>
      <c r="H18" s="99"/>
      <c r="I18" s="156"/>
      <c r="J18" s="107"/>
      <c r="K18" s="157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5"/>
    </row>
    <row r="19" spans="1:26" x14ac:dyDescent="0.3">
      <c r="A19" s="106" t="s">
        <v>134</v>
      </c>
      <c r="B19" s="107"/>
      <c r="C19" s="107"/>
      <c r="D19" s="107"/>
      <c r="E19" s="108"/>
      <c r="F19" s="109" t="s">
        <v>191</v>
      </c>
      <c r="G19" s="110"/>
      <c r="H19" s="99"/>
      <c r="I19" s="156"/>
      <c r="J19" s="107"/>
      <c r="K19" s="157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5"/>
    </row>
    <row r="20" spans="1:26" x14ac:dyDescent="0.3">
      <c r="A20" s="106" t="s">
        <v>135</v>
      </c>
      <c r="B20" s="107"/>
      <c r="C20" s="107"/>
      <c r="D20" s="107"/>
      <c r="E20" s="108">
        <f>6*4</f>
        <v>24</v>
      </c>
      <c r="F20" s="109" t="s">
        <v>191</v>
      </c>
      <c r="G20" s="110"/>
      <c r="H20" s="99"/>
      <c r="I20" s="156"/>
      <c r="J20" s="107"/>
      <c r="K20" s="157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5"/>
    </row>
    <row r="21" spans="1:26" x14ac:dyDescent="0.3">
      <c r="A21" s="106" t="s">
        <v>136</v>
      </c>
      <c r="B21" s="107"/>
      <c r="C21" s="107"/>
      <c r="D21" s="107"/>
      <c r="E21" s="108">
        <f>6*4</f>
        <v>24</v>
      </c>
      <c r="F21" s="109" t="s">
        <v>191</v>
      </c>
      <c r="G21" s="110"/>
      <c r="H21" s="99"/>
      <c r="I21" s="156"/>
      <c r="J21" s="107"/>
      <c r="K21" s="157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5"/>
    </row>
    <row r="22" spans="1:26" x14ac:dyDescent="0.3">
      <c r="A22" s="106"/>
      <c r="B22" s="107"/>
      <c r="C22" s="107"/>
      <c r="D22" s="107"/>
      <c r="E22" s="108"/>
      <c r="F22" s="109" t="s">
        <v>191</v>
      </c>
      <c r="G22" s="110"/>
      <c r="H22" s="99"/>
      <c r="I22" s="156"/>
      <c r="J22" s="107"/>
      <c r="K22" s="157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5"/>
    </row>
    <row r="23" spans="1:26" x14ac:dyDescent="0.3">
      <c r="A23" s="106"/>
      <c r="B23" s="107"/>
      <c r="C23" s="107"/>
      <c r="D23" s="107"/>
      <c r="E23" s="108"/>
      <c r="F23" s="109" t="s">
        <v>191</v>
      </c>
      <c r="G23" s="110"/>
      <c r="H23" s="99"/>
      <c r="I23" s="156"/>
      <c r="J23" s="107"/>
      <c r="K23" s="157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5"/>
    </row>
    <row r="24" spans="1:26" x14ac:dyDescent="0.3">
      <c r="A24" s="106" t="s">
        <v>127</v>
      </c>
      <c r="B24" s="107"/>
      <c r="C24" s="107"/>
      <c r="D24" s="107"/>
      <c r="E24" s="108">
        <v>2.7</v>
      </c>
      <c r="F24" s="109" t="s">
        <v>191</v>
      </c>
      <c r="G24" s="110"/>
      <c r="H24" s="99"/>
      <c r="I24" s="156"/>
      <c r="J24" s="107"/>
      <c r="K24" s="157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5"/>
    </row>
    <row r="25" spans="1:26" x14ac:dyDescent="0.3">
      <c r="A25" s="106" t="s">
        <v>121</v>
      </c>
      <c r="B25" s="107"/>
      <c r="C25" s="107"/>
      <c r="D25" s="107"/>
      <c r="E25" s="108">
        <v>2.7</v>
      </c>
      <c r="F25" s="109" t="s">
        <v>191</v>
      </c>
      <c r="G25" s="110"/>
      <c r="H25" s="99"/>
      <c r="I25" s="156"/>
      <c r="J25" s="107"/>
      <c r="K25" s="157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5"/>
    </row>
    <row r="26" spans="1:26" x14ac:dyDescent="0.3">
      <c r="A26" s="106" t="s">
        <v>124</v>
      </c>
      <c r="B26" s="107"/>
      <c r="C26" s="107"/>
      <c r="D26" s="107"/>
      <c r="E26" s="108">
        <v>2.7</v>
      </c>
      <c r="F26" s="109" t="s">
        <v>191</v>
      </c>
      <c r="G26" s="110"/>
      <c r="H26" s="99"/>
      <c r="I26" s="156"/>
      <c r="J26" s="107"/>
      <c r="K26" s="157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5"/>
    </row>
    <row r="27" spans="1:26" x14ac:dyDescent="0.3">
      <c r="A27" s="106"/>
      <c r="B27" s="107"/>
      <c r="C27" s="107"/>
      <c r="D27" s="107"/>
      <c r="E27" s="108"/>
      <c r="F27" s="109" t="s">
        <v>191</v>
      </c>
      <c r="G27" s="110"/>
      <c r="H27" s="99"/>
      <c r="I27" s="156"/>
      <c r="J27" s="107"/>
      <c r="K27" s="157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5"/>
    </row>
    <row r="28" spans="1:26" x14ac:dyDescent="0.3">
      <c r="A28" s="106"/>
      <c r="B28" s="107"/>
      <c r="C28" s="107"/>
      <c r="D28" s="107"/>
      <c r="E28" s="108"/>
      <c r="F28" s="109" t="s">
        <v>191</v>
      </c>
      <c r="G28" s="110"/>
      <c r="H28" s="99"/>
      <c r="I28" s="156"/>
      <c r="J28" s="107"/>
      <c r="K28" s="157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5"/>
    </row>
    <row r="29" spans="1:26" x14ac:dyDescent="0.3">
      <c r="A29" s="106"/>
      <c r="B29" s="107"/>
      <c r="C29" s="107"/>
      <c r="D29" s="107"/>
      <c r="E29" s="108"/>
      <c r="F29" s="109" t="s">
        <v>191</v>
      </c>
      <c r="G29" s="110"/>
      <c r="H29" s="99"/>
      <c r="I29" s="156"/>
      <c r="J29" s="107"/>
      <c r="K29" s="157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5"/>
    </row>
    <row r="30" spans="1:26" x14ac:dyDescent="0.3">
      <c r="A30" s="106" t="s">
        <v>139</v>
      </c>
      <c r="B30" s="107"/>
      <c r="C30" s="107"/>
      <c r="D30" s="107"/>
      <c r="E30" s="108">
        <v>4</v>
      </c>
      <c r="F30" s="109" t="s">
        <v>191</v>
      </c>
      <c r="G30" s="110"/>
      <c r="H30" s="99"/>
      <c r="I30" s="156"/>
      <c r="J30" s="107"/>
      <c r="K30" s="157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5"/>
    </row>
    <row r="31" spans="1:26" x14ac:dyDescent="0.3">
      <c r="A31" s="106" t="s">
        <v>140</v>
      </c>
      <c r="B31" s="107"/>
      <c r="C31" s="107"/>
      <c r="D31" s="107"/>
      <c r="E31" s="108"/>
      <c r="F31" s="109" t="s">
        <v>191</v>
      </c>
      <c r="G31" s="110"/>
      <c r="H31" s="99"/>
      <c r="I31" s="156"/>
      <c r="J31" s="107"/>
      <c r="K31" s="157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5"/>
    </row>
    <row r="32" spans="1:26" x14ac:dyDescent="0.3">
      <c r="A32" s="106" t="s">
        <v>141</v>
      </c>
      <c r="B32" s="107"/>
      <c r="C32" s="107"/>
      <c r="D32" s="107"/>
      <c r="E32" s="108">
        <v>4</v>
      </c>
      <c r="F32" s="109" t="s">
        <v>191</v>
      </c>
      <c r="G32" s="110"/>
      <c r="H32" s="99"/>
      <c r="I32" s="156"/>
      <c r="J32" s="107"/>
      <c r="K32" s="157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5"/>
    </row>
    <row r="33" spans="1:26" x14ac:dyDescent="0.3">
      <c r="A33" s="106" t="s">
        <v>142</v>
      </c>
      <c r="B33" s="107"/>
      <c r="C33" s="107"/>
      <c r="D33" s="107"/>
      <c r="E33" s="108"/>
      <c r="F33" s="109" t="s">
        <v>191</v>
      </c>
      <c r="G33" s="110"/>
      <c r="H33" s="99"/>
      <c r="I33" s="156"/>
      <c r="J33" s="107"/>
      <c r="K33" s="157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5"/>
    </row>
    <row r="34" spans="1:26" x14ac:dyDescent="0.3">
      <c r="A34" s="106" t="s">
        <v>143</v>
      </c>
      <c r="B34" s="107"/>
      <c r="C34" s="107"/>
      <c r="D34" s="107"/>
      <c r="E34" s="108"/>
      <c r="F34" s="109" t="s">
        <v>191</v>
      </c>
      <c r="G34" s="110"/>
      <c r="H34" s="99"/>
      <c r="I34" s="156"/>
      <c r="J34" s="107"/>
      <c r="K34" s="157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5"/>
    </row>
    <row r="35" spans="1:26" x14ac:dyDescent="0.3">
      <c r="A35" s="106" t="s">
        <v>144</v>
      </c>
      <c r="B35" s="107"/>
      <c r="C35" s="107"/>
      <c r="D35" s="107"/>
      <c r="E35" s="108"/>
      <c r="F35" s="109" t="s">
        <v>191</v>
      </c>
      <c r="G35" s="110"/>
      <c r="H35" s="99"/>
      <c r="I35" s="156"/>
      <c r="J35" s="107"/>
      <c r="K35" s="157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5"/>
    </row>
    <row r="36" spans="1:26" x14ac:dyDescent="0.3">
      <c r="A36" s="106"/>
      <c r="B36" s="107"/>
      <c r="C36" s="107"/>
      <c r="D36" s="107"/>
      <c r="E36" s="108"/>
      <c r="F36" s="109" t="s">
        <v>191</v>
      </c>
      <c r="G36" s="110"/>
      <c r="H36" s="99"/>
      <c r="I36" s="156"/>
      <c r="J36" s="107"/>
      <c r="K36" s="157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5"/>
    </row>
    <row r="37" spans="1:26" x14ac:dyDescent="0.3">
      <c r="A37" s="106" t="s">
        <v>145</v>
      </c>
      <c r="B37" s="107"/>
      <c r="C37" s="107"/>
      <c r="D37" s="107"/>
      <c r="E37" s="108">
        <v>50</v>
      </c>
      <c r="F37" s="109" t="s">
        <v>191</v>
      </c>
      <c r="G37" s="110"/>
      <c r="H37" s="99"/>
      <c r="I37" s="156"/>
      <c r="J37" s="107"/>
      <c r="K37" s="157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5"/>
    </row>
    <row r="38" spans="1:26" x14ac:dyDescent="0.3">
      <c r="A38" s="106" t="s">
        <v>146</v>
      </c>
      <c r="B38" s="107"/>
      <c r="C38" s="107"/>
      <c r="D38" s="107"/>
      <c r="E38" s="108">
        <v>55</v>
      </c>
      <c r="F38" s="109" t="s">
        <v>191</v>
      </c>
      <c r="G38" s="110"/>
      <c r="H38" s="99"/>
      <c r="I38" s="156"/>
      <c r="J38" s="107"/>
      <c r="K38" s="157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5"/>
    </row>
    <row r="39" spans="1:26" x14ac:dyDescent="0.3">
      <c r="A39" s="106" t="s">
        <v>147</v>
      </c>
      <c r="B39" s="107"/>
      <c r="C39" s="107"/>
      <c r="D39" s="107"/>
      <c r="E39" s="108">
        <v>70</v>
      </c>
      <c r="F39" s="109" t="s">
        <v>191</v>
      </c>
      <c r="G39" s="110"/>
      <c r="H39" s="99"/>
      <c r="I39" s="156"/>
      <c r="J39" s="107"/>
      <c r="K39" s="157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5"/>
    </row>
    <row r="40" spans="1:26" x14ac:dyDescent="0.3">
      <c r="A40" s="106" t="s">
        <v>148</v>
      </c>
      <c r="B40" s="107"/>
      <c r="C40" s="107"/>
      <c r="D40" s="107"/>
      <c r="E40" s="108">
        <v>70</v>
      </c>
      <c r="F40" s="109" t="s">
        <v>191</v>
      </c>
      <c r="G40" s="110"/>
      <c r="H40" s="99"/>
      <c r="I40" s="156"/>
      <c r="J40" s="107"/>
      <c r="K40" s="157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5"/>
    </row>
    <row r="41" spans="1:26" x14ac:dyDescent="0.3">
      <c r="A41" s="106" t="s">
        <v>149</v>
      </c>
      <c r="B41" s="107"/>
      <c r="C41" s="107"/>
      <c r="D41" s="107"/>
      <c r="E41" s="108">
        <v>85</v>
      </c>
      <c r="F41" s="109" t="s">
        <v>191</v>
      </c>
      <c r="G41" s="110"/>
      <c r="H41" s="99"/>
      <c r="I41" s="156"/>
      <c r="J41" s="107"/>
      <c r="K41" s="157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5"/>
    </row>
    <row r="42" spans="1:26" x14ac:dyDescent="0.3">
      <c r="A42" s="106" t="s">
        <v>150</v>
      </c>
      <c r="B42" s="107"/>
      <c r="C42" s="107"/>
      <c r="D42" s="107"/>
      <c r="E42" s="108">
        <v>95</v>
      </c>
      <c r="F42" s="109" t="s">
        <v>191</v>
      </c>
      <c r="G42" s="110"/>
      <c r="H42" s="99"/>
      <c r="I42" s="156"/>
      <c r="J42" s="107"/>
      <c r="K42" s="157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5"/>
    </row>
    <row r="43" spans="1:26" x14ac:dyDescent="0.3">
      <c r="A43" s="106"/>
      <c r="B43" s="107"/>
      <c r="C43" s="107"/>
      <c r="D43" s="107"/>
      <c r="E43" s="108"/>
      <c r="F43" s="109" t="s">
        <v>191</v>
      </c>
      <c r="G43" s="110"/>
      <c r="H43" s="99"/>
      <c r="I43" s="156"/>
      <c r="J43" s="107"/>
      <c r="K43" s="157"/>
      <c r="L43" s="110"/>
      <c r="M43" s="110"/>
      <c r="N43" s="110"/>
      <c r="O43" s="110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5"/>
    </row>
    <row r="44" spans="1:26" x14ac:dyDescent="0.3">
      <c r="A44" s="106" t="s">
        <v>151</v>
      </c>
      <c r="B44" s="107"/>
      <c r="C44" s="107"/>
      <c r="D44" s="107"/>
      <c r="E44" s="108">
        <f>300000/89700</f>
        <v>3.3444816053511706</v>
      </c>
      <c r="F44" s="109" t="s">
        <v>191</v>
      </c>
      <c r="G44" s="110"/>
      <c r="H44" s="99"/>
      <c r="I44" s="156"/>
      <c r="J44" s="107"/>
      <c r="K44" s="157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5"/>
    </row>
    <row r="45" spans="1:26" x14ac:dyDescent="0.3">
      <c r="A45" s="106" t="s">
        <v>152</v>
      </c>
      <c r="B45" s="107"/>
      <c r="C45" s="107"/>
      <c r="D45" s="107"/>
      <c r="E45" s="108">
        <f>300000/89700</f>
        <v>3.3444816053511706</v>
      </c>
      <c r="F45" s="109" t="s">
        <v>191</v>
      </c>
      <c r="G45" s="110"/>
      <c r="H45" s="99"/>
      <c r="I45" s="156"/>
      <c r="J45" s="107"/>
      <c r="K45" s="157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5"/>
    </row>
    <row r="46" spans="1:26" x14ac:dyDescent="0.3">
      <c r="A46" s="106" t="s">
        <v>153</v>
      </c>
      <c r="B46" s="107"/>
      <c r="C46" s="107"/>
      <c r="D46" s="107"/>
      <c r="E46" s="108">
        <f>300000/89700</f>
        <v>3.3444816053511706</v>
      </c>
      <c r="F46" s="109" t="s">
        <v>191</v>
      </c>
      <c r="G46" s="110"/>
      <c r="H46" s="99"/>
      <c r="I46" s="156"/>
      <c r="J46" s="107"/>
      <c r="K46" s="157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5"/>
    </row>
    <row r="47" spans="1:26" x14ac:dyDescent="0.3">
      <c r="A47" s="106" t="s">
        <v>154</v>
      </c>
      <c r="B47" s="107"/>
      <c r="C47" s="107"/>
      <c r="D47" s="107"/>
      <c r="E47" s="108">
        <f>300000/89700</f>
        <v>3.3444816053511706</v>
      </c>
      <c r="F47" s="109" t="s">
        <v>191</v>
      </c>
      <c r="G47" s="110"/>
      <c r="H47" s="99"/>
      <c r="I47" s="156"/>
      <c r="J47" s="107"/>
      <c r="K47" s="157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5"/>
    </row>
    <row r="48" spans="1:26" x14ac:dyDescent="0.3">
      <c r="A48" s="106"/>
      <c r="B48" s="107"/>
      <c r="C48" s="107"/>
      <c r="D48" s="107"/>
      <c r="E48" s="108"/>
      <c r="F48" s="109" t="s">
        <v>191</v>
      </c>
      <c r="G48" s="110"/>
      <c r="H48" s="99"/>
      <c r="I48" s="156"/>
      <c r="J48" s="107"/>
      <c r="K48" s="157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5"/>
    </row>
    <row r="49" spans="1:26" x14ac:dyDescent="0.3">
      <c r="A49" s="106"/>
      <c r="B49" s="107"/>
      <c r="C49" s="107"/>
      <c r="D49" s="107"/>
      <c r="E49" s="108"/>
      <c r="F49" s="109" t="s">
        <v>191</v>
      </c>
      <c r="G49" s="110"/>
      <c r="H49" s="99"/>
      <c r="I49" s="156"/>
      <c r="J49" s="107"/>
      <c r="K49" s="157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5"/>
    </row>
    <row r="50" spans="1:26" x14ac:dyDescent="0.3">
      <c r="A50" s="106" t="s">
        <v>126</v>
      </c>
      <c r="B50" s="107"/>
      <c r="C50" s="107"/>
      <c r="D50" s="107"/>
      <c r="E50" s="108">
        <v>5</v>
      </c>
      <c r="F50" s="109" t="s">
        <v>191</v>
      </c>
      <c r="G50" s="110"/>
      <c r="H50" s="99"/>
      <c r="I50" s="156"/>
      <c r="J50" s="107"/>
      <c r="K50" s="157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5"/>
    </row>
    <row r="51" spans="1:26" x14ac:dyDescent="0.3">
      <c r="A51" s="111"/>
      <c r="B51" s="80"/>
      <c r="C51" s="80"/>
      <c r="D51" s="80"/>
      <c r="E51" s="80"/>
      <c r="F51" s="112" t="s">
        <v>191</v>
      </c>
      <c r="G51" s="110"/>
      <c r="H51" s="99"/>
      <c r="I51" s="156"/>
      <c r="J51" s="107"/>
      <c r="K51" s="157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5"/>
    </row>
    <row r="52" spans="1:26" x14ac:dyDescent="0.3">
      <c r="A52" s="106" t="s">
        <v>156</v>
      </c>
      <c r="B52" s="107"/>
      <c r="C52" s="107"/>
      <c r="D52" s="107"/>
      <c r="E52" s="108">
        <v>5</v>
      </c>
      <c r="F52" s="109" t="s">
        <v>191</v>
      </c>
      <c r="G52" s="110"/>
      <c r="H52" s="99"/>
      <c r="I52" s="156"/>
      <c r="J52" s="107"/>
      <c r="K52" s="157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5"/>
    </row>
    <row r="53" spans="1:26" x14ac:dyDescent="0.3">
      <c r="A53" s="106" t="s">
        <v>157</v>
      </c>
      <c r="B53" s="107"/>
      <c r="C53" s="107"/>
      <c r="D53" s="107"/>
      <c r="E53" s="108">
        <v>5</v>
      </c>
      <c r="F53" s="109" t="s">
        <v>191</v>
      </c>
      <c r="G53" s="110"/>
      <c r="H53" s="99"/>
      <c r="I53" s="156"/>
      <c r="J53" s="107"/>
      <c r="K53" s="157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5"/>
    </row>
    <row r="54" spans="1:26" x14ac:dyDescent="0.3">
      <c r="A54" s="106"/>
      <c r="B54" s="107"/>
      <c r="C54" s="107"/>
      <c r="D54" s="107"/>
      <c r="E54" s="108"/>
      <c r="F54" s="109" t="s">
        <v>191</v>
      </c>
      <c r="G54" s="110"/>
      <c r="H54" s="99"/>
      <c r="I54" s="156"/>
      <c r="J54" s="107"/>
      <c r="K54" s="157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5"/>
    </row>
    <row r="55" spans="1:26" x14ac:dyDescent="0.3">
      <c r="A55" s="106" t="s">
        <v>158</v>
      </c>
      <c r="B55" s="107"/>
      <c r="C55" s="107"/>
      <c r="D55" s="107"/>
      <c r="E55" s="108">
        <f>400000/89500</f>
        <v>4.4692737430167595</v>
      </c>
      <c r="F55" s="109" t="s">
        <v>191</v>
      </c>
      <c r="G55" s="110"/>
      <c r="H55" s="99"/>
      <c r="I55" s="156"/>
      <c r="J55" s="107"/>
      <c r="K55" s="157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5"/>
    </row>
    <row r="56" spans="1:26" x14ac:dyDescent="0.3">
      <c r="A56" s="106"/>
      <c r="B56" s="107"/>
      <c r="C56" s="107"/>
      <c r="D56" s="107"/>
      <c r="E56" s="108"/>
      <c r="F56" s="109" t="s">
        <v>191</v>
      </c>
      <c r="G56" s="110"/>
      <c r="H56" s="99"/>
      <c r="I56" s="156"/>
      <c r="J56" s="107"/>
      <c r="K56" s="157"/>
      <c r="L56" s="110"/>
      <c r="M56" s="110"/>
      <c r="N56" s="110"/>
      <c r="O56" s="110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5"/>
    </row>
    <row r="57" spans="1:26" x14ac:dyDescent="0.3">
      <c r="A57" s="106"/>
      <c r="B57" s="107"/>
      <c r="C57" s="107"/>
      <c r="D57" s="107"/>
      <c r="E57" s="108"/>
      <c r="F57" s="109" t="s">
        <v>191</v>
      </c>
      <c r="G57" s="110"/>
      <c r="H57" s="99"/>
      <c r="I57" s="156"/>
      <c r="J57" s="107"/>
      <c r="K57" s="157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5"/>
    </row>
    <row r="58" spans="1:26" x14ac:dyDescent="0.3">
      <c r="A58" s="106"/>
      <c r="B58" s="107"/>
      <c r="C58" s="107"/>
      <c r="D58" s="107"/>
      <c r="E58" s="108"/>
      <c r="F58" s="109" t="s">
        <v>191</v>
      </c>
      <c r="G58" s="110"/>
      <c r="H58" s="99"/>
      <c r="I58" s="156"/>
      <c r="J58" s="107"/>
      <c r="K58" s="157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5"/>
    </row>
    <row r="59" spans="1:26" x14ac:dyDescent="0.3">
      <c r="A59" s="106"/>
      <c r="B59" s="107"/>
      <c r="C59" s="107"/>
      <c r="D59" s="107"/>
      <c r="E59" s="108"/>
      <c r="F59" s="109" t="s">
        <v>191</v>
      </c>
      <c r="G59" s="110"/>
      <c r="H59" s="99"/>
      <c r="I59" s="156"/>
      <c r="J59" s="107"/>
      <c r="K59" s="157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5"/>
    </row>
    <row r="60" spans="1:26" x14ac:dyDescent="0.3">
      <c r="A60" s="106"/>
      <c r="B60" s="107"/>
      <c r="C60" s="107"/>
      <c r="D60" s="107"/>
      <c r="E60" s="108"/>
      <c r="F60" s="109" t="s">
        <v>191</v>
      </c>
      <c r="G60" s="110"/>
      <c r="H60" s="99"/>
      <c r="I60" s="156"/>
      <c r="J60" s="107"/>
      <c r="K60" s="157"/>
      <c r="L60" s="110"/>
      <c r="M60" s="110"/>
      <c r="N60" s="110"/>
      <c r="O60" s="110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5"/>
    </row>
    <row r="61" spans="1:26" x14ac:dyDescent="0.3">
      <c r="A61" s="106"/>
      <c r="B61" s="107"/>
      <c r="C61" s="107"/>
      <c r="D61" s="107"/>
      <c r="E61" s="108"/>
      <c r="F61" s="109" t="s">
        <v>191</v>
      </c>
      <c r="G61" s="110"/>
      <c r="H61" s="99"/>
      <c r="I61" s="156"/>
      <c r="J61" s="107"/>
      <c r="K61" s="157"/>
      <c r="L61" s="110"/>
      <c r="M61" s="110"/>
      <c r="N61" s="110"/>
      <c r="O61" s="110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5"/>
    </row>
    <row r="62" spans="1:26" x14ac:dyDescent="0.3">
      <c r="A62" s="106"/>
      <c r="B62" s="107"/>
      <c r="C62" s="107"/>
      <c r="D62" s="107"/>
      <c r="E62" s="108"/>
      <c r="F62" s="109" t="s">
        <v>191</v>
      </c>
      <c r="G62" s="110"/>
      <c r="H62" s="99"/>
      <c r="I62" s="156"/>
      <c r="J62" s="107"/>
      <c r="K62" s="157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5"/>
    </row>
    <row r="63" spans="1:26" x14ac:dyDescent="0.3">
      <c r="A63" s="106"/>
      <c r="B63" s="107"/>
      <c r="C63" s="107"/>
      <c r="D63" s="107"/>
      <c r="E63" s="108"/>
      <c r="F63" s="109" t="s">
        <v>191</v>
      </c>
      <c r="G63" s="110"/>
      <c r="H63" s="99"/>
      <c r="I63" s="156"/>
      <c r="J63" s="107"/>
      <c r="K63" s="157"/>
      <c r="L63" s="110"/>
      <c r="M63" s="110"/>
      <c r="N63" s="110"/>
      <c r="O63" s="110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5"/>
    </row>
    <row r="64" spans="1:26" x14ac:dyDescent="0.3">
      <c r="A64" s="106"/>
      <c r="B64" s="107"/>
      <c r="C64" s="107"/>
      <c r="D64" s="107"/>
      <c r="E64" s="108"/>
      <c r="F64" s="109" t="s">
        <v>191</v>
      </c>
      <c r="G64" s="110"/>
      <c r="H64" s="99"/>
      <c r="I64" s="156"/>
      <c r="J64" s="107"/>
      <c r="K64" s="157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5"/>
    </row>
    <row r="65" spans="1:26" x14ac:dyDescent="0.3">
      <c r="A65" s="106"/>
      <c r="B65" s="107"/>
      <c r="C65" s="107"/>
      <c r="D65" s="107"/>
      <c r="E65" s="108"/>
      <c r="F65" s="109" t="s">
        <v>191</v>
      </c>
      <c r="G65" s="110"/>
      <c r="H65" s="99"/>
      <c r="I65" s="156"/>
      <c r="J65" s="107"/>
      <c r="K65" s="157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5"/>
    </row>
    <row r="66" spans="1:26" x14ac:dyDescent="0.3">
      <c r="A66" s="106"/>
      <c r="B66" s="107"/>
      <c r="C66" s="107"/>
      <c r="D66" s="107"/>
      <c r="E66" s="108"/>
      <c r="F66" s="109" t="s">
        <v>191</v>
      </c>
      <c r="G66" s="110"/>
      <c r="H66" s="99"/>
      <c r="I66" s="156"/>
      <c r="J66" s="107"/>
      <c r="K66" s="157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5"/>
    </row>
    <row r="67" spans="1:26" x14ac:dyDescent="0.3">
      <c r="A67" s="106"/>
      <c r="B67" s="107"/>
      <c r="C67" s="107"/>
      <c r="D67" s="107"/>
      <c r="E67" s="108"/>
      <c r="F67" s="109" t="s">
        <v>191</v>
      </c>
      <c r="G67" s="110"/>
      <c r="H67" s="99"/>
      <c r="I67" s="156"/>
      <c r="J67" s="107"/>
      <c r="K67" s="157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5"/>
    </row>
    <row r="68" spans="1:26" x14ac:dyDescent="0.3">
      <c r="A68" s="106"/>
      <c r="B68" s="107"/>
      <c r="C68" s="107"/>
      <c r="D68" s="107"/>
      <c r="E68" s="108"/>
      <c r="F68" s="109" t="s">
        <v>191</v>
      </c>
      <c r="G68" s="110"/>
      <c r="H68" s="99"/>
      <c r="I68" s="156"/>
      <c r="J68" s="107"/>
      <c r="K68" s="157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5"/>
    </row>
    <row r="69" spans="1:26" x14ac:dyDescent="0.3">
      <c r="A69" s="106"/>
      <c r="B69" s="107"/>
      <c r="C69" s="107"/>
      <c r="D69" s="107"/>
      <c r="E69" s="108"/>
      <c r="F69" s="109" t="s">
        <v>191</v>
      </c>
      <c r="G69" s="110"/>
      <c r="H69" s="99"/>
      <c r="I69" s="156"/>
      <c r="J69" s="107"/>
      <c r="K69" s="157"/>
      <c r="L69" s="110"/>
      <c r="M69" s="110"/>
      <c r="N69" s="110"/>
      <c r="O69" s="110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5"/>
    </row>
    <row r="70" spans="1:26" x14ac:dyDescent="0.3">
      <c r="A70" s="106"/>
      <c r="B70" s="107"/>
      <c r="C70" s="107"/>
      <c r="D70" s="107"/>
      <c r="E70" s="108"/>
      <c r="F70" s="109" t="s">
        <v>191</v>
      </c>
      <c r="G70" s="110"/>
      <c r="H70" s="99"/>
      <c r="I70" s="156"/>
      <c r="J70" s="107"/>
      <c r="K70" s="157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5"/>
    </row>
    <row r="71" spans="1:26" x14ac:dyDescent="0.3">
      <c r="A71" s="106"/>
      <c r="B71" s="107"/>
      <c r="C71" s="107"/>
      <c r="D71" s="107"/>
      <c r="E71" s="108"/>
      <c r="F71" s="109" t="s">
        <v>191</v>
      </c>
      <c r="G71" s="110"/>
      <c r="H71" s="99"/>
      <c r="I71" s="156"/>
      <c r="J71" s="107"/>
      <c r="K71" s="157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5"/>
    </row>
    <row r="72" spans="1:26" x14ac:dyDescent="0.3">
      <c r="A72" s="106"/>
      <c r="B72" s="107"/>
      <c r="C72" s="107"/>
      <c r="D72" s="107"/>
      <c r="E72" s="108"/>
      <c r="F72" s="109" t="s">
        <v>191</v>
      </c>
      <c r="G72" s="110"/>
      <c r="H72" s="99"/>
      <c r="I72" s="156"/>
      <c r="J72" s="107"/>
      <c r="K72" s="157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5"/>
    </row>
    <row r="73" spans="1:26" x14ac:dyDescent="0.3">
      <c r="A73" s="106"/>
      <c r="B73" s="107"/>
      <c r="C73" s="107"/>
      <c r="D73" s="107"/>
      <c r="E73" s="108"/>
      <c r="F73" s="109" t="s">
        <v>191</v>
      </c>
      <c r="G73" s="110"/>
      <c r="H73" s="99"/>
      <c r="I73" s="156"/>
      <c r="J73" s="107"/>
      <c r="K73" s="157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5"/>
    </row>
    <row r="74" spans="1:26" x14ac:dyDescent="0.3">
      <c r="A74" s="106"/>
      <c r="B74" s="107"/>
      <c r="C74" s="107"/>
      <c r="D74" s="107"/>
      <c r="E74" s="108"/>
      <c r="F74" s="109" t="s">
        <v>191</v>
      </c>
      <c r="G74" s="110"/>
      <c r="H74" s="99"/>
      <c r="I74" s="156"/>
      <c r="J74" s="107"/>
      <c r="K74" s="157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5"/>
    </row>
    <row r="75" spans="1:26" x14ac:dyDescent="0.3">
      <c r="A75" s="106"/>
      <c r="B75" s="107"/>
      <c r="C75" s="107"/>
      <c r="D75" s="107"/>
      <c r="E75" s="108"/>
      <c r="F75" s="109" t="s">
        <v>191</v>
      </c>
      <c r="G75" s="110"/>
      <c r="H75" s="99"/>
      <c r="I75" s="156"/>
      <c r="J75" s="107"/>
      <c r="K75" s="157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5"/>
    </row>
    <row r="76" spans="1:26" x14ac:dyDescent="0.3">
      <c r="A76" s="106"/>
      <c r="B76" s="107"/>
      <c r="C76" s="107"/>
      <c r="D76" s="107"/>
      <c r="E76" s="108"/>
      <c r="F76" s="109" t="s">
        <v>191</v>
      </c>
      <c r="G76" s="110"/>
      <c r="H76" s="99"/>
      <c r="I76" s="156"/>
      <c r="J76" s="107"/>
      <c r="K76" s="157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5"/>
    </row>
    <row r="77" spans="1:26" x14ac:dyDescent="0.3">
      <c r="A77" s="106"/>
      <c r="B77" s="107"/>
      <c r="C77" s="107"/>
      <c r="D77" s="107"/>
      <c r="E77" s="108"/>
      <c r="F77" s="109" t="s">
        <v>191</v>
      </c>
      <c r="G77" s="110"/>
      <c r="H77" s="99"/>
      <c r="I77" s="156"/>
      <c r="J77" s="107"/>
      <c r="K77" s="157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5"/>
    </row>
    <row r="78" spans="1:26" x14ac:dyDescent="0.3">
      <c r="A78" s="106"/>
      <c r="B78" s="107"/>
      <c r="C78" s="107"/>
      <c r="D78" s="107"/>
      <c r="E78" s="108"/>
      <c r="F78" s="109" t="s">
        <v>191</v>
      </c>
      <c r="G78" s="110"/>
      <c r="H78" s="99"/>
      <c r="I78" s="156"/>
      <c r="J78" s="107"/>
      <c r="K78" s="157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5"/>
    </row>
    <row r="79" spans="1:26" x14ac:dyDescent="0.3">
      <c r="A79" s="106"/>
      <c r="B79" s="107"/>
      <c r="C79" s="107"/>
      <c r="D79" s="107"/>
      <c r="E79" s="108"/>
      <c r="F79" s="109" t="s">
        <v>191</v>
      </c>
      <c r="G79" s="110"/>
      <c r="H79" s="99"/>
      <c r="I79" s="156"/>
      <c r="J79" s="107"/>
      <c r="K79" s="157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5"/>
    </row>
    <row r="80" spans="1:26" x14ac:dyDescent="0.3">
      <c r="A80" s="106"/>
      <c r="B80" s="107"/>
      <c r="C80" s="107"/>
      <c r="D80" s="107"/>
      <c r="E80" s="108"/>
      <c r="F80" s="109" t="s">
        <v>191</v>
      </c>
      <c r="G80" s="110"/>
      <c r="H80" s="99"/>
      <c r="I80" s="156"/>
      <c r="J80" s="107"/>
      <c r="K80" s="157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5"/>
    </row>
    <row r="81" spans="1:26" x14ac:dyDescent="0.3">
      <c r="A81" s="106"/>
      <c r="B81" s="107"/>
      <c r="C81" s="107"/>
      <c r="D81" s="107"/>
      <c r="E81" s="108"/>
      <c r="F81" s="109" t="s">
        <v>191</v>
      </c>
      <c r="G81" s="110"/>
      <c r="H81" s="99"/>
      <c r="I81" s="156"/>
      <c r="J81" s="107"/>
      <c r="K81" s="157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5"/>
    </row>
    <row r="82" spans="1:26" x14ac:dyDescent="0.3">
      <c r="A82" s="106"/>
      <c r="B82" s="107"/>
      <c r="C82" s="107"/>
      <c r="D82" s="107"/>
      <c r="E82" s="108"/>
      <c r="F82" s="109" t="s">
        <v>191</v>
      </c>
      <c r="G82" s="110"/>
      <c r="H82" s="99"/>
      <c r="I82" s="234"/>
      <c r="J82" s="235"/>
      <c r="K82" s="157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5"/>
    </row>
    <row r="83" spans="1:26" x14ac:dyDescent="0.3">
      <c r="A83" s="106"/>
      <c r="B83" s="107"/>
      <c r="C83" s="107"/>
      <c r="D83" s="107"/>
      <c r="E83" s="108"/>
      <c r="F83" s="109" t="s">
        <v>191</v>
      </c>
      <c r="G83" s="110"/>
      <c r="H83" s="99"/>
      <c r="I83" s="156"/>
      <c r="J83" s="107"/>
      <c r="K83" s="157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5"/>
    </row>
    <row r="84" spans="1:26" x14ac:dyDescent="0.3">
      <c r="A84" s="106"/>
      <c r="B84" s="107"/>
      <c r="C84" s="107"/>
      <c r="D84" s="107"/>
      <c r="E84" s="108"/>
      <c r="F84" s="109" t="s">
        <v>191</v>
      </c>
      <c r="G84" s="110"/>
      <c r="H84" s="99"/>
      <c r="I84" s="156"/>
      <c r="J84" s="107"/>
      <c r="K84" s="157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5"/>
    </row>
    <row r="85" spans="1:26" x14ac:dyDescent="0.3">
      <c r="A85" s="106"/>
      <c r="B85" s="107"/>
      <c r="C85" s="107"/>
      <c r="D85" s="107"/>
      <c r="E85" s="108"/>
      <c r="F85" s="109" t="s">
        <v>191</v>
      </c>
      <c r="G85" s="110"/>
      <c r="H85" s="99"/>
      <c r="I85" s="156"/>
      <c r="J85" s="107"/>
      <c r="K85" s="157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5"/>
    </row>
    <row r="86" spans="1:26" x14ac:dyDescent="0.3">
      <c r="A86" s="106"/>
      <c r="B86" s="107"/>
      <c r="C86" s="107"/>
      <c r="D86" s="107"/>
      <c r="E86" s="108"/>
      <c r="F86" s="109" t="s">
        <v>191</v>
      </c>
      <c r="G86" s="110"/>
      <c r="H86" s="99"/>
      <c r="I86" s="156"/>
      <c r="J86" s="107"/>
      <c r="K86" s="157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5"/>
    </row>
    <row r="87" spans="1:26" x14ac:dyDescent="0.3">
      <c r="A87" s="158" t="s">
        <v>159</v>
      </c>
      <c r="B87" s="159"/>
      <c r="C87" s="159"/>
      <c r="D87" s="159"/>
      <c r="E87" s="160"/>
      <c r="F87" s="161">
        <f>SUM(F2:F86)</f>
        <v>0</v>
      </c>
      <c r="G87" s="110"/>
      <c r="H87" s="99"/>
      <c r="I87" s="156"/>
      <c r="J87" s="107"/>
      <c r="K87" s="157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5"/>
    </row>
    <row r="88" spans="1:26" x14ac:dyDescent="0.3">
      <c r="A88" s="110"/>
      <c r="B88" s="113"/>
      <c r="C88" s="113"/>
      <c r="D88" s="113"/>
      <c r="E88" s="113"/>
      <c r="F88" s="110"/>
      <c r="G88" s="110"/>
      <c r="H88" s="99"/>
      <c r="I88" s="156"/>
      <c r="J88" s="107"/>
      <c r="K88" s="157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5"/>
    </row>
    <row r="89" spans="1:26" x14ac:dyDescent="0.3">
      <c r="A89" s="110"/>
      <c r="B89" s="113"/>
      <c r="C89" s="113"/>
      <c r="D89" s="113"/>
      <c r="E89" s="113"/>
      <c r="F89" s="110"/>
      <c r="G89" s="110"/>
      <c r="H89" s="99"/>
      <c r="I89" s="156"/>
      <c r="J89" s="107"/>
      <c r="K89" s="157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5"/>
    </row>
    <row r="90" spans="1:26" x14ac:dyDescent="0.3">
      <c r="A90" s="110"/>
      <c r="B90" s="113"/>
      <c r="C90" s="113"/>
      <c r="D90" s="113"/>
      <c r="E90" s="113"/>
      <c r="F90" s="110"/>
      <c r="G90" s="110"/>
      <c r="H90" s="99"/>
      <c r="I90" s="234"/>
      <c r="J90" s="107"/>
      <c r="K90" s="157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5"/>
    </row>
    <row r="91" spans="1:26" x14ac:dyDescent="0.3">
      <c r="A91" s="110"/>
      <c r="B91" s="113"/>
      <c r="C91" s="113"/>
      <c r="D91" s="113"/>
      <c r="E91" s="113"/>
      <c r="F91" s="110"/>
      <c r="G91" s="110"/>
      <c r="H91" s="99"/>
      <c r="I91" s="156"/>
      <c r="J91" s="107"/>
      <c r="K91" s="157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5"/>
    </row>
    <row r="92" spans="1:26" x14ac:dyDescent="0.3">
      <c r="A92" s="110"/>
      <c r="B92" s="113"/>
      <c r="C92" s="113"/>
      <c r="D92" s="113"/>
      <c r="E92" s="113"/>
      <c r="F92" s="110"/>
      <c r="G92" s="110"/>
      <c r="H92" s="99"/>
      <c r="I92" s="156"/>
      <c r="J92" s="107"/>
      <c r="K92" s="157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5"/>
    </row>
    <row r="93" spans="1:26" x14ac:dyDescent="0.3">
      <c r="A93" s="110"/>
      <c r="B93" s="113"/>
      <c r="C93" s="113"/>
      <c r="D93" s="113"/>
      <c r="E93" s="113"/>
      <c r="F93" s="110"/>
      <c r="G93" s="110"/>
      <c r="H93" s="99"/>
      <c r="I93" s="156"/>
      <c r="J93" s="107"/>
      <c r="K93" s="157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5"/>
    </row>
    <row r="94" spans="1:26" x14ac:dyDescent="0.3">
      <c r="A94" s="110"/>
      <c r="B94" s="113"/>
      <c r="C94" s="113"/>
      <c r="D94" s="113"/>
      <c r="E94" s="113"/>
      <c r="F94" s="110"/>
      <c r="G94" s="110"/>
      <c r="H94" s="99"/>
      <c r="I94" s="156"/>
      <c r="J94" s="107"/>
      <c r="K94" s="157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5"/>
    </row>
    <row r="95" spans="1:26" x14ac:dyDescent="0.3">
      <c r="A95" s="110"/>
      <c r="B95" s="113"/>
      <c r="C95" s="113"/>
      <c r="D95" s="113"/>
      <c r="E95" s="113"/>
      <c r="F95" s="110"/>
      <c r="G95" s="110"/>
      <c r="H95" s="99"/>
      <c r="I95" s="156"/>
      <c r="J95" s="107"/>
      <c r="K95" s="157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5"/>
    </row>
    <row r="96" spans="1:26" x14ac:dyDescent="0.3">
      <c r="A96" s="110"/>
      <c r="B96" s="113"/>
      <c r="C96" s="113"/>
      <c r="D96" s="113"/>
      <c r="E96" s="113"/>
      <c r="F96" s="110"/>
      <c r="G96" s="110"/>
      <c r="H96" s="99"/>
      <c r="I96" s="156"/>
      <c r="J96" s="107"/>
      <c r="K96" s="157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5"/>
    </row>
    <row r="97" spans="1:26" x14ac:dyDescent="0.3">
      <c r="A97" s="110"/>
      <c r="B97" s="113"/>
      <c r="C97" s="113"/>
      <c r="D97" s="113"/>
      <c r="E97" s="113"/>
      <c r="F97" s="110"/>
      <c r="G97" s="110"/>
      <c r="H97" s="99"/>
      <c r="I97" s="156"/>
      <c r="J97" s="107"/>
      <c r="K97" s="157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5"/>
    </row>
    <row r="98" spans="1:26" x14ac:dyDescent="0.3">
      <c r="A98" s="110"/>
      <c r="B98" s="113"/>
      <c r="C98" s="113"/>
      <c r="D98" s="113"/>
      <c r="E98" s="113"/>
      <c r="F98" s="110"/>
      <c r="G98" s="110"/>
      <c r="H98" s="99"/>
      <c r="I98" s="156"/>
      <c r="J98" s="107"/>
      <c r="K98" s="157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5"/>
    </row>
    <row r="99" spans="1:26" x14ac:dyDescent="0.3">
      <c r="A99" s="110"/>
      <c r="B99" s="113"/>
      <c r="C99" s="113"/>
      <c r="D99" s="113"/>
      <c r="E99" s="113"/>
      <c r="F99" s="110"/>
      <c r="G99" s="110"/>
      <c r="H99" s="99"/>
      <c r="I99" s="156"/>
      <c r="J99" s="107"/>
      <c r="K99" s="157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5"/>
    </row>
    <row r="100" spans="1:26" x14ac:dyDescent="0.3">
      <c r="A100" s="110"/>
      <c r="B100" s="113"/>
      <c r="C100" s="113"/>
      <c r="D100" s="113"/>
      <c r="E100" s="113"/>
      <c r="F100" s="110"/>
      <c r="G100" s="110"/>
      <c r="H100" s="99"/>
      <c r="I100" s="156"/>
      <c r="J100" s="107"/>
      <c r="K100" s="157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5"/>
    </row>
    <row r="101" spans="1:26" x14ac:dyDescent="0.3">
      <c r="A101" s="110"/>
      <c r="B101" s="113"/>
      <c r="C101" s="113"/>
      <c r="D101" s="113"/>
      <c r="E101" s="113"/>
      <c r="F101" s="110"/>
      <c r="G101" s="110"/>
      <c r="H101" s="99"/>
      <c r="I101" s="156"/>
      <c r="J101" s="107"/>
      <c r="K101" s="157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5"/>
    </row>
    <row r="102" spans="1:26" x14ac:dyDescent="0.3">
      <c r="A102" s="110"/>
      <c r="B102" s="113"/>
      <c r="C102" s="113"/>
      <c r="D102" s="113"/>
      <c r="E102" s="113"/>
      <c r="F102" s="110"/>
      <c r="G102" s="110"/>
      <c r="H102" s="236"/>
      <c r="I102" s="234"/>
      <c r="J102" s="235"/>
      <c r="K102" s="157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5"/>
    </row>
    <row r="103" spans="1:26" x14ac:dyDescent="0.3">
      <c r="A103" s="110"/>
      <c r="B103" s="113"/>
      <c r="C103" s="113"/>
      <c r="D103" s="113"/>
      <c r="E103" s="113"/>
      <c r="F103" s="110"/>
      <c r="G103" s="110"/>
      <c r="H103" s="99"/>
      <c r="I103" s="156"/>
      <c r="J103" s="107"/>
      <c r="K103" s="155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5"/>
    </row>
    <row r="104" spans="1:26" x14ac:dyDescent="0.3">
      <c r="A104" s="110"/>
      <c r="B104" s="113"/>
      <c r="C104" s="113"/>
      <c r="D104" s="113"/>
      <c r="E104" s="113"/>
      <c r="F104" s="110"/>
      <c r="G104" s="110"/>
      <c r="H104" s="99"/>
      <c r="I104" s="156"/>
      <c r="J104" s="107"/>
      <c r="K104" s="155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5"/>
    </row>
    <row r="105" spans="1:26" x14ac:dyDescent="0.3">
      <c r="A105" s="110"/>
      <c r="B105" s="113"/>
      <c r="C105" s="113"/>
      <c r="D105" s="113"/>
      <c r="E105" s="113"/>
      <c r="F105" s="110"/>
      <c r="G105" s="110"/>
      <c r="H105" s="99"/>
      <c r="I105" s="156"/>
      <c r="J105" s="107"/>
      <c r="K105" s="155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5"/>
    </row>
    <row r="106" spans="1:26" x14ac:dyDescent="0.3">
      <c r="A106" s="110"/>
      <c r="B106" s="113"/>
      <c r="C106" s="113"/>
      <c r="D106" s="113"/>
      <c r="E106" s="113"/>
      <c r="F106" s="110"/>
      <c r="G106" s="110"/>
      <c r="H106" s="99"/>
      <c r="I106" s="156"/>
      <c r="J106" s="107"/>
      <c r="K106" s="155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5"/>
    </row>
    <row r="107" spans="1:26" x14ac:dyDescent="0.3">
      <c r="A107" s="110"/>
      <c r="B107" s="113"/>
      <c r="C107" s="113"/>
      <c r="D107" s="113"/>
      <c r="E107" s="113"/>
      <c r="F107" s="110"/>
      <c r="G107" s="110"/>
      <c r="H107" s="99"/>
      <c r="I107" s="156"/>
      <c r="J107" s="107"/>
      <c r="K107" s="155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5"/>
    </row>
    <row r="108" spans="1:26" x14ac:dyDescent="0.3">
      <c r="A108" s="110"/>
      <c r="B108" s="113"/>
      <c r="C108" s="113"/>
      <c r="D108" s="113"/>
      <c r="E108" s="113"/>
      <c r="F108" s="110"/>
      <c r="G108" s="110"/>
      <c r="H108" s="99"/>
      <c r="I108" s="156"/>
      <c r="J108" s="107"/>
      <c r="K108" s="155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5"/>
    </row>
    <row r="109" spans="1:26" x14ac:dyDescent="0.3">
      <c r="A109" s="110"/>
      <c r="B109" s="113"/>
      <c r="C109" s="113"/>
      <c r="D109" s="113"/>
      <c r="E109" s="113"/>
      <c r="F109" s="110"/>
      <c r="G109" s="110"/>
      <c r="H109" s="99"/>
      <c r="I109" s="156"/>
      <c r="J109" s="107"/>
      <c r="K109" s="155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5"/>
    </row>
    <row r="110" spans="1:26" x14ac:dyDescent="0.3">
      <c r="A110" s="110"/>
      <c r="B110" s="113"/>
      <c r="C110" s="113"/>
      <c r="D110" s="113"/>
      <c r="E110" s="113"/>
      <c r="F110" s="110"/>
      <c r="G110" s="110"/>
      <c r="H110" s="99"/>
      <c r="I110" s="156"/>
      <c r="J110" s="107"/>
      <c r="K110" s="155"/>
      <c r="L110" s="110"/>
      <c r="M110" s="110"/>
      <c r="N110" s="110"/>
      <c r="O110" s="110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5"/>
    </row>
    <row r="111" spans="1:26" x14ac:dyDescent="0.3">
      <c r="A111" s="110"/>
      <c r="B111" s="113"/>
      <c r="C111" s="113"/>
      <c r="D111" s="113"/>
      <c r="E111" s="113"/>
      <c r="F111" s="110"/>
      <c r="G111" s="110"/>
      <c r="H111" s="99"/>
      <c r="I111" s="156"/>
      <c r="J111" s="107"/>
      <c r="K111" s="155"/>
      <c r="L111" s="110"/>
      <c r="M111" s="110"/>
      <c r="N111" s="110"/>
      <c r="O111" s="110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5"/>
    </row>
    <row r="112" spans="1:26" x14ac:dyDescent="0.3">
      <c r="A112" s="110"/>
      <c r="B112" s="113"/>
      <c r="C112" s="113"/>
      <c r="D112" s="113"/>
      <c r="E112" s="113"/>
      <c r="F112" s="110"/>
      <c r="G112" s="110"/>
      <c r="H112" s="99"/>
      <c r="I112" s="156"/>
      <c r="J112" s="107"/>
      <c r="K112" s="155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5"/>
    </row>
    <row r="113" spans="1:26" x14ac:dyDescent="0.3">
      <c r="A113" s="110"/>
      <c r="B113" s="113"/>
      <c r="C113" s="113"/>
      <c r="D113" s="113"/>
      <c r="E113" s="113"/>
      <c r="F113" s="110"/>
      <c r="G113" s="110"/>
      <c r="H113" s="99"/>
      <c r="I113" s="156"/>
      <c r="J113" s="107"/>
      <c r="K113" s="155"/>
      <c r="L113" s="110"/>
      <c r="M113" s="110"/>
      <c r="N113" s="110"/>
      <c r="O113" s="110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5"/>
    </row>
    <row r="114" spans="1:26" x14ac:dyDescent="0.3">
      <c r="A114" s="110"/>
      <c r="B114" s="113"/>
      <c r="C114" s="113"/>
      <c r="D114" s="113"/>
      <c r="E114" s="113"/>
      <c r="F114" s="110"/>
      <c r="G114" s="110"/>
      <c r="H114" s="99"/>
      <c r="I114" s="234"/>
      <c r="J114" s="107"/>
      <c r="K114" s="155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5"/>
    </row>
    <row r="115" spans="1:26" x14ac:dyDescent="0.3">
      <c r="A115" s="110"/>
      <c r="B115" s="113"/>
      <c r="C115" s="113"/>
      <c r="D115" s="113"/>
      <c r="E115" s="113"/>
      <c r="F115" s="110"/>
      <c r="G115" s="110"/>
      <c r="H115" s="99"/>
      <c r="I115" s="156"/>
      <c r="J115" s="107"/>
      <c r="K115" s="155"/>
      <c r="L115" s="110"/>
      <c r="M115" s="110"/>
      <c r="N115" s="110"/>
      <c r="O115" s="110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5"/>
    </row>
    <row r="116" spans="1:26" x14ac:dyDescent="0.3">
      <c r="A116" s="110"/>
      <c r="B116" s="113"/>
      <c r="C116" s="113"/>
      <c r="D116" s="113"/>
      <c r="E116" s="113"/>
      <c r="F116" s="110"/>
      <c r="G116" s="110"/>
      <c r="H116" s="99"/>
      <c r="I116" s="156"/>
      <c r="J116" s="107"/>
      <c r="K116" s="155"/>
      <c r="L116" s="110"/>
      <c r="M116" s="110"/>
      <c r="N116" s="110"/>
      <c r="O116" s="110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5"/>
    </row>
    <row r="117" spans="1:26" x14ac:dyDescent="0.3">
      <c r="A117" s="110"/>
      <c r="B117" s="113"/>
      <c r="C117" s="113"/>
      <c r="D117" s="113"/>
      <c r="E117" s="113"/>
      <c r="F117" s="110"/>
      <c r="G117" s="110"/>
      <c r="H117" s="99"/>
      <c r="I117" s="156"/>
      <c r="J117" s="107"/>
      <c r="K117" s="155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5"/>
    </row>
    <row r="118" spans="1:26" x14ac:dyDescent="0.3">
      <c r="A118" s="110"/>
      <c r="B118" s="113"/>
      <c r="C118" s="113"/>
      <c r="D118" s="113"/>
      <c r="E118" s="113"/>
      <c r="F118" s="110"/>
      <c r="G118" s="110"/>
      <c r="H118" s="99"/>
      <c r="I118" s="156"/>
      <c r="J118" s="107"/>
      <c r="K118" s="155"/>
      <c r="L118" s="110"/>
      <c r="M118" s="110"/>
      <c r="N118" s="110"/>
      <c r="O118" s="110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5"/>
    </row>
    <row r="119" spans="1:26" x14ac:dyDescent="0.3">
      <c r="A119" s="110"/>
      <c r="B119" s="113"/>
      <c r="C119" s="113"/>
      <c r="D119" s="113"/>
      <c r="E119" s="113"/>
      <c r="F119" s="110"/>
      <c r="G119" s="110"/>
      <c r="H119" s="99"/>
      <c r="I119" s="156"/>
      <c r="J119" s="107"/>
      <c r="K119" s="155"/>
      <c r="L119" s="110"/>
      <c r="M119" s="110"/>
      <c r="N119" s="110"/>
      <c r="O119" s="110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5"/>
    </row>
    <row r="120" spans="1:26" x14ac:dyDescent="0.3">
      <c r="A120" s="110"/>
      <c r="B120" s="113"/>
      <c r="C120" s="113"/>
      <c r="D120" s="113"/>
      <c r="E120" s="113"/>
      <c r="F120" s="110"/>
      <c r="G120" s="110"/>
      <c r="H120" s="99"/>
      <c r="I120" s="156"/>
      <c r="J120" s="107"/>
      <c r="K120" s="155"/>
      <c r="L120" s="110"/>
      <c r="M120" s="110"/>
      <c r="N120" s="110"/>
      <c r="O120" s="110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5"/>
    </row>
    <row r="121" spans="1:26" x14ac:dyDescent="0.3">
      <c r="A121" s="110"/>
      <c r="B121" s="113"/>
      <c r="C121" s="113"/>
      <c r="D121" s="113"/>
      <c r="E121" s="113"/>
      <c r="F121" s="110"/>
      <c r="G121" s="110"/>
      <c r="H121" s="99"/>
      <c r="I121" s="156"/>
      <c r="J121" s="107"/>
      <c r="K121" s="155"/>
      <c r="L121" s="110"/>
      <c r="M121" s="110"/>
      <c r="N121" s="110"/>
      <c r="O121" s="110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5"/>
    </row>
    <row r="122" spans="1:26" x14ac:dyDescent="0.3">
      <c r="A122" s="110"/>
      <c r="B122" s="113"/>
      <c r="C122" s="113"/>
      <c r="D122" s="113"/>
      <c r="E122" s="113"/>
      <c r="F122" s="110"/>
      <c r="G122" s="110"/>
      <c r="H122" s="99"/>
      <c r="I122" s="156"/>
      <c r="J122" s="107"/>
      <c r="K122" s="155"/>
      <c r="L122" s="110"/>
      <c r="M122" s="110"/>
      <c r="N122" s="110"/>
      <c r="O122" s="110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5"/>
    </row>
    <row r="123" spans="1:26" x14ac:dyDescent="0.3">
      <c r="A123" s="110"/>
      <c r="B123" s="113"/>
      <c r="C123" s="113"/>
      <c r="D123" s="113"/>
      <c r="E123" s="113"/>
      <c r="F123" s="110"/>
      <c r="G123" s="110"/>
      <c r="H123" s="99"/>
      <c r="I123" s="156"/>
      <c r="J123" s="107"/>
      <c r="K123" s="155"/>
      <c r="L123" s="110"/>
      <c r="M123" s="110"/>
      <c r="N123" s="110"/>
      <c r="O123" s="110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5"/>
    </row>
    <row r="124" spans="1:26" x14ac:dyDescent="0.3">
      <c r="A124" s="110"/>
      <c r="B124" s="113"/>
      <c r="C124" s="113"/>
      <c r="D124" s="113"/>
      <c r="E124" s="113"/>
      <c r="F124" s="110"/>
      <c r="G124" s="110"/>
      <c r="H124" s="99"/>
      <c r="I124" s="156"/>
      <c r="J124" s="107"/>
      <c r="K124" s="155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5"/>
    </row>
    <row r="125" spans="1:26" x14ac:dyDescent="0.3">
      <c r="A125" s="110"/>
      <c r="B125" s="113"/>
      <c r="C125" s="113"/>
      <c r="D125" s="113"/>
      <c r="E125" s="113"/>
      <c r="F125" s="110"/>
      <c r="G125" s="110"/>
      <c r="H125" s="129"/>
      <c r="I125" s="156"/>
      <c r="J125" s="107"/>
      <c r="K125" s="155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5"/>
    </row>
    <row r="126" spans="1:26" x14ac:dyDescent="0.3">
      <c r="A126" s="110"/>
      <c r="B126" s="113"/>
      <c r="C126" s="113"/>
      <c r="D126" s="113"/>
      <c r="E126" s="113"/>
      <c r="F126" s="110"/>
      <c r="G126" s="110"/>
      <c r="H126" s="129"/>
      <c r="I126" s="156"/>
      <c r="J126" s="107"/>
      <c r="K126" s="155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5"/>
    </row>
    <row r="127" spans="1:26" x14ac:dyDescent="0.3">
      <c r="A127" s="110"/>
      <c r="B127" s="113"/>
      <c r="C127" s="113"/>
      <c r="D127" s="113"/>
      <c r="E127" s="113"/>
      <c r="F127" s="110"/>
      <c r="G127" s="110"/>
      <c r="H127" s="129"/>
      <c r="I127" s="156"/>
      <c r="J127" s="107"/>
      <c r="K127" s="155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5"/>
    </row>
    <row r="128" spans="1:26" x14ac:dyDescent="0.3">
      <c r="A128" s="110"/>
      <c r="B128" s="113"/>
      <c r="C128" s="113"/>
      <c r="D128" s="113"/>
      <c r="E128" s="113"/>
      <c r="F128" s="110"/>
      <c r="G128" s="110"/>
      <c r="H128" s="129"/>
      <c r="I128" s="156"/>
      <c r="J128" s="107"/>
      <c r="K128" s="155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5"/>
    </row>
    <row r="129" spans="1:26" x14ac:dyDescent="0.3">
      <c r="A129" s="110"/>
      <c r="B129" s="113"/>
      <c r="C129" s="113"/>
      <c r="D129" s="113"/>
      <c r="E129" s="113"/>
      <c r="F129" s="110"/>
      <c r="G129" s="110"/>
      <c r="H129" s="129"/>
      <c r="I129" s="156"/>
      <c r="J129" s="107"/>
      <c r="K129" s="155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5"/>
    </row>
    <row r="130" spans="1:26" x14ac:dyDescent="0.3">
      <c r="A130" s="110"/>
      <c r="B130" s="113"/>
      <c r="C130" s="113"/>
      <c r="D130" s="113"/>
      <c r="E130" s="113"/>
      <c r="F130" s="110"/>
      <c r="G130" s="110"/>
      <c r="H130" s="129"/>
      <c r="I130" s="156"/>
      <c r="J130" s="107"/>
      <c r="K130" s="155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5"/>
    </row>
    <row r="131" spans="1:26" x14ac:dyDescent="0.3">
      <c r="A131" s="110"/>
      <c r="B131" s="113"/>
      <c r="C131" s="113"/>
      <c r="D131" s="113"/>
      <c r="E131" s="113"/>
      <c r="F131" s="110"/>
      <c r="G131" s="110"/>
      <c r="H131" s="129"/>
      <c r="I131" s="156"/>
      <c r="J131" s="107"/>
      <c r="K131" s="155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5"/>
    </row>
    <row r="132" spans="1:26" x14ac:dyDescent="0.3">
      <c r="A132" s="110"/>
      <c r="B132" s="113"/>
      <c r="C132" s="113"/>
      <c r="D132" s="113"/>
      <c r="E132" s="113"/>
      <c r="F132" s="110"/>
      <c r="G132" s="110"/>
      <c r="H132" s="129"/>
      <c r="I132" s="156"/>
      <c r="J132" s="107"/>
      <c r="K132" s="155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5"/>
    </row>
    <row r="133" spans="1:26" x14ac:dyDescent="0.3">
      <c r="A133" s="110"/>
      <c r="B133" s="113"/>
      <c r="C133" s="113"/>
      <c r="D133" s="113"/>
      <c r="E133" s="113"/>
      <c r="F133" s="110"/>
      <c r="G133" s="110"/>
      <c r="H133" s="129"/>
      <c r="I133" s="156"/>
      <c r="J133" s="107"/>
      <c r="K133" s="155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5"/>
    </row>
    <row r="134" spans="1:26" x14ac:dyDescent="0.3">
      <c r="A134" s="110"/>
      <c r="B134" s="113"/>
      <c r="C134" s="113"/>
      <c r="D134" s="113"/>
      <c r="E134" s="113"/>
      <c r="F134" s="110"/>
      <c r="G134" s="110"/>
      <c r="H134" s="129"/>
      <c r="I134" s="156"/>
      <c r="J134" s="107"/>
      <c r="K134" s="155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5"/>
    </row>
    <row r="135" spans="1:26" x14ac:dyDescent="0.3">
      <c r="A135" s="110"/>
      <c r="B135" s="113"/>
      <c r="C135" s="113"/>
      <c r="D135" s="113"/>
      <c r="E135" s="113"/>
      <c r="F135" s="110"/>
      <c r="G135" s="110"/>
      <c r="H135" s="129"/>
      <c r="I135" s="156"/>
      <c r="J135" s="107"/>
      <c r="K135" s="155"/>
      <c r="L135" s="110"/>
      <c r="M135" s="110"/>
      <c r="N135" s="110"/>
      <c r="O135" s="110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5"/>
    </row>
    <row r="136" spans="1:26" x14ac:dyDescent="0.3">
      <c r="A136" s="110"/>
      <c r="B136" s="113"/>
      <c r="C136" s="113"/>
      <c r="D136" s="113"/>
      <c r="E136" s="113"/>
      <c r="F136" s="110"/>
      <c r="G136" s="110"/>
      <c r="H136" s="130"/>
      <c r="I136" s="162"/>
      <c r="J136" s="163"/>
      <c r="K136" s="164"/>
      <c r="L136" s="110"/>
      <c r="M136" s="110"/>
      <c r="N136" s="110"/>
      <c r="O136" s="110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5"/>
    </row>
    <row r="137" spans="1:26" x14ac:dyDescent="0.3">
      <c r="A137" s="110"/>
      <c r="B137" s="113"/>
      <c r="C137" s="113"/>
      <c r="D137" s="113"/>
      <c r="E137" s="113"/>
      <c r="F137" s="110"/>
      <c r="G137" s="110"/>
      <c r="H137" s="11"/>
      <c r="I137" s="110"/>
      <c r="J137" s="113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5"/>
    </row>
    <row r="138" spans="1:26" x14ac:dyDescent="0.3">
      <c r="A138" s="110"/>
      <c r="B138" s="113"/>
      <c r="C138" s="113"/>
      <c r="D138" s="113"/>
      <c r="E138" s="113"/>
      <c r="F138" s="110"/>
      <c r="G138" s="110"/>
      <c r="H138" s="11"/>
      <c r="I138" s="110"/>
      <c r="J138" s="113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5"/>
    </row>
    <row r="139" spans="1:26" x14ac:dyDescent="0.3">
      <c r="A139" s="110"/>
      <c r="B139" s="113"/>
      <c r="C139" s="113"/>
      <c r="D139" s="113"/>
      <c r="E139" s="113"/>
      <c r="F139" s="110"/>
      <c r="G139" s="110"/>
      <c r="H139" s="11"/>
      <c r="I139" s="110"/>
      <c r="J139" s="113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5"/>
    </row>
    <row r="140" spans="1:26" x14ac:dyDescent="0.3">
      <c r="A140" s="110"/>
      <c r="B140" s="113"/>
      <c r="C140" s="113"/>
      <c r="D140" s="113"/>
      <c r="E140" s="113"/>
      <c r="F140" s="110"/>
      <c r="G140" s="110"/>
      <c r="H140" s="11"/>
      <c r="I140" s="110"/>
      <c r="J140" s="113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5"/>
    </row>
    <row r="141" spans="1:26" x14ac:dyDescent="0.3">
      <c r="A141" s="110"/>
      <c r="B141" s="113"/>
      <c r="C141" s="113"/>
      <c r="D141" s="113"/>
      <c r="E141" s="113"/>
      <c r="F141" s="110"/>
      <c r="G141" s="110"/>
      <c r="H141" s="11"/>
      <c r="I141" s="110"/>
      <c r="J141" s="113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5"/>
    </row>
    <row r="142" spans="1:26" x14ac:dyDescent="0.3">
      <c r="A142" s="110"/>
      <c r="B142" s="113"/>
      <c r="C142" s="113"/>
      <c r="D142" s="113"/>
      <c r="E142" s="113"/>
      <c r="F142" s="110"/>
      <c r="G142" s="110"/>
      <c r="H142" s="11"/>
      <c r="I142" s="110"/>
      <c r="J142" s="113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5"/>
    </row>
    <row r="143" spans="1:26" x14ac:dyDescent="0.3">
      <c r="A143" s="110"/>
      <c r="B143" s="113"/>
      <c r="C143" s="113"/>
      <c r="D143" s="113"/>
      <c r="E143" s="113"/>
      <c r="F143" s="110"/>
      <c r="G143" s="110"/>
      <c r="H143" s="11"/>
      <c r="I143" s="110"/>
      <c r="J143" s="113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5"/>
    </row>
    <row r="144" spans="1:26" x14ac:dyDescent="0.3">
      <c r="A144" s="110"/>
      <c r="B144" s="113"/>
      <c r="C144" s="113"/>
      <c r="D144" s="113"/>
      <c r="E144" s="113"/>
      <c r="F144" s="110"/>
      <c r="G144" s="110"/>
      <c r="H144" s="11"/>
      <c r="I144" s="110"/>
      <c r="J144" s="113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5"/>
    </row>
    <row r="145" spans="1:26" x14ac:dyDescent="0.3">
      <c r="A145" s="110"/>
      <c r="B145" s="113"/>
      <c r="C145" s="113"/>
      <c r="D145" s="113"/>
      <c r="E145" s="113"/>
      <c r="F145" s="110"/>
      <c r="G145" s="110"/>
      <c r="H145" s="11"/>
      <c r="I145" s="110"/>
      <c r="J145" s="113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5"/>
    </row>
    <row r="146" spans="1:26" x14ac:dyDescent="0.3">
      <c r="A146" s="110"/>
      <c r="B146" s="113"/>
      <c r="C146" s="113"/>
      <c r="D146" s="113"/>
      <c r="E146" s="113"/>
      <c r="F146" s="110"/>
      <c r="G146" s="110"/>
      <c r="H146" s="11"/>
      <c r="I146" s="110"/>
      <c r="J146" s="113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5"/>
    </row>
    <row r="147" spans="1:26" x14ac:dyDescent="0.3">
      <c r="A147" s="110"/>
      <c r="B147" s="113"/>
      <c r="C147" s="113"/>
      <c r="D147" s="113"/>
      <c r="E147" s="113"/>
      <c r="F147" s="110"/>
      <c r="G147" s="110"/>
      <c r="H147" s="11"/>
      <c r="I147" s="110"/>
      <c r="J147" s="113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5"/>
    </row>
    <row r="148" spans="1:26" x14ac:dyDescent="0.3">
      <c r="A148" s="110"/>
      <c r="B148" s="113"/>
      <c r="C148" s="113"/>
      <c r="D148" s="113"/>
      <c r="E148" s="113"/>
      <c r="F148" s="110"/>
      <c r="G148" s="110"/>
      <c r="H148" s="11"/>
      <c r="I148" s="110"/>
      <c r="J148" s="113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5"/>
    </row>
    <row r="149" spans="1:26" x14ac:dyDescent="0.3">
      <c r="A149" s="110"/>
      <c r="B149" s="113"/>
      <c r="C149" s="113"/>
      <c r="D149" s="113"/>
      <c r="E149" s="113"/>
      <c r="F149" s="110"/>
      <c r="G149" s="110"/>
      <c r="H149" s="11"/>
      <c r="I149" s="110"/>
      <c r="J149" s="113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5"/>
    </row>
    <row r="150" spans="1:26" x14ac:dyDescent="0.3">
      <c r="A150" s="110"/>
      <c r="B150" s="113"/>
      <c r="C150" s="113"/>
      <c r="D150" s="113"/>
      <c r="E150" s="113"/>
      <c r="F150" s="110"/>
      <c r="G150" s="110"/>
      <c r="H150" s="11"/>
      <c r="I150" s="110"/>
      <c r="J150" s="113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5"/>
    </row>
    <row r="151" spans="1:26" x14ac:dyDescent="0.3">
      <c r="A151" s="110"/>
      <c r="B151" s="113"/>
      <c r="C151" s="113"/>
      <c r="D151" s="113"/>
      <c r="E151" s="113"/>
      <c r="F151" s="110"/>
      <c r="G151" s="110"/>
      <c r="H151" s="11"/>
      <c r="I151" s="110"/>
      <c r="J151" s="113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5"/>
    </row>
    <row r="152" spans="1:26" x14ac:dyDescent="0.3">
      <c r="A152" s="110"/>
      <c r="B152" s="113"/>
      <c r="C152" s="113"/>
      <c r="D152" s="113"/>
      <c r="E152" s="113"/>
      <c r="F152" s="110"/>
      <c r="G152" s="110"/>
      <c r="H152" s="11"/>
      <c r="I152" s="110"/>
      <c r="J152" s="113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5"/>
    </row>
    <row r="153" spans="1:26" x14ac:dyDescent="0.3">
      <c r="A153" s="110"/>
      <c r="B153" s="113"/>
      <c r="C153" s="113"/>
      <c r="D153" s="113"/>
      <c r="E153" s="113"/>
      <c r="F153" s="110"/>
      <c r="G153" s="110"/>
      <c r="H153" s="11"/>
      <c r="I153" s="110"/>
      <c r="J153" s="113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5"/>
    </row>
    <row r="154" spans="1:26" x14ac:dyDescent="0.3">
      <c r="A154" s="110"/>
      <c r="B154" s="113"/>
      <c r="C154" s="113"/>
      <c r="D154" s="113"/>
      <c r="E154" s="113"/>
      <c r="F154" s="110"/>
      <c r="G154" s="110"/>
      <c r="H154" s="11"/>
      <c r="I154" s="110"/>
      <c r="J154" s="113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5"/>
    </row>
    <row r="155" spans="1:26" x14ac:dyDescent="0.3">
      <c r="A155" s="110"/>
      <c r="B155" s="113"/>
      <c r="C155" s="113"/>
      <c r="D155" s="113"/>
      <c r="E155" s="113"/>
      <c r="F155" s="110"/>
      <c r="G155" s="110"/>
      <c r="H155" s="11"/>
      <c r="I155" s="110"/>
      <c r="J155" s="113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5"/>
    </row>
    <row r="156" spans="1:26" x14ac:dyDescent="0.3">
      <c r="A156" s="110"/>
      <c r="B156" s="113"/>
      <c r="C156" s="113"/>
      <c r="D156" s="113"/>
      <c r="E156" s="113"/>
      <c r="F156" s="110"/>
      <c r="G156" s="110"/>
      <c r="H156" s="11"/>
      <c r="I156" s="110"/>
      <c r="J156" s="113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5"/>
    </row>
    <row r="157" spans="1:26" x14ac:dyDescent="0.3">
      <c r="A157" s="110"/>
      <c r="B157" s="113"/>
      <c r="C157" s="113"/>
      <c r="D157" s="113"/>
      <c r="E157" s="113"/>
      <c r="F157" s="110"/>
      <c r="G157" s="110"/>
      <c r="H157" s="11"/>
      <c r="I157" s="110"/>
      <c r="J157" s="113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5"/>
    </row>
    <row r="158" spans="1:26" x14ac:dyDescent="0.3">
      <c r="A158" s="110"/>
      <c r="B158" s="113"/>
      <c r="C158" s="113"/>
      <c r="D158" s="113"/>
      <c r="E158" s="113"/>
      <c r="F158" s="110"/>
      <c r="G158" s="110"/>
      <c r="H158" s="11"/>
      <c r="I158" s="110"/>
      <c r="J158" s="113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5"/>
    </row>
    <row r="159" spans="1:26" x14ac:dyDescent="0.3">
      <c r="A159" s="110"/>
      <c r="B159" s="113"/>
      <c r="C159" s="113"/>
      <c r="D159" s="113"/>
      <c r="E159" s="113"/>
      <c r="F159" s="110"/>
      <c r="G159" s="110"/>
      <c r="H159" s="11"/>
      <c r="I159" s="110"/>
      <c r="J159" s="113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5"/>
    </row>
    <row r="160" spans="1:26" x14ac:dyDescent="0.3">
      <c r="A160" s="110"/>
      <c r="B160" s="113"/>
      <c r="C160" s="113"/>
      <c r="D160" s="113"/>
      <c r="E160" s="113"/>
      <c r="F160" s="110"/>
      <c r="G160" s="110"/>
      <c r="H160" s="11"/>
      <c r="I160" s="110"/>
      <c r="J160" s="113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5"/>
    </row>
    <row r="161" spans="1:26" x14ac:dyDescent="0.3">
      <c r="A161" s="110"/>
      <c r="B161" s="113"/>
      <c r="C161" s="113"/>
      <c r="D161" s="113"/>
      <c r="E161" s="113"/>
      <c r="F161" s="110"/>
      <c r="G161" s="110"/>
      <c r="H161" s="11"/>
      <c r="I161" s="110"/>
      <c r="J161" s="113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5"/>
    </row>
    <row r="162" spans="1:26" x14ac:dyDescent="0.3">
      <c r="A162" s="110"/>
      <c r="B162" s="113"/>
      <c r="C162" s="113"/>
      <c r="D162" s="113"/>
      <c r="E162" s="113"/>
      <c r="F162" s="110"/>
      <c r="G162" s="110"/>
      <c r="H162" s="11"/>
      <c r="I162" s="110"/>
      <c r="J162" s="113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5"/>
    </row>
    <row r="163" spans="1:26" x14ac:dyDescent="0.3">
      <c r="A163" s="110"/>
      <c r="B163" s="113"/>
      <c r="C163" s="113"/>
      <c r="D163" s="113"/>
      <c r="E163" s="113"/>
      <c r="F163" s="110"/>
      <c r="G163" s="110"/>
      <c r="H163" s="11"/>
      <c r="I163" s="110"/>
      <c r="J163" s="113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5"/>
    </row>
    <row r="164" spans="1:26" x14ac:dyDescent="0.3">
      <c r="A164" s="110"/>
      <c r="B164" s="113"/>
      <c r="C164" s="113"/>
      <c r="D164" s="113"/>
      <c r="E164" s="113"/>
      <c r="F164" s="110"/>
      <c r="G164" s="110"/>
      <c r="H164" s="11"/>
      <c r="I164" s="110"/>
      <c r="J164" s="113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5"/>
    </row>
    <row r="165" spans="1:26" x14ac:dyDescent="0.3">
      <c r="A165" s="110"/>
      <c r="B165" s="113"/>
      <c r="C165" s="113"/>
      <c r="D165" s="113"/>
      <c r="E165" s="113"/>
      <c r="F165" s="110"/>
      <c r="G165" s="110"/>
      <c r="H165" s="11"/>
      <c r="I165" s="110"/>
      <c r="J165" s="113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5"/>
    </row>
    <row r="166" spans="1:26" x14ac:dyDescent="0.3">
      <c r="A166" s="110"/>
      <c r="B166" s="113"/>
      <c r="C166" s="113"/>
      <c r="D166" s="113"/>
      <c r="E166" s="113"/>
      <c r="F166" s="110"/>
      <c r="G166" s="110"/>
      <c r="H166" s="11"/>
      <c r="I166" s="110"/>
      <c r="J166" s="113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5"/>
    </row>
    <row r="167" spans="1:26" x14ac:dyDescent="0.3">
      <c r="A167" s="110"/>
      <c r="B167" s="113"/>
      <c r="C167" s="113"/>
      <c r="D167" s="113"/>
      <c r="E167" s="113"/>
      <c r="F167" s="110"/>
      <c r="G167" s="110"/>
      <c r="H167" s="11"/>
      <c r="I167" s="110"/>
      <c r="J167" s="113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5"/>
    </row>
    <row r="168" spans="1:26" x14ac:dyDescent="0.3">
      <c r="A168" s="110"/>
      <c r="B168" s="113"/>
      <c r="C168" s="113"/>
      <c r="D168" s="113"/>
      <c r="E168" s="113"/>
      <c r="F168" s="110"/>
      <c r="G168" s="110"/>
      <c r="H168" s="11"/>
      <c r="I168" s="110"/>
      <c r="J168" s="113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5"/>
    </row>
    <row r="169" spans="1:26" x14ac:dyDescent="0.3">
      <c r="A169" s="110"/>
      <c r="B169" s="113"/>
      <c r="C169" s="113"/>
      <c r="D169" s="113"/>
      <c r="E169" s="113"/>
      <c r="F169" s="110"/>
      <c r="G169" s="110"/>
      <c r="H169" s="11"/>
      <c r="I169" s="110"/>
      <c r="J169" s="113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5"/>
    </row>
    <row r="170" spans="1:26" x14ac:dyDescent="0.3">
      <c r="A170" s="110"/>
      <c r="B170" s="113"/>
      <c r="C170" s="113"/>
      <c r="D170" s="113"/>
      <c r="E170" s="113"/>
      <c r="F170" s="110"/>
      <c r="G170" s="110"/>
      <c r="H170" s="11"/>
      <c r="I170" s="110"/>
      <c r="J170" s="113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5"/>
    </row>
    <row r="171" spans="1:26" x14ac:dyDescent="0.3">
      <c r="A171" s="110"/>
      <c r="B171" s="113"/>
      <c r="C171" s="113"/>
      <c r="D171" s="113"/>
      <c r="E171" s="113"/>
      <c r="F171" s="110"/>
      <c r="G171" s="110"/>
      <c r="H171" s="11"/>
      <c r="I171" s="110"/>
      <c r="J171" s="113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5"/>
    </row>
    <row r="172" spans="1:26" x14ac:dyDescent="0.3">
      <c r="A172" s="110"/>
      <c r="B172" s="113"/>
      <c r="C172" s="113"/>
      <c r="D172" s="113"/>
      <c r="E172" s="113"/>
      <c r="F172" s="110"/>
      <c r="G172" s="110"/>
      <c r="H172" s="11"/>
      <c r="I172" s="110"/>
      <c r="J172" s="113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5"/>
    </row>
    <row r="173" spans="1:26" x14ac:dyDescent="0.3">
      <c r="A173" s="110"/>
      <c r="B173" s="113"/>
      <c r="C173" s="113"/>
      <c r="D173" s="113"/>
      <c r="E173" s="113"/>
      <c r="F173" s="110"/>
      <c r="G173" s="110"/>
      <c r="H173" s="11"/>
      <c r="I173" s="110"/>
      <c r="J173" s="113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5"/>
    </row>
    <row r="174" spans="1:26" x14ac:dyDescent="0.3">
      <c r="A174" s="110"/>
      <c r="B174" s="113"/>
      <c r="C174" s="113"/>
      <c r="D174" s="113"/>
      <c r="E174" s="113"/>
      <c r="F174" s="110"/>
      <c r="G174" s="110"/>
      <c r="H174" s="11"/>
      <c r="I174" s="110"/>
      <c r="J174" s="113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5"/>
    </row>
    <row r="175" spans="1:26" x14ac:dyDescent="0.3">
      <c r="A175" s="110"/>
      <c r="B175" s="113"/>
      <c r="C175" s="113"/>
      <c r="D175" s="113"/>
      <c r="E175" s="113"/>
      <c r="F175" s="110"/>
      <c r="G175" s="110"/>
      <c r="H175" s="11"/>
      <c r="I175" s="110"/>
      <c r="J175" s="113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5"/>
    </row>
    <row r="176" spans="1:26" x14ac:dyDescent="0.3">
      <c r="A176" s="110"/>
      <c r="B176" s="113"/>
      <c r="C176" s="113"/>
      <c r="D176" s="113"/>
      <c r="E176" s="113"/>
      <c r="F176" s="110"/>
      <c r="G176" s="110"/>
      <c r="H176" s="11"/>
      <c r="I176" s="110"/>
      <c r="J176" s="113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5"/>
    </row>
    <row r="177" spans="1:26" x14ac:dyDescent="0.3">
      <c r="A177" s="110"/>
      <c r="B177" s="113"/>
      <c r="C177" s="113"/>
      <c r="D177" s="113"/>
      <c r="E177" s="113"/>
      <c r="F177" s="110"/>
      <c r="G177" s="110"/>
      <c r="H177" s="11"/>
      <c r="I177" s="110"/>
      <c r="J177" s="113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5"/>
    </row>
    <row r="178" spans="1:26" x14ac:dyDescent="0.3">
      <c r="A178" s="110"/>
      <c r="B178" s="113"/>
      <c r="C178" s="113"/>
      <c r="D178" s="113"/>
      <c r="E178" s="113"/>
      <c r="F178" s="110"/>
      <c r="G178" s="110"/>
      <c r="H178" s="11"/>
      <c r="I178" s="110"/>
      <c r="J178" s="113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5"/>
    </row>
    <row r="179" spans="1:26" x14ac:dyDescent="0.3">
      <c r="A179" s="110"/>
      <c r="B179" s="113"/>
      <c r="C179" s="113"/>
      <c r="D179" s="113"/>
      <c r="E179" s="113"/>
      <c r="F179" s="110"/>
      <c r="G179" s="110"/>
      <c r="H179" s="11"/>
      <c r="I179" s="110"/>
      <c r="J179" s="113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5"/>
    </row>
    <row r="180" spans="1:26" x14ac:dyDescent="0.3">
      <c r="A180" s="110"/>
      <c r="B180" s="113"/>
      <c r="C180" s="113"/>
      <c r="D180" s="113"/>
      <c r="E180" s="113"/>
      <c r="F180" s="110"/>
      <c r="G180" s="110"/>
      <c r="H180" s="11"/>
      <c r="I180" s="110"/>
      <c r="J180" s="113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5"/>
    </row>
    <row r="181" spans="1:26" x14ac:dyDescent="0.3">
      <c r="A181" s="110"/>
      <c r="B181" s="113"/>
      <c r="C181" s="113"/>
      <c r="D181" s="113"/>
      <c r="E181" s="113"/>
      <c r="F181" s="110"/>
      <c r="G181" s="110"/>
      <c r="H181" s="11"/>
      <c r="I181" s="110"/>
      <c r="J181" s="113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5"/>
    </row>
    <row r="182" spans="1:26" x14ac:dyDescent="0.3">
      <c r="A182" s="110"/>
      <c r="B182" s="113"/>
      <c r="C182" s="113"/>
      <c r="D182" s="113"/>
      <c r="E182" s="113"/>
      <c r="F182" s="110"/>
      <c r="G182" s="110"/>
      <c r="H182" s="11"/>
      <c r="I182" s="110"/>
      <c r="J182" s="113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5"/>
    </row>
    <row r="183" spans="1:26" x14ac:dyDescent="0.3">
      <c r="A183" s="110"/>
      <c r="B183" s="113"/>
      <c r="C183" s="113"/>
      <c r="D183" s="113"/>
      <c r="E183" s="113"/>
      <c r="F183" s="110"/>
      <c r="G183" s="110"/>
      <c r="H183" s="11"/>
      <c r="I183" s="110"/>
      <c r="J183" s="113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5"/>
    </row>
    <row r="184" spans="1:26" x14ac:dyDescent="0.3">
      <c r="A184" s="110"/>
      <c r="B184" s="113"/>
      <c r="C184" s="113"/>
      <c r="D184" s="113"/>
      <c r="E184" s="113"/>
      <c r="F184" s="110"/>
      <c r="G184" s="110"/>
      <c r="H184" s="11"/>
      <c r="I184" s="110"/>
      <c r="J184" s="113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5"/>
    </row>
    <row r="185" spans="1:26" x14ac:dyDescent="0.3">
      <c r="A185" s="110"/>
      <c r="B185" s="113"/>
      <c r="C185" s="113"/>
      <c r="D185" s="113"/>
      <c r="E185" s="113"/>
      <c r="F185" s="110"/>
      <c r="G185" s="110"/>
      <c r="H185" s="11"/>
      <c r="I185" s="110"/>
      <c r="J185" s="113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5"/>
    </row>
    <row r="186" spans="1:26" x14ac:dyDescent="0.3">
      <c r="A186" s="110"/>
      <c r="B186" s="113"/>
      <c r="C186" s="113"/>
      <c r="D186" s="113"/>
      <c r="E186" s="113"/>
      <c r="F186" s="110"/>
      <c r="G186" s="110"/>
      <c r="H186" s="11"/>
      <c r="I186" s="110"/>
      <c r="J186" s="113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5"/>
    </row>
    <row r="187" spans="1:26" x14ac:dyDescent="0.3">
      <c r="A187" s="110"/>
      <c r="B187" s="113"/>
      <c r="C187" s="113"/>
      <c r="D187" s="113"/>
      <c r="E187" s="113"/>
      <c r="F187" s="110"/>
      <c r="G187" s="110"/>
      <c r="H187" s="11"/>
      <c r="I187" s="110"/>
      <c r="J187" s="113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5"/>
    </row>
    <row r="188" spans="1:26" x14ac:dyDescent="0.3">
      <c r="A188" s="110"/>
      <c r="B188" s="113"/>
      <c r="C188" s="113"/>
      <c r="D188" s="113"/>
      <c r="E188" s="113"/>
      <c r="F188" s="110"/>
      <c r="G188" s="110"/>
      <c r="H188" s="11"/>
      <c r="I188" s="110"/>
      <c r="J188" s="113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5"/>
    </row>
    <row r="189" spans="1:26" x14ac:dyDescent="0.3">
      <c r="A189" s="110"/>
      <c r="B189" s="113"/>
      <c r="C189" s="113"/>
      <c r="D189" s="113"/>
      <c r="E189" s="113"/>
      <c r="F189" s="110"/>
      <c r="G189" s="110"/>
      <c r="H189" s="11"/>
      <c r="I189" s="110"/>
      <c r="J189" s="113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5"/>
    </row>
    <row r="190" spans="1:26" x14ac:dyDescent="0.3">
      <c r="A190" s="110"/>
      <c r="B190" s="113"/>
      <c r="C190" s="113"/>
      <c r="D190" s="113"/>
      <c r="E190" s="113"/>
      <c r="F190" s="110"/>
      <c r="G190" s="110"/>
      <c r="H190" s="11"/>
      <c r="I190" s="110"/>
      <c r="J190" s="113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5"/>
    </row>
    <row r="191" spans="1:26" x14ac:dyDescent="0.3">
      <c r="A191" s="110"/>
      <c r="B191" s="113"/>
      <c r="C191" s="113"/>
      <c r="D191" s="113"/>
      <c r="E191" s="113"/>
      <c r="F191" s="110"/>
      <c r="G191" s="110"/>
      <c r="H191" s="11"/>
      <c r="I191" s="110"/>
      <c r="J191" s="113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5"/>
    </row>
    <row r="192" spans="1:26" x14ac:dyDescent="0.3">
      <c r="A192" s="110"/>
      <c r="B192" s="113"/>
      <c r="C192" s="113"/>
      <c r="D192" s="113"/>
      <c r="E192" s="113"/>
      <c r="F192" s="110"/>
      <c r="G192" s="110"/>
      <c r="H192" s="11"/>
      <c r="I192" s="110"/>
      <c r="J192" s="113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5"/>
    </row>
    <row r="193" spans="1:26" x14ac:dyDescent="0.3">
      <c r="A193" s="110"/>
      <c r="B193" s="113"/>
      <c r="C193" s="113"/>
      <c r="D193" s="113"/>
      <c r="E193" s="113"/>
      <c r="F193" s="110"/>
      <c r="G193" s="110"/>
      <c r="H193" s="11"/>
      <c r="I193" s="110"/>
      <c r="J193" s="113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5"/>
    </row>
    <row r="194" spans="1:26" x14ac:dyDescent="0.3">
      <c r="A194" s="110"/>
      <c r="B194" s="113"/>
      <c r="C194" s="113"/>
      <c r="D194" s="113"/>
      <c r="E194" s="113"/>
      <c r="F194" s="110"/>
      <c r="G194" s="110"/>
      <c r="H194" s="11"/>
      <c r="I194" s="110"/>
      <c r="J194" s="113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5"/>
    </row>
    <row r="195" spans="1:26" x14ac:dyDescent="0.3">
      <c r="A195" s="110"/>
      <c r="B195" s="113"/>
      <c r="C195" s="113"/>
      <c r="D195" s="113"/>
      <c r="E195" s="113"/>
      <c r="F195" s="110"/>
      <c r="G195" s="110"/>
      <c r="H195" s="11"/>
      <c r="I195" s="110"/>
      <c r="J195" s="113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5"/>
    </row>
    <row r="196" spans="1:26" x14ac:dyDescent="0.3">
      <c r="A196" s="110"/>
      <c r="B196" s="113"/>
      <c r="C196" s="113"/>
      <c r="D196" s="113"/>
      <c r="E196" s="113"/>
      <c r="F196" s="110"/>
      <c r="G196" s="110"/>
      <c r="H196" s="11"/>
      <c r="I196" s="110"/>
      <c r="J196" s="113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5"/>
    </row>
    <row r="197" spans="1:26" x14ac:dyDescent="0.3">
      <c r="A197" s="110"/>
      <c r="B197" s="113"/>
      <c r="C197" s="113"/>
      <c r="D197" s="113"/>
      <c r="E197" s="113"/>
      <c r="F197" s="110"/>
      <c r="G197" s="110"/>
      <c r="H197" s="11"/>
      <c r="I197" s="110"/>
      <c r="J197" s="113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5"/>
    </row>
    <row r="198" spans="1:26" x14ac:dyDescent="0.3">
      <c r="A198" s="110"/>
      <c r="B198" s="113"/>
      <c r="C198" s="113"/>
      <c r="D198" s="113"/>
      <c r="E198" s="113"/>
      <c r="F198" s="110"/>
      <c r="G198" s="110"/>
      <c r="H198" s="11"/>
      <c r="I198" s="110"/>
      <c r="J198" s="113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5"/>
    </row>
    <row r="199" spans="1:26" x14ac:dyDescent="0.3">
      <c r="A199" s="110"/>
      <c r="B199" s="113"/>
      <c r="C199" s="113"/>
      <c r="D199" s="113"/>
      <c r="E199" s="113"/>
      <c r="F199" s="110"/>
      <c r="G199" s="110"/>
      <c r="H199" s="11"/>
      <c r="I199" s="110"/>
      <c r="J199" s="113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5"/>
    </row>
    <row r="200" spans="1:26" x14ac:dyDescent="0.3">
      <c r="A200" s="110"/>
      <c r="B200" s="113"/>
      <c r="C200" s="113"/>
      <c r="D200" s="113"/>
      <c r="E200" s="113"/>
      <c r="F200" s="110"/>
      <c r="G200" s="110"/>
      <c r="H200" s="11"/>
      <c r="I200" s="110"/>
      <c r="J200" s="113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5"/>
    </row>
    <row r="201" spans="1:26" x14ac:dyDescent="0.3">
      <c r="A201" s="110"/>
      <c r="B201" s="113"/>
      <c r="C201" s="113"/>
      <c r="D201" s="113"/>
      <c r="E201" s="113"/>
      <c r="F201" s="110"/>
      <c r="G201" s="110"/>
      <c r="H201" s="11"/>
      <c r="I201" s="110"/>
      <c r="J201" s="113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5"/>
    </row>
    <row r="202" spans="1:26" x14ac:dyDescent="0.3">
      <c r="A202" s="110"/>
      <c r="B202" s="113"/>
      <c r="C202" s="113"/>
      <c r="D202" s="113"/>
      <c r="E202" s="113"/>
      <c r="F202" s="110"/>
      <c r="G202" s="110"/>
      <c r="H202" s="11"/>
      <c r="I202" s="110"/>
      <c r="J202" s="113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5"/>
    </row>
    <row r="203" spans="1:26" x14ac:dyDescent="0.3">
      <c r="A203" s="110"/>
      <c r="B203" s="113"/>
      <c r="C203" s="113"/>
      <c r="D203" s="113"/>
      <c r="E203" s="113"/>
      <c r="F203" s="110"/>
      <c r="G203" s="110"/>
      <c r="H203" s="11"/>
      <c r="I203" s="110"/>
      <c r="J203" s="113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5"/>
    </row>
    <row r="204" spans="1:26" x14ac:dyDescent="0.3">
      <c r="A204" s="110"/>
      <c r="B204" s="113"/>
      <c r="C204" s="113"/>
      <c r="D204" s="113"/>
      <c r="E204" s="113"/>
      <c r="F204" s="110"/>
      <c r="G204" s="110"/>
      <c r="H204" s="11"/>
      <c r="I204" s="110"/>
      <c r="J204" s="113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5"/>
    </row>
    <row r="205" spans="1:26" x14ac:dyDescent="0.3">
      <c r="A205" s="110"/>
      <c r="B205" s="113"/>
      <c r="C205" s="113"/>
      <c r="D205" s="113"/>
      <c r="E205" s="113"/>
      <c r="F205" s="110"/>
      <c r="G205" s="110"/>
      <c r="H205" s="11"/>
      <c r="I205" s="110"/>
      <c r="J205" s="113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5"/>
    </row>
    <row r="206" spans="1:26" x14ac:dyDescent="0.3">
      <c r="A206" s="110"/>
      <c r="B206" s="113"/>
      <c r="C206" s="113"/>
      <c r="D206" s="113"/>
      <c r="E206" s="113"/>
      <c r="F206" s="110"/>
      <c r="G206" s="110"/>
      <c r="H206" s="11"/>
      <c r="I206" s="110"/>
      <c r="J206" s="113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5"/>
    </row>
    <row r="207" spans="1:26" x14ac:dyDescent="0.3">
      <c r="A207" s="110"/>
      <c r="B207" s="113"/>
      <c r="C207" s="113"/>
      <c r="D207" s="113"/>
      <c r="E207" s="113"/>
      <c r="F207" s="110"/>
      <c r="G207" s="110"/>
      <c r="H207" s="11"/>
      <c r="I207" s="110"/>
      <c r="J207" s="113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5"/>
    </row>
    <row r="208" spans="1:26" x14ac:dyDescent="0.3">
      <c r="A208" s="110"/>
      <c r="B208" s="113"/>
      <c r="C208" s="113"/>
      <c r="D208" s="113"/>
      <c r="E208" s="113"/>
      <c r="F208" s="110"/>
      <c r="G208" s="110"/>
      <c r="H208" s="11"/>
      <c r="I208" s="110"/>
      <c r="J208" s="113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5"/>
    </row>
    <row r="209" spans="1:26" x14ac:dyDescent="0.3">
      <c r="A209" s="110"/>
      <c r="B209" s="113"/>
      <c r="C209" s="113"/>
      <c r="D209" s="113"/>
      <c r="E209" s="113"/>
      <c r="F209" s="110"/>
      <c r="G209" s="110"/>
      <c r="H209" s="11"/>
      <c r="I209" s="110"/>
      <c r="J209" s="113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5"/>
    </row>
    <row r="210" spans="1:26" x14ac:dyDescent="0.3">
      <c r="A210" s="110"/>
      <c r="B210" s="113"/>
      <c r="C210" s="113"/>
      <c r="D210" s="113"/>
      <c r="E210" s="113"/>
      <c r="F210" s="110"/>
      <c r="G210" s="110"/>
      <c r="H210" s="11"/>
      <c r="I210" s="110"/>
      <c r="J210" s="113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5"/>
    </row>
    <row r="211" spans="1:26" x14ac:dyDescent="0.3">
      <c r="A211" s="110"/>
      <c r="B211" s="113"/>
      <c r="C211" s="113"/>
      <c r="D211" s="113"/>
      <c r="E211" s="113"/>
      <c r="F211" s="110"/>
      <c r="G211" s="110"/>
      <c r="H211" s="11"/>
      <c r="I211" s="110"/>
      <c r="J211" s="113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5"/>
    </row>
    <row r="212" spans="1:26" x14ac:dyDescent="0.3">
      <c r="A212" s="110"/>
      <c r="B212" s="113"/>
      <c r="C212" s="113"/>
      <c r="D212" s="113"/>
      <c r="E212" s="113"/>
      <c r="F212" s="110"/>
      <c r="G212" s="110"/>
      <c r="H212" s="11"/>
      <c r="I212" s="110"/>
      <c r="J212" s="113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5"/>
    </row>
    <row r="213" spans="1:26" x14ac:dyDescent="0.3">
      <c r="A213" s="110"/>
      <c r="B213" s="113"/>
      <c r="C213" s="113"/>
      <c r="D213" s="113"/>
      <c r="E213" s="113"/>
      <c r="F213" s="110"/>
      <c r="G213" s="110"/>
      <c r="H213" s="11"/>
      <c r="I213" s="110"/>
      <c r="J213" s="113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5"/>
    </row>
    <row r="214" spans="1:26" x14ac:dyDescent="0.3">
      <c r="A214" s="110"/>
      <c r="B214" s="113"/>
      <c r="C214" s="113"/>
      <c r="D214" s="113"/>
      <c r="E214" s="113"/>
      <c r="F214" s="110"/>
      <c r="G214" s="110"/>
      <c r="H214" s="11"/>
      <c r="I214" s="110"/>
      <c r="J214" s="113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5"/>
    </row>
    <row r="215" spans="1:26" x14ac:dyDescent="0.3">
      <c r="A215" s="110"/>
      <c r="B215" s="113"/>
      <c r="C215" s="113"/>
      <c r="D215" s="113"/>
      <c r="E215" s="113"/>
      <c r="F215" s="110"/>
      <c r="G215" s="110"/>
      <c r="H215" s="11"/>
      <c r="I215" s="110"/>
      <c r="J215" s="113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5"/>
    </row>
    <row r="216" spans="1:26" x14ac:dyDescent="0.3">
      <c r="A216" s="110"/>
      <c r="B216" s="113"/>
      <c r="C216" s="113"/>
      <c r="D216" s="113"/>
      <c r="E216" s="113"/>
      <c r="F216" s="110"/>
      <c r="G216" s="110"/>
      <c r="H216" s="11"/>
      <c r="I216" s="110"/>
      <c r="J216" s="113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5"/>
    </row>
    <row r="217" spans="1:26" x14ac:dyDescent="0.3">
      <c r="A217" s="110"/>
      <c r="B217" s="113"/>
      <c r="C217" s="113"/>
      <c r="D217" s="113"/>
      <c r="E217" s="113"/>
      <c r="F217" s="110"/>
      <c r="G217" s="110"/>
      <c r="H217" s="11"/>
      <c r="I217" s="110"/>
      <c r="J217" s="113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5"/>
    </row>
    <row r="218" spans="1:26" x14ac:dyDescent="0.3">
      <c r="A218" s="110"/>
      <c r="B218" s="113"/>
      <c r="C218" s="113"/>
      <c r="D218" s="113"/>
      <c r="E218" s="113"/>
      <c r="F218" s="110"/>
      <c r="G218" s="110"/>
      <c r="H218" s="11"/>
      <c r="I218" s="110"/>
      <c r="J218" s="113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5"/>
    </row>
    <row r="219" spans="1:26" x14ac:dyDescent="0.3">
      <c r="A219" s="110"/>
      <c r="B219" s="113"/>
      <c r="C219" s="113"/>
      <c r="D219" s="113"/>
      <c r="E219" s="113"/>
      <c r="F219" s="110"/>
      <c r="G219" s="110"/>
      <c r="H219" s="11"/>
      <c r="I219" s="110"/>
      <c r="J219" s="113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5"/>
    </row>
    <row r="220" spans="1:26" x14ac:dyDescent="0.3">
      <c r="A220" s="110"/>
      <c r="B220" s="113"/>
      <c r="C220" s="113"/>
      <c r="D220" s="113"/>
      <c r="E220" s="113"/>
      <c r="F220" s="110"/>
      <c r="G220" s="110"/>
      <c r="H220" s="11"/>
      <c r="I220" s="110"/>
      <c r="J220" s="113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5"/>
    </row>
    <row r="221" spans="1:26" x14ac:dyDescent="0.3">
      <c r="A221" s="110"/>
      <c r="B221" s="113"/>
      <c r="C221" s="113"/>
      <c r="D221" s="113"/>
      <c r="E221" s="113"/>
      <c r="F221" s="110"/>
      <c r="G221" s="110"/>
      <c r="H221" s="11"/>
      <c r="I221" s="110"/>
      <c r="J221" s="113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0"/>
      <c r="V221" s="110"/>
      <c r="W221" s="110"/>
      <c r="X221" s="110"/>
      <c r="Y221" s="110"/>
      <c r="Z221" s="5"/>
    </row>
    <row r="222" spans="1:26" x14ac:dyDescent="0.3">
      <c r="A222" s="110"/>
      <c r="B222" s="113"/>
      <c r="C222" s="113"/>
      <c r="D222" s="113"/>
      <c r="E222" s="113"/>
      <c r="F222" s="110"/>
      <c r="G222" s="110"/>
      <c r="H222" s="11"/>
      <c r="I222" s="110"/>
      <c r="J222" s="113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0"/>
      <c r="V222" s="110"/>
      <c r="W222" s="110"/>
      <c r="X222" s="110"/>
      <c r="Y222" s="110"/>
      <c r="Z222" s="5"/>
    </row>
    <row r="223" spans="1:26" x14ac:dyDescent="0.3">
      <c r="A223" s="110"/>
      <c r="B223" s="113"/>
      <c r="C223" s="113"/>
      <c r="D223" s="113"/>
      <c r="E223" s="113"/>
      <c r="F223" s="110"/>
      <c r="G223" s="110"/>
      <c r="H223" s="11"/>
      <c r="I223" s="110"/>
      <c r="J223" s="113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0"/>
      <c r="V223" s="110"/>
      <c r="W223" s="110"/>
      <c r="X223" s="110"/>
      <c r="Y223" s="110"/>
      <c r="Z223" s="5"/>
    </row>
    <row r="224" spans="1:26" x14ac:dyDescent="0.3">
      <c r="A224" s="110"/>
      <c r="B224" s="113"/>
      <c r="C224" s="113"/>
      <c r="D224" s="113"/>
      <c r="E224" s="113"/>
      <c r="F224" s="110"/>
      <c r="G224" s="110"/>
      <c r="H224" s="11"/>
      <c r="I224" s="110"/>
      <c r="J224" s="113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0"/>
      <c r="V224" s="110"/>
      <c r="W224" s="110"/>
      <c r="X224" s="110"/>
      <c r="Y224" s="110"/>
      <c r="Z224" s="5"/>
    </row>
    <row r="225" spans="1:26" x14ac:dyDescent="0.3">
      <c r="A225" s="110"/>
      <c r="B225" s="113"/>
      <c r="C225" s="113"/>
      <c r="D225" s="113"/>
      <c r="E225" s="113"/>
      <c r="F225" s="110"/>
      <c r="G225" s="110"/>
      <c r="H225" s="11"/>
      <c r="I225" s="110"/>
      <c r="J225" s="113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0"/>
      <c r="V225" s="110"/>
      <c r="W225" s="110"/>
      <c r="X225" s="110"/>
      <c r="Y225" s="110"/>
      <c r="Z225" s="5"/>
    </row>
    <row r="226" spans="1:26" x14ac:dyDescent="0.3">
      <c r="A226" s="110"/>
      <c r="B226" s="113"/>
      <c r="C226" s="113"/>
      <c r="D226" s="113"/>
      <c r="E226" s="113"/>
      <c r="F226" s="110"/>
      <c r="G226" s="110"/>
      <c r="H226" s="11"/>
      <c r="I226" s="110"/>
      <c r="J226" s="113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0"/>
      <c r="V226" s="110"/>
      <c r="W226" s="110"/>
      <c r="X226" s="110"/>
      <c r="Y226" s="110"/>
      <c r="Z226" s="5"/>
    </row>
    <row r="227" spans="1:26" x14ac:dyDescent="0.3">
      <c r="A227" s="110"/>
      <c r="B227" s="113"/>
      <c r="C227" s="113"/>
      <c r="D227" s="113"/>
      <c r="E227" s="113"/>
      <c r="F227" s="110"/>
      <c r="G227" s="110"/>
      <c r="H227" s="11"/>
      <c r="I227" s="110"/>
      <c r="J227" s="113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0"/>
      <c r="V227" s="110"/>
      <c r="W227" s="110"/>
      <c r="X227" s="110"/>
      <c r="Y227" s="110"/>
      <c r="Z227" s="5"/>
    </row>
    <row r="228" spans="1:26" x14ac:dyDescent="0.3">
      <c r="A228" s="110"/>
      <c r="B228" s="113"/>
      <c r="C228" s="113"/>
      <c r="D228" s="113"/>
      <c r="E228" s="113"/>
      <c r="F228" s="110"/>
      <c r="G228" s="110"/>
      <c r="H228" s="11"/>
      <c r="I228" s="110"/>
      <c r="J228" s="113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0"/>
      <c r="V228" s="110"/>
      <c r="W228" s="110"/>
      <c r="X228" s="110"/>
      <c r="Y228" s="110"/>
      <c r="Z228" s="5"/>
    </row>
    <row r="229" spans="1:26" x14ac:dyDescent="0.3">
      <c r="A229" s="110"/>
      <c r="B229" s="113"/>
      <c r="C229" s="113"/>
      <c r="D229" s="113"/>
      <c r="E229" s="113"/>
      <c r="F229" s="110"/>
      <c r="G229" s="110"/>
      <c r="H229" s="11"/>
      <c r="I229" s="110"/>
      <c r="J229" s="113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0"/>
      <c r="V229" s="110"/>
      <c r="W229" s="110"/>
      <c r="X229" s="110"/>
      <c r="Y229" s="110"/>
      <c r="Z229" s="5"/>
    </row>
    <row r="230" spans="1:26" x14ac:dyDescent="0.3">
      <c r="A230" s="110"/>
      <c r="B230" s="113"/>
      <c r="C230" s="113"/>
      <c r="D230" s="113"/>
      <c r="E230" s="113"/>
      <c r="F230" s="110"/>
      <c r="G230" s="110"/>
      <c r="H230" s="11"/>
      <c r="I230" s="110"/>
      <c r="J230" s="113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0"/>
      <c r="V230" s="110"/>
      <c r="W230" s="110"/>
      <c r="X230" s="110"/>
      <c r="Y230" s="110"/>
      <c r="Z230" s="5"/>
    </row>
    <row r="231" spans="1:26" x14ac:dyDescent="0.3">
      <c r="A231" s="110"/>
      <c r="B231" s="113"/>
      <c r="C231" s="113"/>
      <c r="D231" s="113"/>
      <c r="E231" s="113"/>
      <c r="F231" s="110"/>
      <c r="G231" s="110"/>
      <c r="H231" s="11"/>
      <c r="I231" s="110"/>
      <c r="J231" s="113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5"/>
    </row>
    <row r="232" spans="1:26" x14ac:dyDescent="0.3">
      <c r="A232" s="110"/>
      <c r="B232" s="113"/>
      <c r="C232" s="113"/>
      <c r="D232" s="113"/>
      <c r="E232" s="113"/>
      <c r="F232" s="110"/>
      <c r="G232" s="110"/>
      <c r="H232" s="11"/>
      <c r="I232" s="110"/>
      <c r="J232" s="113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0"/>
      <c r="V232" s="110"/>
      <c r="W232" s="110"/>
      <c r="X232" s="110"/>
      <c r="Y232" s="110"/>
      <c r="Z232" s="5"/>
    </row>
    <row r="233" spans="1:26" x14ac:dyDescent="0.3">
      <c r="A233" s="110"/>
      <c r="B233" s="113"/>
      <c r="C233" s="113"/>
      <c r="D233" s="113"/>
      <c r="E233" s="113"/>
      <c r="F233" s="110"/>
      <c r="G233" s="110"/>
      <c r="H233" s="11"/>
      <c r="I233" s="110"/>
      <c r="J233" s="113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0"/>
      <c r="V233" s="110"/>
      <c r="W233" s="110"/>
      <c r="X233" s="110"/>
      <c r="Y233" s="110"/>
      <c r="Z233" s="5"/>
    </row>
    <row r="234" spans="1:26" x14ac:dyDescent="0.3">
      <c r="A234" s="110"/>
      <c r="B234" s="113"/>
      <c r="C234" s="113"/>
      <c r="D234" s="113"/>
      <c r="E234" s="113"/>
      <c r="F234" s="110"/>
      <c r="G234" s="110"/>
      <c r="H234" s="11"/>
      <c r="I234" s="110"/>
      <c r="J234" s="113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0"/>
      <c r="V234" s="110"/>
      <c r="W234" s="110"/>
      <c r="X234" s="110"/>
      <c r="Y234" s="110"/>
      <c r="Z234" s="5"/>
    </row>
    <row r="235" spans="1:26" x14ac:dyDescent="0.3">
      <c r="A235" s="110"/>
      <c r="B235" s="113"/>
      <c r="C235" s="113"/>
      <c r="D235" s="113"/>
      <c r="E235" s="113"/>
      <c r="F235" s="110"/>
      <c r="G235" s="110"/>
      <c r="H235" s="11"/>
      <c r="I235" s="110"/>
      <c r="J235" s="113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0"/>
      <c r="V235" s="110"/>
      <c r="W235" s="110"/>
      <c r="X235" s="110"/>
      <c r="Y235" s="110"/>
      <c r="Z235" s="5"/>
    </row>
    <row r="236" spans="1:26" x14ac:dyDescent="0.3">
      <c r="A236" s="110"/>
      <c r="B236" s="113"/>
      <c r="C236" s="113"/>
      <c r="D236" s="113"/>
      <c r="E236" s="113"/>
      <c r="F236" s="110"/>
      <c r="G236" s="110"/>
      <c r="H236" s="11"/>
      <c r="I236" s="110"/>
      <c r="J236" s="113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0"/>
      <c r="V236" s="110"/>
      <c r="W236" s="110"/>
      <c r="X236" s="110"/>
      <c r="Y236" s="110"/>
      <c r="Z236" s="5"/>
    </row>
    <row r="237" spans="1:26" x14ac:dyDescent="0.3">
      <c r="A237" s="110"/>
      <c r="B237" s="113"/>
      <c r="C237" s="113"/>
      <c r="D237" s="113"/>
      <c r="E237" s="113"/>
      <c r="F237" s="110"/>
      <c r="G237" s="110"/>
      <c r="H237" s="11"/>
      <c r="I237" s="110"/>
      <c r="J237" s="113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0"/>
      <c r="V237" s="110"/>
      <c r="W237" s="110"/>
      <c r="X237" s="110"/>
      <c r="Y237" s="110"/>
      <c r="Z237" s="5"/>
    </row>
    <row r="238" spans="1:26" x14ac:dyDescent="0.3">
      <c r="A238" s="110"/>
      <c r="B238" s="113"/>
      <c r="C238" s="113"/>
      <c r="D238" s="113"/>
      <c r="E238" s="113"/>
      <c r="F238" s="110"/>
      <c r="G238" s="110"/>
      <c r="H238" s="11"/>
      <c r="I238" s="110"/>
      <c r="J238" s="113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0"/>
      <c r="V238" s="110"/>
      <c r="W238" s="110"/>
      <c r="X238" s="110"/>
      <c r="Y238" s="110"/>
      <c r="Z238" s="5"/>
    </row>
    <row r="239" spans="1:26" x14ac:dyDescent="0.3">
      <c r="A239" s="110"/>
      <c r="B239" s="113"/>
      <c r="C239" s="113"/>
      <c r="D239" s="113"/>
      <c r="E239" s="113"/>
      <c r="F239" s="110"/>
      <c r="G239" s="110"/>
      <c r="H239" s="11"/>
      <c r="I239" s="110"/>
      <c r="J239" s="113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0"/>
      <c r="V239" s="110"/>
      <c r="W239" s="110"/>
      <c r="X239" s="110"/>
      <c r="Y239" s="110"/>
      <c r="Z239" s="5"/>
    </row>
    <row r="240" spans="1:26" x14ac:dyDescent="0.3">
      <c r="A240" s="110"/>
      <c r="B240" s="113"/>
      <c r="C240" s="113"/>
      <c r="D240" s="113"/>
      <c r="E240" s="113"/>
      <c r="F240" s="110"/>
      <c r="G240" s="110"/>
      <c r="H240" s="11"/>
      <c r="I240" s="110"/>
      <c r="J240" s="113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0"/>
      <c r="V240" s="110"/>
      <c r="W240" s="110"/>
      <c r="X240" s="110"/>
      <c r="Y240" s="110"/>
      <c r="Z240" s="5"/>
    </row>
    <row r="241" spans="1:26" x14ac:dyDescent="0.3">
      <c r="A241" s="110"/>
      <c r="B241" s="113"/>
      <c r="C241" s="113"/>
      <c r="D241" s="113"/>
      <c r="E241" s="113"/>
      <c r="F241" s="110"/>
      <c r="G241" s="110"/>
      <c r="H241" s="11"/>
      <c r="I241" s="110"/>
      <c r="J241" s="113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0"/>
      <c r="V241" s="110"/>
      <c r="W241" s="110"/>
      <c r="X241" s="110"/>
      <c r="Y241" s="110"/>
      <c r="Z241" s="5"/>
    </row>
    <row r="242" spans="1:26" x14ac:dyDescent="0.3">
      <c r="A242" s="110"/>
      <c r="B242" s="113"/>
      <c r="C242" s="113"/>
      <c r="D242" s="113"/>
      <c r="E242" s="113"/>
      <c r="F242" s="110"/>
      <c r="G242" s="110"/>
      <c r="H242" s="11"/>
      <c r="I242" s="110"/>
      <c r="J242" s="113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0"/>
      <c r="V242" s="110"/>
      <c r="W242" s="110"/>
      <c r="X242" s="110"/>
      <c r="Y242" s="110"/>
      <c r="Z242" s="5"/>
    </row>
    <row r="243" spans="1:26" x14ac:dyDescent="0.3">
      <c r="A243" s="110"/>
      <c r="B243" s="113"/>
      <c r="C243" s="113"/>
      <c r="D243" s="113"/>
      <c r="E243" s="113"/>
      <c r="F243" s="110"/>
      <c r="G243" s="110"/>
      <c r="H243" s="11"/>
      <c r="I243" s="110"/>
      <c r="J243" s="113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0"/>
      <c r="V243" s="110"/>
      <c r="W243" s="110"/>
      <c r="X243" s="110"/>
      <c r="Y243" s="110"/>
      <c r="Z243" s="5"/>
    </row>
    <row r="244" spans="1:26" x14ac:dyDescent="0.3">
      <c r="A244" s="110"/>
      <c r="B244" s="113"/>
      <c r="C244" s="113"/>
      <c r="D244" s="113"/>
      <c r="E244" s="113"/>
      <c r="F244" s="110"/>
      <c r="G244" s="110"/>
      <c r="H244" s="11"/>
      <c r="I244" s="110"/>
      <c r="J244" s="113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0"/>
      <c r="V244" s="110"/>
      <c r="W244" s="110"/>
      <c r="X244" s="110"/>
      <c r="Y244" s="110"/>
      <c r="Z244" s="5"/>
    </row>
    <row r="245" spans="1:26" x14ac:dyDescent="0.3">
      <c r="A245" s="110"/>
      <c r="B245" s="113"/>
      <c r="C245" s="113"/>
      <c r="D245" s="113"/>
      <c r="E245" s="113"/>
      <c r="F245" s="110"/>
      <c r="G245" s="110"/>
      <c r="H245" s="11"/>
      <c r="I245" s="110"/>
      <c r="J245" s="113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0"/>
      <c r="V245" s="110"/>
      <c r="W245" s="110"/>
      <c r="X245" s="110"/>
      <c r="Y245" s="110"/>
      <c r="Z245" s="5"/>
    </row>
    <row r="246" spans="1:26" x14ac:dyDescent="0.3">
      <c r="A246" s="110"/>
      <c r="B246" s="113"/>
      <c r="C246" s="113"/>
      <c r="D246" s="113"/>
      <c r="E246" s="113"/>
      <c r="F246" s="110"/>
      <c r="G246" s="110"/>
      <c r="H246" s="11"/>
      <c r="I246" s="110"/>
      <c r="J246" s="113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0"/>
      <c r="V246" s="110"/>
      <c r="W246" s="110"/>
      <c r="X246" s="110"/>
      <c r="Y246" s="110"/>
      <c r="Z246" s="5"/>
    </row>
    <row r="247" spans="1:26" x14ac:dyDescent="0.3">
      <c r="A247" s="110"/>
      <c r="B247" s="113"/>
      <c r="C247" s="113"/>
      <c r="D247" s="113"/>
      <c r="E247" s="113"/>
      <c r="F247" s="110"/>
      <c r="G247" s="110"/>
      <c r="H247" s="11"/>
      <c r="I247" s="110"/>
      <c r="J247" s="113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0"/>
      <c r="V247" s="110"/>
      <c r="W247" s="110"/>
      <c r="X247" s="110"/>
      <c r="Y247" s="110"/>
      <c r="Z247" s="5"/>
    </row>
    <row r="248" spans="1:26" x14ac:dyDescent="0.3">
      <c r="A248" s="110"/>
      <c r="B248" s="113"/>
      <c r="C248" s="113"/>
      <c r="D248" s="113"/>
      <c r="E248" s="113"/>
      <c r="F248" s="110"/>
      <c r="G248" s="110"/>
      <c r="H248" s="11"/>
      <c r="I248" s="110"/>
      <c r="J248" s="113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0"/>
      <c r="V248" s="110"/>
      <c r="W248" s="110"/>
      <c r="X248" s="110"/>
      <c r="Y248" s="110"/>
      <c r="Z248" s="5"/>
    </row>
    <row r="249" spans="1:26" x14ac:dyDescent="0.3">
      <c r="A249" s="110"/>
      <c r="B249" s="113"/>
      <c r="C249" s="113"/>
      <c r="D249" s="113"/>
      <c r="E249" s="113"/>
      <c r="F249" s="110"/>
      <c r="G249" s="110"/>
      <c r="H249" s="11"/>
      <c r="I249" s="110"/>
      <c r="J249" s="113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0"/>
      <c r="V249" s="110"/>
      <c r="W249" s="110"/>
      <c r="X249" s="110"/>
      <c r="Y249" s="110"/>
      <c r="Z249" s="5"/>
    </row>
    <row r="250" spans="1:26" x14ac:dyDescent="0.3">
      <c r="A250" s="110"/>
      <c r="B250" s="113"/>
      <c r="C250" s="113"/>
      <c r="D250" s="113"/>
      <c r="E250" s="113"/>
      <c r="F250" s="110"/>
      <c r="G250" s="110"/>
      <c r="H250" s="11"/>
      <c r="I250" s="110"/>
      <c r="J250" s="113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0"/>
      <c r="V250" s="110"/>
      <c r="W250" s="110"/>
      <c r="X250" s="110"/>
      <c r="Y250" s="110"/>
      <c r="Z250" s="5"/>
    </row>
    <row r="251" spans="1:26" x14ac:dyDescent="0.3">
      <c r="A251" s="110"/>
      <c r="B251" s="113"/>
      <c r="C251" s="113"/>
      <c r="D251" s="113"/>
      <c r="E251" s="113"/>
      <c r="F251" s="110"/>
      <c r="G251" s="110"/>
      <c r="H251" s="11"/>
      <c r="I251" s="110"/>
      <c r="J251" s="113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0"/>
      <c r="V251" s="110"/>
      <c r="W251" s="110"/>
      <c r="X251" s="110"/>
      <c r="Y251" s="110"/>
      <c r="Z251" s="5"/>
    </row>
    <row r="252" spans="1:26" x14ac:dyDescent="0.3">
      <c r="A252" s="110"/>
      <c r="B252" s="113"/>
      <c r="C252" s="113"/>
      <c r="D252" s="113"/>
      <c r="E252" s="113"/>
      <c r="F252" s="110"/>
      <c r="G252" s="110"/>
      <c r="H252" s="11"/>
      <c r="I252" s="110"/>
      <c r="J252" s="113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0"/>
      <c r="V252" s="110"/>
      <c r="W252" s="110"/>
      <c r="X252" s="110"/>
      <c r="Y252" s="110"/>
      <c r="Z252" s="5"/>
    </row>
    <row r="253" spans="1:26" x14ac:dyDescent="0.3">
      <c r="A253" s="110"/>
      <c r="B253" s="113"/>
      <c r="C253" s="113"/>
      <c r="D253" s="113"/>
      <c r="E253" s="113"/>
      <c r="F253" s="110"/>
      <c r="G253" s="110"/>
      <c r="H253" s="11"/>
      <c r="I253" s="110"/>
      <c r="J253" s="113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0"/>
      <c r="V253" s="110"/>
      <c r="W253" s="110"/>
      <c r="X253" s="110"/>
      <c r="Y253" s="110"/>
      <c r="Z253" s="5"/>
    </row>
    <row r="254" spans="1:26" x14ac:dyDescent="0.3">
      <c r="A254" s="110"/>
      <c r="B254" s="113"/>
      <c r="C254" s="113"/>
      <c r="D254" s="113"/>
      <c r="E254" s="113"/>
      <c r="F254" s="110"/>
      <c r="G254" s="110"/>
      <c r="H254" s="11"/>
      <c r="I254" s="110"/>
      <c r="J254" s="113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0"/>
      <c r="V254" s="110"/>
      <c r="W254" s="110"/>
      <c r="X254" s="110"/>
      <c r="Y254" s="110"/>
      <c r="Z254" s="5"/>
    </row>
    <row r="255" spans="1:26" x14ac:dyDescent="0.3">
      <c r="A255" s="110"/>
      <c r="B255" s="113"/>
      <c r="C255" s="113"/>
      <c r="D255" s="113"/>
      <c r="E255" s="113"/>
      <c r="F255" s="110"/>
      <c r="G255" s="110"/>
      <c r="H255" s="11"/>
      <c r="I255" s="110"/>
      <c r="J255" s="113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0"/>
      <c r="V255" s="110"/>
      <c r="W255" s="110"/>
      <c r="X255" s="110"/>
      <c r="Y255" s="110"/>
      <c r="Z255" s="5"/>
    </row>
    <row r="256" spans="1:26" x14ac:dyDescent="0.3">
      <c r="A256" s="110"/>
      <c r="B256" s="113"/>
      <c r="C256" s="113"/>
      <c r="D256" s="113"/>
      <c r="E256" s="113"/>
      <c r="F256" s="110"/>
      <c r="G256" s="110"/>
      <c r="H256" s="11"/>
      <c r="I256" s="110"/>
      <c r="J256" s="113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0"/>
      <c r="V256" s="110"/>
      <c r="W256" s="110"/>
      <c r="X256" s="110"/>
      <c r="Y256" s="110"/>
      <c r="Z256" s="5"/>
    </row>
    <row r="257" spans="1:26" x14ac:dyDescent="0.3">
      <c r="A257" s="110"/>
      <c r="B257" s="113"/>
      <c r="C257" s="113"/>
      <c r="D257" s="113"/>
      <c r="E257" s="113"/>
      <c r="F257" s="110"/>
      <c r="G257" s="110"/>
      <c r="H257" s="11"/>
      <c r="I257" s="110"/>
      <c r="J257" s="113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0"/>
      <c r="V257" s="110"/>
      <c r="W257" s="110"/>
      <c r="X257" s="110"/>
      <c r="Y257" s="110"/>
      <c r="Z257" s="5"/>
    </row>
    <row r="258" spans="1:26" x14ac:dyDescent="0.3">
      <c r="A258" s="110"/>
      <c r="B258" s="113"/>
      <c r="C258" s="113"/>
      <c r="D258" s="113"/>
      <c r="E258" s="113"/>
      <c r="F258" s="110"/>
      <c r="G258" s="110"/>
      <c r="H258" s="11"/>
      <c r="I258" s="110"/>
      <c r="J258" s="113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0"/>
      <c r="V258" s="110"/>
      <c r="W258" s="110"/>
      <c r="X258" s="110"/>
      <c r="Y258" s="110"/>
      <c r="Z258" s="5"/>
    </row>
    <row r="259" spans="1:26" x14ac:dyDescent="0.3">
      <c r="A259" s="110"/>
      <c r="B259" s="113"/>
      <c r="C259" s="113"/>
      <c r="D259" s="113"/>
      <c r="E259" s="113"/>
      <c r="F259" s="110"/>
      <c r="G259" s="110"/>
      <c r="H259" s="11"/>
      <c r="I259" s="110"/>
      <c r="J259" s="113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0"/>
      <c r="V259" s="110"/>
      <c r="W259" s="110"/>
      <c r="X259" s="110"/>
      <c r="Y259" s="110"/>
      <c r="Z259" s="5"/>
    </row>
    <row r="260" spans="1:26" x14ac:dyDescent="0.3">
      <c r="A260" s="110"/>
      <c r="B260" s="113"/>
      <c r="C260" s="113"/>
      <c r="D260" s="113"/>
      <c r="E260" s="113"/>
      <c r="F260" s="110"/>
      <c r="G260" s="110"/>
      <c r="H260" s="11"/>
      <c r="I260" s="110"/>
      <c r="J260" s="113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0"/>
      <c r="V260" s="110"/>
      <c r="W260" s="110"/>
      <c r="X260" s="110"/>
      <c r="Y260" s="110"/>
      <c r="Z260" s="5"/>
    </row>
    <row r="261" spans="1:26" x14ac:dyDescent="0.3">
      <c r="A261" s="110"/>
      <c r="B261" s="113"/>
      <c r="C261" s="113"/>
      <c r="D261" s="113"/>
      <c r="E261" s="113"/>
      <c r="F261" s="110"/>
      <c r="G261" s="110"/>
      <c r="H261" s="11"/>
      <c r="I261" s="110"/>
      <c r="J261" s="113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0"/>
      <c r="V261" s="110"/>
      <c r="W261" s="110"/>
      <c r="X261" s="110"/>
      <c r="Y261" s="110"/>
      <c r="Z261" s="5"/>
    </row>
    <row r="262" spans="1:26" x14ac:dyDescent="0.3">
      <c r="A262" s="110"/>
      <c r="B262" s="113"/>
      <c r="C262" s="113"/>
      <c r="D262" s="113"/>
      <c r="E262" s="113"/>
      <c r="F262" s="110"/>
      <c r="G262" s="110"/>
      <c r="H262" s="11"/>
      <c r="I262" s="110"/>
      <c r="J262" s="113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5"/>
    </row>
    <row r="263" spans="1:26" x14ac:dyDescent="0.3">
      <c r="A263" s="110"/>
      <c r="B263" s="113"/>
      <c r="C263" s="113"/>
      <c r="D263" s="113"/>
      <c r="E263" s="113"/>
      <c r="F263" s="110"/>
      <c r="G263" s="110"/>
      <c r="H263" s="11"/>
      <c r="I263" s="110"/>
      <c r="J263" s="113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0"/>
      <c r="V263" s="110"/>
      <c r="W263" s="110"/>
      <c r="X263" s="110"/>
      <c r="Y263" s="110"/>
      <c r="Z263" s="5"/>
    </row>
    <row r="264" spans="1:26" x14ac:dyDescent="0.3">
      <c r="A264" s="110"/>
      <c r="B264" s="113"/>
      <c r="C264" s="113"/>
      <c r="D264" s="113"/>
      <c r="E264" s="113"/>
      <c r="F264" s="110"/>
      <c r="G264" s="110"/>
      <c r="H264" s="11"/>
      <c r="I264" s="110"/>
      <c r="J264" s="113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0"/>
      <c r="V264" s="110"/>
      <c r="W264" s="110"/>
      <c r="X264" s="110"/>
      <c r="Y264" s="110"/>
      <c r="Z264" s="5"/>
    </row>
    <row r="265" spans="1:26" x14ac:dyDescent="0.3">
      <c r="A265" s="110"/>
      <c r="B265" s="113"/>
      <c r="C265" s="113"/>
      <c r="D265" s="113"/>
      <c r="E265" s="113"/>
      <c r="F265" s="110"/>
      <c r="G265" s="110"/>
      <c r="H265" s="11"/>
      <c r="I265" s="110"/>
      <c r="J265" s="113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0"/>
      <c r="V265" s="110"/>
      <c r="W265" s="110"/>
      <c r="X265" s="110"/>
      <c r="Y265" s="110"/>
      <c r="Z265" s="5"/>
    </row>
    <row r="266" spans="1:26" x14ac:dyDescent="0.3">
      <c r="A266" s="110"/>
      <c r="B266" s="113"/>
      <c r="C266" s="113"/>
      <c r="D266" s="113"/>
      <c r="E266" s="113"/>
      <c r="F266" s="110"/>
      <c r="G266" s="110"/>
      <c r="H266" s="11"/>
      <c r="I266" s="110"/>
      <c r="J266" s="113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0"/>
      <c r="V266" s="110"/>
      <c r="W266" s="110"/>
      <c r="X266" s="110"/>
      <c r="Y266" s="110"/>
      <c r="Z266" s="5"/>
    </row>
    <row r="267" spans="1:26" x14ac:dyDescent="0.3">
      <c r="A267" s="110"/>
      <c r="B267" s="113"/>
      <c r="C267" s="113"/>
      <c r="D267" s="113"/>
      <c r="E267" s="113"/>
      <c r="F267" s="110"/>
      <c r="G267" s="110"/>
      <c r="H267" s="11"/>
      <c r="I267" s="110"/>
      <c r="J267" s="113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0"/>
      <c r="V267" s="110"/>
      <c r="W267" s="110"/>
      <c r="X267" s="110"/>
      <c r="Y267" s="110"/>
      <c r="Z267" s="5"/>
    </row>
    <row r="268" spans="1:26" x14ac:dyDescent="0.3">
      <c r="A268" s="110"/>
      <c r="B268" s="113"/>
      <c r="C268" s="113"/>
      <c r="D268" s="113"/>
      <c r="E268" s="113"/>
      <c r="F268" s="110"/>
      <c r="G268" s="110"/>
      <c r="H268" s="11"/>
      <c r="I268" s="110"/>
      <c r="J268" s="113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0"/>
      <c r="V268" s="110"/>
      <c r="W268" s="110"/>
      <c r="X268" s="110"/>
      <c r="Y268" s="110"/>
      <c r="Z268" s="5"/>
    </row>
    <row r="269" spans="1:26" x14ac:dyDescent="0.3">
      <c r="A269" s="110"/>
      <c r="B269" s="113"/>
      <c r="C269" s="113"/>
      <c r="D269" s="113"/>
      <c r="E269" s="113"/>
      <c r="F269" s="110"/>
      <c r="G269" s="110"/>
      <c r="H269" s="11"/>
      <c r="I269" s="110"/>
      <c r="J269" s="113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5"/>
    </row>
    <row r="270" spans="1:26" x14ac:dyDescent="0.3">
      <c r="A270" s="110"/>
      <c r="B270" s="113"/>
      <c r="C270" s="113"/>
      <c r="D270" s="113"/>
      <c r="E270" s="113"/>
      <c r="F270" s="110"/>
      <c r="G270" s="110"/>
      <c r="H270" s="11"/>
      <c r="I270" s="110"/>
      <c r="J270" s="113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0"/>
      <c r="V270" s="110"/>
      <c r="W270" s="110"/>
      <c r="X270" s="110"/>
      <c r="Y270" s="110"/>
      <c r="Z270" s="5"/>
    </row>
    <row r="271" spans="1:26" x14ac:dyDescent="0.3">
      <c r="A271" s="110"/>
      <c r="B271" s="113"/>
      <c r="C271" s="113"/>
      <c r="D271" s="113"/>
      <c r="E271" s="113"/>
      <c r="F271" s="110"/>
      <c r="G271" s="110"/>
      <c r="H271" s="11"/>
      <c r="I271" s="110"/>
      <c r="J271" s="113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0"/>
      <c r="V271" s="110"/>
      <c r="W271" s="110"/>
      <c r="X271" s="110"/>
      <c r="Y271" s="110"/>
      <c r="Z271" s="5"/>
    </row>
    <row r="272" spans="1:26" x14ac:dyDescent="0.3">
      <c r="A272" s="110"/>
      <c r="B272" s="113"/>
      <c r="C272" s="113"/>
      <c r="D272" s="113"/>
      <c r="E272" s="113"/>
      <c r="F272" s="110"/>
      <c r="G272" s="110"/>
      <c r="H272" s="11"/>
      <c r="I272" s="110"/>
      <c r="J272" s="113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0"/>
      <c r="V272" s="110"/>
      <c r="W272" s="110"/>
      <c r="X272" s="110"/>
      <c r="Y272" s="110"/>
      <c r="Z272" s="5"/>
    </row>
    <row r="273" spans="1:26" x14ac:dyDescent="0.3">
      <c r="A273" s="110"/>
      <c r="B273" s="113"/>
      <c r="C273" s="113"/>
      <c r="D273" s="113"/>
      <c r="E273" s="113"/>
      <c r="F273" s="110"/>
      <c r="G273" s="110"/>
      <c r="H273" s="11"/>
      <c r="I273" s="110"/>
      <c r="J273" s="113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0"/>
      <c r="V273" s="110"/>
      <c r="W273" s="110"/>
      <c r="X273" s="110"/>
      <c r="Y273" s="110"/>
      <c r="Z273" s="5"/>
    </row>
    <row r="274" spans="1:26" x14ac:dyDescent="0.3">
      <c r="A274" s="110"/>
      <c r="B274" s="113"/>
      <c r="C274" s="113"/>
      <c r="D274" s="113"/>
      <c r="E274" s="113"/>
      <c r="F274" s="110"/>
      <c r="G274" s="110"/>
      <c r="H274" s="11"/>
      <c r="I274" s="110"/>
      <c r="J274" s="113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0"/>
      <c r="V274" s="110"/>
      <c r="W274" s="110"/>
      <c r="X274" s="110"/>
      <c r="Y274" s="110"/>
      <c r="Z274" s="5"/>
    </row>
    <row r="275" spans="1:26" x14ac:dyDescent="0.3">
      <c r="A275" s="110"/>
      <c r="B275" s="113"/>
      <c r="C275" s="113"/>
      <c r="D275" s="113"/>
      <c r="E275" s="113"/>
      <c r="F275" s="110"/>
      <c r="G275" s="110"/>
      <c r="H275" s="11"/>
      <c r="I275" s="110"/>
      <c r="J275" s="113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0"/>
      <c r="V275" s="110"/>
      <c r="W275" s="110"/>
      <c r="X275" s="110"/>
      <c r="Y275" s="110"/>
      <c r="Z275" s="5"/>
    </row>
    <row r="276" spans="1:26" x14ac:dyDescent="0.3">
      <c r="A276" s="110"/>
      <c r="B276" s="113"/>
      <c r="C276" s="113"/>
      <c r="D276" s="113"/>
      <c r="E276" s="113"/>
      <c r="F276" s="110"/>
      <c r="G276" s="110"/>
      <c r="H276" s="11"/>
      <c r="I276" s="110"/>
      <c r="J276" s="113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0"/>
      <c r="V276" s="110"/>
      <c r="W276" s="110"/>
      <c r="X276" s="110"/>
      <c r="Y276" s="110"/>
      <c r="Z276" s="5"/>
    </row>
    <row r="277" spans="1:26" x14ac:dyDescent="0.3">
      <c r="A277" s="110"/>
      <c r="B277" s="113"/>
      <c r="C277" s="113"/>
      <c r="D277" s="113"/>
      <c r="E277" s="113"/>
      <c r="F277" s="110"/>
      <c r="G277" s="110"/>
      <c r="H277" s="11"/>
      <c r="I277" s="110"/>
      <c r="J277" s="113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0"/>
      <c r="V277" s="110"/>
      <c r="W277" s="110"/>
      <c r="X277" s="110"/>
      <c r="Y277" s="110"/>
      <c r="Z277" s="5"/>
    </row>
    <row r="278" spans="1:26" x14ac:dyDescent="0.3">
      <c r="A278" s="110"/>
      <c r="B278" s="113"/>
      <c r="C278" s="113"/>
      <c r="D278" s="113"/>
      <c r="E278" s="113"/>
      <c r="F278" s="110"/>
      <c r="G278" s="110"/>
      <c r="H278" s="11"/>
      <c r="I278" s="110"/>
      <c r="J278" s="113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0"/>
      <c r="V278" s="110"/>
      <c r="W278" s="110"/>
      <c r="X278" s="110"/>
      <c r="Y278" s="110"/>
      <c r="Z278" s="5"/>
    </row>
    <row r="279" spans="1:26" x14ac:dyDescent="0.3">
      <c r="A279" s="110"/>
      <c r="B279" s="113"/>
      <c r="C279" s="113"/>
      <c r="D279" s="113"/>
      <c r="E279" s="113"/>
      <c r="F279" s="110"/>
      <c r="G279" s="110"/>
      <c r="H279" s="11"/>
      <c r="I279" s="110"/>
      <c r="J279" s="113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0"/>
      <c r="V279" s="110"/>
      <c r="W279" s="110"/>
      <c r="X279" s="110"/>
      <c r="Y279" s="110"/>
      <c r="Z279" s="5"/>
    </row>
    <row r="280" spans="1:26" x14ac:dyDescent="0.3">
      <c r="A280" s="110"/>
      <c r="B280" s="113"/>
      <c r="C280" s="113"/>
      <c r="D280" s="113"/>
      <c r="E280" s="113"/>
      <c r="F280" s="110"/>
      <c r="G280" s="110"/>
      <c r="H280" s="11"/>
      <c r="I280" s="110"/>
      <c r="J280" s="113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0"/>
      <c r="V280" s="110"/>
      <c r="W280" s="110"/>
      <c r="X280" s="110"/>
      <c r="Y280" s="110"/>
      <c r="Z280" s="5"/>
    </row>
    <row r="281" spans="1:26" x14ac:dyDescent="0.3">
      <c r="A281" s="110"/>
      <c r="B281" s="113"/>
      <c r="C281" s="113"/>
      <c r="D281" s="113"/>
      <c r="E281" s="113"/>
      <c r="F281" s="110"/>
      <c r="G281" s="110"/>
      <c r="H281" s="11"/>
      <c r="I281" s="110"/>
      <c r="J281" s="113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0"/>
      <c r="V281" s="110"/>
      <c r="W281" s="110"/>
      <c r="X281" s="110"/>
      <c r="Y281" s="110"/>
      <c r="Z281" s="5"/>
    </row>
    <row r="282" spans="1:26" x14ac:dyDescent="0.3">
      <c r="A282" s="110"/>
      <c r="B282" s="113"/>
      <c r="C282" s="113"/>
      <c r="D282" s="113"/>
      <c r="E282" s="113"/>
      <c r="F282" s="110"/>
      <c r="G282" s="110"/>
      <c r="H282" s="11"/>
      <c r="I282" s="110"/>
      <c r="J282" s="113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0"/>
      <c r="V282" s="110"/>
      <c r="W282" s="110"/>
      <c r="X282" s="110"/>
      <c r="Y282" s="110"/>
      <c r="Z282" s="5"/>
    </row>
    <row r="283" spans="1:26" x14ac:dyDescent="0.3">
      <c r="A283" s="110"/>
      <c r="B283" s="113"/>
      <c r="C283" s="113"/>
      <c r="D283" s="113"/>
      <c r="E283" s="113"/>
      <c r="F283" s="110"/>
      <c r="G283" s="110"/>
      <c r="H283" s="11"/>
      <c r="I283" s="110"/>
      <c r="J283" s="113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0"/>
      <c r="V283" s="110"/>
      <c r="W283" s="110"/>
      <c r="X283" s="110"/>
      <c r="Y283" s="110"/>
      <c r="Z283" s="5"/>
    </row>
    <row r="284" spans="1:26" x14ac:dyDescent="0.3">
      <c r="A284" s="110"/>
      <c r="B284" s="113"/>
      <c r="C284" s="113"/>
      <c r="D284" s="113"/>
      <c r="E284" s="113"/>
      <c r="F284" s="110"/>
      <c r="G284" s="110"/>
      <c r="H284" s="11"/>
      <c r="I284" s="110"/>
      <c r="J284" s="113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0"/>
      <c r="V284" s="110"/>
      <c r="W284" s="110"/>
      <c r="X284" s="110"/>
      <c r="Y284" s="110"/>
      <c r="Z284" s="5"/>
    </row>
    <row r="285" spans="1:26" x14ac:dyDescent="0.3">
      <c r="A285" s="110"/>
      <c r="B285" s="113"/>
      <c r="C285" s="113"/>
      <c r="D285" s="113"/>
      <c r="E285" s="113"/>
      <c r="F285" s="110"/>
      <c r="G285" s="110"/>
      <c r="H285" s="11"/>
      <c r="I285" s="110"/>
      <c r="J285" s="113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0"/>
      <c r="V285" s="110"/>
      <c r="W285" s="110"/>
      <c r="X285" s="110"/>
      <c r="Y285" s="110"/>
      <c r="Z285" s="5"/>
    </row>
    <row r="286" spans="1:26" x14ac:dyDescent="0.3">
      <c r="A286" s="110"/>
      <c r="B286" s="113"/>
      <c r="C286" s="113"/>
      <c r="D286" s="113"/>
      <c r="E286" s="113"/>
      <c r="F286" s="110"/>
      <c r="G286" s="110"/>
      <c r="H286" s="11"/>
      <c r="I286" s="110"/>
      <c r="J286" s="113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0"/>
      <c r="V286" s="110"/>
      <c r="W286" s="110"/>
      <c r="X286" s="110"/>
      <c r="Y286" s="110"/>
      <c r="Z286" s="5"/>
    </row>
    <row r="287" spans="1:26" x14ac:dyDescent="0.3">
      <c r="A287" s="110"/>
      <c r="B287" s="113"/>
      <c r="C287" s="113"/>
      <c r="D287" s="113"/>
      <c r="E287" s="113"/>
      <c r="F287" s="110"/>
      <c r="G287" s="110"/>
      <c r="H287" s="11"/>
      <c r="I287" s="110"/>
      <c r="J287" s="113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0"/>
      <c r="V287" s="110"/>
      <c r="W287" s="110"/>
      <c r="X287" s="110"/>
      <c r="Y287" s="110"/>
      <c r="Z287" s="5"/>
    </row>
    <row r="288" spans="1:26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Z1000"/>
  <sheetViews>
    <sheetView workbookViewId="0">
      <selection sqref="A1:D1"/>
    </sheetView>
  </sheetViews>
  <sheetFormatPr defaultColWidth="14.44140625" defaultRowHeight="15" customHeight="1" x14ac:dyDescent="0.3"/>
  <cols>
    <col min="1" max="1" width="10.88671875" customWidth="1"/>
    <col min="2" max="2" width="10.44140625" customWidth="1"/>
    <col min="3" max="4" width="12.6640625" customWidth="1"/>
    <col min="5" max="5" width="8.6640625" customWidth="1"/>
    <col min="6" max="6" width="9.88671875" customWidth="1"/>
    <col min="7" max="10" width="8.6640625" customWidth="1"/>
    <col min="11" max="12" width="19.109375" customWidth="1"/>
    <col min="13" max="13" width="12.33203125" customWidth="1"/>
    <col min="14" max="25" width="8.6640625" customWidth="1"/>
  </cols>
  <sheetData>
    <row r="1" spans="1:26" ht="15.6" x14ac:dyDescent="0.3">
      <c r="A1" s="430" t="s">
        <v>55</v>
      </c>
      <c r="B1" s="403"/>
      <c r="C1" s="403"/>
      <c r="D1" s="404"/>
      <c r="E1" s="114"/>
      <c r="F1" s="425" t="s">
        <v>53</v>
      </c>
      <c r="G1" s="426"/>
      <c r="H1" s="426"/>
      <c r="I1" s="426"/>
      <c r="J1" s="426"/>
      <c r="K1" s="426"/>
      <c r="L1" s="426"/>
      <c r="M1" s="427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spans="1:26" ht="11.25" customHeight="1" x14ac:dyDescent="0.3">
      <c r="A2" s="165" t="s">
        <v>9</v>
      </c>
      <c r="B2" s="166" t="s">
        <v>192</v>
      </c>
      <c r="C2" s="166" t="s">
        <v>193</v>
      </c>
      <c r="D2" s="167" t="s">
        <v>194</v>
      </c>
      <c r="E2" s="5"/>
      <c r="F2" s="116" t="s">
        <v>9</v>
      </c>
      <c r="G2" s="116" t="s">
        <v>164</v>
      </c>
      <c r="H2" s="116" t="s">
        <v>113</v>
      </c>
      <c r="I2" s="116" t="s">
        <v>165</v>
      </c>
      <c r="J2" s="118"/>
      <c r="K2" s="118"/>
      <c r="L2" s="118"/>
      <c r="M2" s="11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3.25" customHeight="1" x14ac:dyDescent="0.3">
      <c r="A3" s="122"/>
      <c r="B3" s="123"/>
      <c r="C3" s="124"/>
      <c r="D3" s="123"/>
      <c r="E3" s="5"/>
      <c r="F3" s="122">
        <v>46002</v>
      </c>
      <c r="G3" s="69"/>
      <c r="H3" s="69"/>
      <c r="I3" s="69"/>
      <c r="J3" s="118"/>
      <c r="K3" s="168" t="s">
        <v>166</v>
      </c>
      <c r="L3" s="168" t="s">
        <v>167</v>
      </c>
      <c r="M3" s="168" t="s">
        <v>168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3">
      <c r="A4" s="135"/>
      <c r="B4" s="123">
        <f t="shared" ref="B4:B38" si="0">B3-C3+D3</f>
        <v>0</v>
      </c>
      <c r="C4" s="124"/>
      <c r="D4" s="123"/>
      <c r="E4" s="5"/>
      <c r="F4" s="122">
        <v>46003</v>
      </c>
      <c r="G4" s="69"/>
      <c r="H4" s="69"/>
      <c r="I4" s="69"/>
      <c r="J4" s="118"/>
      <c r="K4" s="169">
        <f>'Kiosk and GazTekrit'!$I$24-'Kiosk and GazTekrit'!$H$24+'Kiosk and GazTekrit'!$G$24</f>
        <v>0</v>
      </c>
      <c r="L4" s="169">
        <f>1200000/89700</f>
        <v>13.377926421404682</v>
      </c>
      <c r="M4" s="169">
        <f>K4*L4</f>
        <v>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3">
      <c r="A5" s="135"/>
      <c r="B5" s="123">
        <f t="shared" si="0"/>
        <v>0</v>
      </c>
      <c r="C5" s="124"/>
      <c r="D5" s="123"/>
      <c r="E5" s="5"/>
      <c r="F5" s="122">
        <v>46004</v>
      </c>
      <c r="G5" s="69"/>
      <c r="H5" s="69"/>
      <c r="I5" s="69"/>
      <c r="J5" s="118"/>
      <c r="K5" s="118"/>
      <c r="L5" s="118"/>
      <c r="M5" s="118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3">
      <c r="A6" s="135"/>
      <c r="B6" s="123">
        <f t="shared" si="0"/>
        <v>0</v>
      </c>
      <c r="C6" s="124"/>
      <c r="D6" s="123"/>
      <c r="E6" s="5"/>
      <c r="F6" s="122">
        <v>46005</v>
      </c>
      <c r="G6" s="69"/>
      <c r="H6" s="69"/>
      <c r="I6" s="69"/>
      <c r="J6" s="118"/>
      <c r="K6" s="118"/>
      <c r="L6" s="118"/>
      <c r="M6" s="118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3">
      <c r="A7" s="135"/>
      <c r="B7" s="123">
        <f t="shared" si="0"/>
        <v>0</v>
      </c>
      <c r="C7" s="124"/>
      <c r="D7" s="123"/>
      <c r="E7" s="5"/>
      <c r="F7" s="122">
        <v>46006</v>
      </c>
      <c r="G7" s="69"/>
      <c r="H7" s="69"/>
      <c r="I7" s="69"/>
      <c r="J7" s="118"/>
      <c r="K7" s="118"/>
      <c r="L7" s="118"/>
      <c r="M7" s="118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3">
      <c r="A8" s="135"/>
      <c r="B8" s="123">
        <f t="shared" si="0"/>
        <v>0</v>
      </c>
      <c r="C8" s="124"/>
      <c r="D8" s="123"/>
      <c r="E8" s="5"/>
      <c r="F8" s="122">
        <v>46007</v>
      </c>
      <c r="G8" s="69"/>
      <c r="H8" s="69"/>
      <c r="I8" s="69"/>
      <c r="J8" s="118"/>
      <c r="K8" s="118"/>
      <c r="L8" s="118"/>
      <c r="M8" s="11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3">
      <c r="A9" s="135"/>
      <c r="B9" s="123">
        <f t="shared" si="0"/>
        <v>0</v>
      </c>
      <c r="C9" s="124"/>
      <c r="D9" s="123"/>
      <c r="E9" s="5"/>
      <c r="F9" s="122">
        <v>46008</v>
      </c>
      <c r="G9" s="69"/>
      <c r="H9" s="69"/>
      <c r="I9" s="69"/>
      <c r="J9" s="118"/>
      <c r="K9" s="118"/>
      <c r="L9" s="118"/>
      <c r="M9" s="118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3">
      <c r="A10" s="135"/>
      <c r="B10" s="123">
        <f t="shared" si="0"/>
        <v>0</v>
      </c>
      <c r="C10" s="124"/>
      <c r="D10" s="123"/>
      <c r="E10" s="5"/>
      <c r="F10" s="122">
        <v>46009</v>
      </c>
      <c r="G10" s="69"/>
      <c r="H10" s="69"/>
      <c r="I10" s="69"/>
      <c r="J10" s="118"/>
      <c r="K10" s="118"/>
      <c r="L10" s="118"/>
      <c r="M10" s="11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3">
      <c r="A11" s="135"/>
      <c r="B11" s="123">
        <f t="shared" si="0"/>
        <v>0</v>
      </c>
      <c r="C11" s="124"/>
      <c r="D11" s="123"/>
      <c r="E11" s="5"/>
      <c r="F11" s="122">
        <v>46010</v>
      </c>
      <c r="G11" s="69"/>
      <c r="H11" s="69"/>
      <c r="I11" s="69"/>
      <c r="J11" s="118"/>
      <c r="K11" s="118"/>
      <c r="L11" s="118"/>
      <c r="M11" s="118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3">
      <c r="A12" s="135"/>
      <c r="B12" s="123">
        <f t="shared" si="0"/>
        <v>0</v>
      </c>
      <c r="C12" s="124"/>
      <c r="D12" s="123"/>
      <c r="E12" s="5"/>
      <c r="F12" s="122">
        <v>46011</v>
      </c>
      <c r="G12" s="69"/>
      <c r="H12" s="69"/>
      <c r="I12" s="69"/>
      <c r="J12" s="118"/>
      <c r="K12" s="118"/>
      <c r="L12" s="118"/>
      <c r="M12" s="11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3">
      <c r="A13" s="135"/>
      <c r="B13" s="123">
        <f t="shared" si="0"/>
        <v>0</v>
      </c>
      <c r="C13" s="124"/>
      <c r="D13" s="123"/>
      <c r="E13" s="5"/>
      <c r="F13" s="122">
        <v>46012</v>
      </c>
      <c r="G13" s="69"/>
      <c r="H13" s="69"/>
      <c r="I13" s="69"/>
      <c r="J13" s="118"/>
      <c r="K13" s="118"/>
      <c r="L13" s="118"/>
      <c r="M13" s="118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3">
      <c r="A14" s="135"/>
      <c r="B14" s="123">
        <f t="shared" si="0"/>
        <v>0</v>
      </c>
      <c r="C14" s="124"/>
      <c r="D14" s="123"/>
      <c r="E14" s="5"/>
      <c r="F14" s="122">
        <v>46013</v>
      </c>
      <c r="G14" s="69"/>
      <c r="H14" s="69"/>
      <c r="I14" s="69"/>
      <c r="J14" s="118"/>
      <c r="K14" s="118"/>
      <c r="L14" s="118"/>
      <c r="M14" s="11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3">
      <c r="A15" s="135"/>
      <c r="B15" s="123">
        <f t="shared" si="0"/>
        <v>0</v>
      </c>
      <c r="C15" s="124"/>
      <c r="D15" s="126"/>
      <c r="E15" s="5"/>
      <c r="F15" s="122">
        <v>46014</v>
      </c>
      <c r="G15" s="69"/>
      <c r="H15" s="69"/>
      <c r="I15" s="69"/>
      <c r="J15" s="118"/>
      <c r="K15" s="118"/>
      <c r="L15" s="118"/>
      <c r="M15" s="11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3">
      <c r="A16" s="135"/>
      <c r="B16" s="123">
        <f t="shared" si="0"/>
        <v>0</v>
      </c>
      <c r="C16" s="124"/>
      <c r="D16" s="123"/>
      <c r="E16" s="5"/>
      <c r="F16" s="122">
        <v>46015</v>
      </c>
      <c r="G16" s="69"/>
      <c r="H16" s="69"/>
      <c r="I16" s="69"/>
      <c r="J16" s="118"/>
      <c r="K16" s="118"/>
      <c r="L16" s="118"/>
      <c r="M16" s="11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3">
      <c r="A17" s="135"/>
      <c r="B17" s="123">
        <f t="shared" si="0"/>
        <v>0</v>
      </c>
      <c r="C17" s="124"/>
      <c r="D17" s="123"/>
      <c r="E17" s="5"/>
      <c r="F17" s="122">
        <v>46016</v>
      </c>
      <c r="G17" s="69"/>
      <c r="H17" s="69"/>
      <c r="I17" s="69"/>
      <c r="J17" s="118"/>
      <c r="K17" s="118"/>
      <c r="L17" s="118"/>
      <c r="M17" s="118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3">
      <c r="A18" s="135"/>
      <c r="B18" s="123">
        <f t="shared" si="0"/>
        <v>0</v>
      </c>
      <c r="C18" s="124"/>
      <c r="D18" s="126"/>
      <c r="E18" s="5"/>
      <c r="F18" s="122">
        <v>46017</v>
      </c>
      <c r="G18" s="69"/>
      <c r="H18" s="69"/>
      <c r="I18" s="69"/>
      <c r="J18" s="118"/>
      <c r="K18" s="118"/>
      <c r="L18" s="118"/>
      <c r="M18" s="118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3">
      <c r="A19" s="135"/>
      <c r="B19" s="123">
        <f t="shared" si="0"/>
        <v>0</v>
      </c>
      <c r="C19" s="124"/>
      <c r="D19" s="126"/>
      <c r="E19" s="5"/>
      <c r="F19" s="122">
        <v>46018</v>
      </c>
      <c r="G19" s="69"/>
      <c r="H19" s="69"/>
      <c r="I19" s="69"/>
      <c r="J19" s="118"/>
      <c r="K19" s="118"/>
      <c r="L19" s="118"/>
      <c r="M19" s="118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3">
      <c r="A20" s="135"/>
      <c r="B20" s="123">
        <f t="shared" si="0"/>
        <v>0</v>
      </c>
      <c r="C20" s="124"/>
      <c r="D20" s="123"/>
      <c r="E20" s="5"/>
      <c r="F20" s="122">
        <v>46019</v>
      </c>
      <c r="G20" s="69"/>
      <c r="H20" s="69"/>
      <c r="I20" s="69"/>
      <c r="J20" s="118"/>
      <c r="K20" s="118"/>
      <c r="L20" s="118"/>
      <c r="M20" s="118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3">
      <c r="A21" s="135"/>
      <c r="B21" s="123">
        <f t="shared" si="0"/>
        <v>0</v>
      </c>
      <c r="C21" s="124"/>
      <c r="D21" s="123"/>
      <c r="E21" s="5"/>
      <c r="F21" s="122">
        <v>46020</v>
      </c>
      <c r="G21" s="69"/>
      <c r="H21" s="69"/>
      <c r="I21" s="69"/>
      <c r="J21" s="118"/>
      <c r="K21" s="118"/>
      <c r="L21" s="118"/>
      <c r="M21" s="118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3">
      <c r="A22" s="135"/>
      <c r="B22" s="123">
        <f t="shared" si="0"/>
        <v>0</v>
      </c>
      <c r="C22" s="124"/>
      <c r="D22" s="123"/>
      <c r="E22" s="5"/>
      <c r="F22" s="122">
        <v>46021</v>
      </c>
      <c r="G22" s="69"/>
      <c r="H22" s="69"/>
      <c r="I22" s="69"/>
      <c r="J22" s="118"/>
      <c r="K22" s="118"/>
      <c r="L22" s="118"/>
      <c r="M22" s="118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3">
      <c r="A23" s="135"/>
      <c r="B23" s="123">
        <f t="shared" si="0"/>
        <v>0</v>
      </c>
      <c r="C23" s="124"/>
      <c r="D23" s="123"/>
      <c r="E23" s="5"/>
      <c r="F23" s="122">
        <v>46022</v>
      </c>
      <c r="G23" s="69"/>
      <c r="H23" s="69"/>
      <c r="I23" s="69"/>
      <c r="J23" s="118"/>
      <c r="K23" s="118"/>
      <c r="L23" s="118"/>
      <c r="M23" s="118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3">
      <c r="A24" s="135"/>
      <c r="B24" s="123">
        <f t="shared" si="0"/>
        <v>0</v>
      </c>
      <c r="C24" s="124"/>
      <c r="D24" s="123"/>
      <c r="E24" s="5"/>
      <c r="F24" s="170" t="s">
        <v>33</v>
      </c>
      <c r="G24" s="171">
        <f>SUM('Kiosk and GazTekrit'!$G$3:$G$23)</f>
        <v>0</v>
      </c>
      <c r="H24" s="171">
        <f>SUM('Kiosk and GazTekrit'!$H$3:$H$23)</f>
        <v>0</v>
      </c>
      <c r="I24" s="172">
        <f>SUM('Kiosk and GazTekrit'!$I$3:$I$23)</f>
        <v>0</v>
      </c>
      <c r="J24" s="118"/>
      <c r="K24" s="118"/>
      <c r="L24" s="118"/>
      <c r="M24" s="118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3">
      <c r="A25" s="135"/>
      <c r="B25" s="123">
        <f t="shared" si="0"/>
        <v>0</v>
      </c>
      <c r="C25" s="124"/>
      <c r="D25" s="123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3">
      <c r="A26" s="135"/>
      <c r="B26" s="123">
        <f t="shared" si="0"/>
        <v>0</v>
      </c>
      <c r="C26" s="124"/>
      <c r="D26" s="123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3">
      <c r="A27" s="135"/>
      <c r="B27" s="123">
        <f t="shared" si="0"/>
        <v>0</v>
      </c>
      <c r="C27" s="124"/>
      <c r="D27" s="123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3">
      <c r="A28" s="135"/>
      <c r="B28" s="123">
        <f t="shared" si="0"/>
        <v>0</v>
      </c>
      <c r="C28" s="124"/>
      <c r="D28" s="12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3">
      <c r="A29" s="135"/>
      <c r="B29" s="123">
        <f t="shared" si="0"/>
        <v>0</v>
      </c>
      <c r="C29" s="124"/>
      <c r="D29" s="123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3">
      <c r="A30" s="135"/>
      <c r="B30" s="123">
        <f t="shared" si="0"/>
        <v>0</v>
      </c>
      <c r="C30" s="124"/>
      <c r="D30" s="123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3">
      <c r="A31" s="135"/>
      <c r="B31" s="123">
        <f t="shared" si="0"/>
        <v>0</v>
      </c>
      <c r="C31" s="124"/>
      <c r="D31" s="123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3">
      <c r="A32" s="135"/>
      <c r="B32" s="123">
        <f t="shared" si="0"/>
        <v>0</v>
      </c>
      <c r="C32" s="124"/>
      <c r="D32" s="123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3">
      <c r="A33" s="135"/>
      <c r="B33" s="123">
        <f t="shared" si="0"/>
        <v>0</v>
      </c>
      <c r="C33" s="128"/>
      <c r="D33" s="123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3">
      <c r="A34" s="135"/>
      <c r="B34" s="123">
        <f t="shared" si="0"/>
        <v>0</v>
      </c>
      <c r="C34" s="124"/>
      <c r="D34" s="123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3">
      <c r="A35" s="135"/>
      <c r="B35" s="123">
        <f t="shared" si="0"/>
        <v>0</v>
      </c>
      <c r="C35" s="124"/>
      <c r="D35" s="12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3">
      <c r="A36" s="135"/>
      <c r="B36" s="123">
        <f t="shared" si="0"/>
        <v>0</v>
      </c>
      <c r="C36" s="124"/>
      <c r="D36" s="12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3">
      <c r="A37" s="135"/>
      <c r="B37" s="123">
        <f t="shared" si="0"/>
        <v>0</v>
      </c>
      <c r="C37" s="124"/>
      <c r="D37" s="123"/>
      <c r="E37" s="5"/>
      <c r="F37" s="2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3">
      <c r="A38" s="135"/>
      <c r="B38" s="123">
        <f t="shared" si="0"/>
        <v>0</v>
      </c>
      <c r="C38" s="124"/>
      <c r="D38" s="12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3">
      <c r="A39" s="135"/>
      <c r="B39" s="123"/>
      <c r="C39" s="124"/>
      <c r="D39" s="123"/>
      <c r="E39" s="5"/>
      <c r="F39" s="2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3">
      <c r="A40" s="135"/>
      <c r="B40" s="123"/>
      <c r="C40" s="124"/>
      <c r="D40" s="123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3">
      <c r="A41" s="135"/>
      <c r="B41" s="123"/>
      <c r="C41" s="124"/>
      <c r="D41" s="123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3">
      <c r="A42" s="135"/>
      <c r="B42" s="123"/>
      <c r="C42" s="124"/>
      <c r="D42" s="123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3">
      <c r="A43" s="136"/>
      <c r="B43" s="123"/>
      <c r="C43" s="124"/>
      <c r="D43" s="123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3">
      <c r="A44" s="136"/>
      <c r="B44" s="123"/>
      <c r="C44" s="124"/>
      <c r="D44" s="123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3">
      <c r="A45" s="136"/>
      <c r="B45" s="123"/>
      <c r="C45" s="124"/>
      <c r="D45" s="123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3">
      <c r="A46" s="136"/>
      <c r="B46" s="123"/>
      <c r="C46" s="124"/>
      <c r="D46" s="123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3">
      <c r="A47" s="136"/>
      <c r="B47" s="123"/>
      <c r="C47" s="124"/>
      <c r="D47" s="123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3">
      <c r="A48" s="136"/>
      <c r="B48" s="123"/>
      <c r="C48" s="124"/>
      <c r="D48" s="123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3">
      <c r="A49" s="136"/>
      <c r="B49" s="123"/>
      <c r="C49" s="124"/>
      <c r="D49" s="123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3">
      <c r="A50" s="136"/>
      <c r="B50" s="123"/>
      <c r="C50" s="124"/>
      <c r="D50" s="123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3">
      <c r="A51" s="136"/>
      <c r="B51" s="123"/>
      <c r="C51" s="124"/>
      <c r="D51" s="123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3">
      <c r="A52" s="136"/>
      <c r="B52" s="123"/>
      <c r="C52" s="124"/>
      <c r="D52" s="123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3">
      <c r="A53" s="136"/>
      <c r="B53" s="123"/>
      <c r="C53" s="124"/>
      <c r="D53" s="123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3">
      <c r="A54" s="136"/>
      <c r="B54" s="123"/>
      <c r="C54" s="124"/>
      <c r="D54" s="123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3">
      <c r="A55" s="137"/>
      <c r="B55" s="131"/>
      <c r="C55" s="132"/>
      <c r="D55" s="123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6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D1"/>
    <mergeCell ref="F1:M1"/>
  </mergeCells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GENERAL SUMMARY</vt:lpstr>
      <vt:lpstr>Daily Halba</vt:lpstr>
      <vt:lpstr>BM Stock Halba</vt:lpstr>
      <vt:lpstr>ODOMETERS Halba</vt:lpstr>
      <vt:lpstr>Oil Stock Halba</vt:lpstr>
      <vt:lpstr>Kiosk And Gaz Halba</vt:lpstr>
      <vt:lpstr>Daily Tekrit</vt:lpstr>
      <vt:lpstr>BM Stock Tekrit</vt:lpstr>
      <vt:lpstr>ODOMETERS Tekrit</vt:lpstr>
      <vt:lpstr>Oil Stock Tekrit</vt:lpstr>
      <vt:lpstr>Kiosk and GazTekrit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Mtanios Saoud</cp:lastModifiedBy>
  <dcterms:created xsi:type="dcterms:W3CDTF">2015-06-05T18:17:20Z</dcterms:created>
  <dcterms:modified xsi:type="dcterms:W3CDTF">2026-07-13T17:36:58Z</dcterms:modified>
</cp:coreProperties>
</file>